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Sheet1" sheetId="63" r:id="rId9"/>
    <sheet name="Sheet2" sheetId="64" r:id="rId10"/>
    <sheet name="7.15" sheetId="66" r:id="rId11"/>
    <sheet name="7.17" sheetId="67" r:id="rId12"/>
    <sheet name="定义" sheetId="10" r:id="rId13"/>
    <sheet name="项目基本情况" sheetId="4" r:id="rId14"/>
    <sheet name="抵押物清单（分楼）" sheetId="42" state="hidden" r:id="rId15"/>
    <sheet name="数据-取费表" sheetId="1" r:id="rId16"/>
    <sheet name="估价对象房地状况" sheetId="20" r:id="rId17"/>
    <sheet name="系统读取表" sheetId="62" r:id="rId18"/>
    <sheet name="结果表" sheetId="9" r:id="rId19"/>
    <sheet name="结果表 (1修多)" sheetId="57" r:id="rId20"/>
    <sheet name="成本法" sheetId="11" state="hidden" r:id="rId21"/>
    <sheet name="假设开发法" sheetId="12" state="hidden" r:id="rId22"/>
    <sheet name="比较法-住宅" sheetId="21" r:id="rId23"/>
    <sheet name="收益法" sheetId="15" r:id="rId24"/>
    <sheet name="酒店收入计算" sheetId="58" state="hidden" r:id="rId25"/>
    <sheet name="土地比较法-住宅、综合" sheetId="39" state="hidden" r:id="rId26"/>
    <sheet name="典型户型修正" sheetId="3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Sheet3" sheetId="65" r:id="rId42"/>
  </sheets>
  <externalReferences>
    <externalReference r:id="rId4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32" hidden="1">'土地比较法-工业'!$A$1:$L$43</definedName>
    <definedName name="_xlnm._FilterDatabase" localSheetId="25" hidden="1">'土地比较法-住宅、综合'!$A$1:$L$48</definedName>
    <definedName name="_xlnm._FilterDatabase" localSheetId="13" hidden="1">项目基本情况!#REF!</definedName>
    <definedName name="_xlnm.Print_Area" localSheetId="22">'比较法-住宅'!$A$1:$K$54</definedName>
    <definedName name="_xlnm.Print_Area" localSheetId="26">典型户型修正!$A$1:$T$527</definedName>
    <definedName name="_xlnm.Print_Area" localSheetId="16">估价对象房地状况!$A$1:$G$24</definedName>
    <definedName name="_xlnm.Print_Area" localSheetId="7">估价师及机构信息!$A$1:$H$29</definedName>
    <definedName name="_xlnm.Print_Area" localSheetId="18">结果表!$A$1:$I$146</definedName>
    <definedName name="_xlnm.Print_Area" localSheetId="19">'结果表 (1修多)'!$A$1:$I$149</definedName>
    <definedName name="_xlnm.Print_Area" localSheetId="23">收益法!$A$1:$F$43</definedName>
    <definedName name="_xlnm.Print_Area" localSheetId="15">'数据-取费表'!$A$1:$E$50</definedName>
    <definedName name="_xlnm.Print_Area" localSheetId="13">项目基本情况!$A$1:$G$54</definedName>
    <definedName name="_xlnm.Print_Area" localSheetId="5">'预评函-3'!$A$1:$D$29</definedName>
    <definedName name="_xlnm.Print_Area" localSheetId="1">'预评函-封皮'!$A$1:$B$22</definedName>
    <definedName name="八级">区片价!$P$1:$P$40</definedName>
    <definedName name="办公层高" localSheetId="10">'[1]比较法-办公'!$B$119:$M$119</definedName>
    <definedName name="办公层高" localSheetId="7">'比较法-办公'!$B$119:$M$119</definedName>
    <definedName name="办公层高">'比较法-办公'!$B$119:$M$119</definedName>
    <definedName name="办公朝向" localSheetId="10">'[1]比较法-办公'!$B$91:$M$91</definedName>
    <definedName name="办公朝向" localSheetId="7">'比较法-办公'!$B$91:$M$91</definedName>
    <definedName name="办公朝向">'比较法-办公'!$B$91:$M$91</definedName>
    <definedName name="办公道路级别" localSheetId="10">'[1]比较法-办公'!$B$87:$M$87</definedName>
    <definedName name="办公道路级别" localSheetId="7">'比较法-办公'!$B$87:$M$87</definedName>
    <definedName name="办公道路级别">'比较法-办公'!$B$87:$M$87</definedName>
    <definedName name="办公公共部分装修" localSheetId="10">'[1]比较法-办公'!$B$108:$M$108</definedName>
    <definedName name="办公公共部分装修" localSheetId="7">'比较法-办公'!$B$108:$M$108</definedName>
    <definedName name="办公公共部分装修">'比较法-办公'!$B$108:$M$108</definedName>
    <definedName name="办公基础设施水平" localSheetId="10">'[1]比较法-办公'!$B$117:$M$117</definedName>
    <definedName name="办公基础设施水平" localSheetId="7">'比较法-办公'!$B$117:$M$117</definedName>
    <definedName name="办公基础设施水平">'比较法-办公'!$B$117:$M$117</definedName>
    <definedName name="办公集聚程度" localSheetId="10">[1]定义!$M$1:$M$6</definedName>
    <definedName name="办公集聚程度" localSheetId="7">定义!$M$1:$M$6</definedName>
    <definedName name="办公集聚程度">定义!$M$1:$M$6</definedName>
    <definedName name="办公建筑结构" localSheetId="10">'[1]比较法-办公'!$B$106:$M$106</definedName>
    <definedName name="办公建筑结构" localSheetId="7">'比较法-办公'!$B$106:$M$106</definedName>
    <definedName name="办公建筑结构">'比较法-办公'!$B$106:$M$106</definedName>
    <definedName name="办公建筑类型" localSheetId="10">'[1]比较法-办公'!$B$101:$M$101</definedName>
    <definedName name="办公建筑类型" localSheetId="7">'比较法-办公'!$B$101:$M$101</definedName>
    <definedName name="办公建筑类型">'比较法-办公'!$B$101:$M$101</definedName>
    <definedName name="办公交易情况" localSheetId="10">'[1]比较法-办公'!$A$62:$M$62</definedName>
    <definedName name="办公交易情况" localSheetId="7">'比较法-办公'!$A$62:$M$62</definedName>
    <definedName name="办公交易情况">'比较法-办公'!$A$62:$M$62</definedName>
    <definedName name="办公楼层" localSheetId="10">'[1]比较法-办公'!$B$89:$M$89</definedName>
    <definedName name="办公楼层" localSheetId="7">'比较法-办公'!$B$89:$M$89</definedName>
    <definedName name="办公楼层">'比较法-办公'!$B$89:$M$89</definedName>
    <definedName name="办公内部装修" localSheetId="10">'[1]比较法-办公'!$B$123:$M$123</definedName>
    <definedName name="办公内部装修" localSheetId="7">'比较法-办公'!$B$123:$M$123</definedName>
    <definedName name="办公内部装修">'比较法-办公'!$B$123:$M$123</definedName>
    <definedName name="办公物业管理" localSheetId="10">'[1]比较法-办公'!$B$115:$M$115</definedName>
    <definedName name="办公物业管理" localSheetId="7">'比较法-办公'!$B$115:$M$115</definedName>
    <definedName name="办公物业管理">'比较法-办公'!$B$115:$M$115</definedName>
    <definedName name="办公用途" localSheetId="10">'[1]比较法-办公'!$B$64:$M$64</definedName>
    <definedName name="办公用途" localSheetId="7">'比较法-办公'!$B$64:$M$64</definedName>
    <definedName name="办公用途">'比较法-办公'!$B$64:$M$64</definedName>
    <definedName name="仓储公共部分装修" localSheetId="10">'[1]比较法-仓储'!$B$77:$M$77</definedName>
    <definedName name="仓储公共部分装修" localSheetId="7">'比较法-仓储'!$B$77:$M$77</definedName>
    <definedName name="仓储公共部分装修">'比较法-仓储'!$B$77:$M$77</definedName>
    <definedName name="仓储交易情况" localSheetId="10">'[1]比较法-仓储'!$A$49:$M$49</definedName>
    <definedName name="仓储交易情况" localSheetId="7">'比较法-仓储'!$A$49:$M$49</definedName>
    <definedName name="仓储交易情况">'比较法-仓储'!$A$49:$M$49</definedName>
    <definedName name="仓储楼层" localSheetId="10">'[1]比较法-仓储'!$B$69:$M$69</definedName>
    <definedName name="仓储楼层" localSheetId="7">'比较法-仓储'!$B$69:$M$69</definedName>
    <definedName name="仓储楼层">'比较法-仓储'!$B$69:$M$69</definedName>
    <definedName name="仓储物业等级" localSheetId="10">'[1]比较法-仓储'!$B$82:$M$82</definedName>
    <definedName name="仓储物业等级" localSheetId="7">'比较法-仓储'!$B$82:$M$82</definedName>
    <definedName name="仓储物业等级">'比较法-仓储'!$B$82:$M$82</definedName>
    <definedName name="仓储用途" localSheetId="10">'[1]比较法-仓储'!$B$51:$M$51</definedName>
    <definedName name="仓储用途" localSheetId="7">'比较法-仓储'!$B$51:$M$51</definedName>
    <definedName name="仓储用途">'比较法-仓储'!$B$51:$M$51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 localSheetId="7">'比较法-车位'!$B$83:$M$83</definedName>
    <definedName name="车位公共部分装修">'比较法-车位'!$B$83:$M$83</definedName>
    <definedName name="车位交易情况" localSheetId="10">'[1]比较法-车位'!$A$51:$M$51</definedName>
    <definedName name="车位交易情况" localSheetId="7">'比较法-车位'!$A$51:$M$51</definedName>
    <definedName name="车位交易情况">'比较法-车位'!$A$51:$M$51</definedName>
    <definedName name="车位类型" localSheetId="10">'[1]比较法-车位'!$B$93:$M$93</definedName>
    <definedName name="车位类型" localSheetId="7">'比较法-车位'!$B$93:$M$93</definedName>
    <definedName name="车位类型">'比较法-车位'!$B$93:$M$93</definedName>
    <definedName name="车位楼层" localSheetId="10">'[1]比较法-车位'!$B$71:$M$71</definedName>
    <definedName name="车位楼层" localSheetId="7">'比较法-车位'!$B$71:$M$71</definedName>
    <definedName name="车位楼层">'比较法-车位'!$B$71:$M$71</definedName>
    <definedName name="车位配套类型" localSheetId="10">'[1]比较法-车位'!$B$79:$M$79</definedName>
    <definedName name="车位配套类型" localSheetId="7">'比较法-车位'!$B$79:$M$79</definedName>
    <definedName name="车位配套类型">'比较法-车位'!$B$79:$M$79</definedName>
    <definedName name="车位物业等级" localSheetId="10">'[1]比较法-车位'!$B$88:$M$88</definedName>
    <definedName name="车位物业等级" localSheetId="7">'比较法-车位'!$B$88:$M$88</definedName>
    <definedName name="车位物业等级">'比较法-车位'!$B$88:$M$88</definedName>
    <definedName name="车位用途" localSheetId="10">'[1]比较法-车位'!$B$53:$M$53</definedName>
    <definedName name="车位用途" localSheetId="7">'比较法-车位'!$B$53:$M$53</definedName>
    <definedName name="车位用途">'比较法-车位'!$B$53:$M$53</definedName>
    <definedName name="城镇土地纳税等级分级范围" localSheetId="10">'[1]数据-取费表'!$D$41:$D$51</definedName>
    <definedName name="城镇土地纳税等级分级范围" localSheetId="7">'数据-取费表'!$D$41:$D$51</definedName>
    <definedName name="城镇土地纳税等级分级范围">'数据-取费表'!$D$41:$D$51</definedName>
    <definedName name="单价内涵" localSheetId="10">[1]定义!$V$1:$V$3</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10">[1]定义!$H$1:$H$9</definedName>
    <definedName name="地类判定" localSheetId="7">定义!$H$1:$H$9</definedName>
    <definedName name="地类判定">定义!$H$1:$H$9</definedName>
    <definedName name="二级">区片价!$J$1:$J$20</definedName>
    <definedName name="二级分类" localSheetId="10">[1]修正!$C$17:$C$39</definedName>
    <definedName name="二级分类" localSheetId="7">修正!$C$17:$C$39</definedName>
    <definedName name="二级分类">修正!$C$17:$C$39</definedName>
    <definedName name="法定最高年限" localSheetId="10">[1]定义!$G$1:$G$4</definedName>
    <definedName name="法定最高年限" localSheetId="7">定义!$G$1:$G$4</definedName>
    <definedName name="法定最高年限">定义!$G$1:$G$4</definedName>
    <definedName name="房地产估价师及注册号">估价师及机构信息!$D$3:$D$24</definedName>
    <definedName name="工业公共部分装修" localSheetId="10">'[1]比较法-工业'!$B$95:$M$95</definedName>
    <definedName name="工业公共部分装修" localSheetId="7">'比较法-工业'!$B$95:$M$95</definedName>
    <definedName name="工业公共部分装修">'比较法-工业'!$B$95:$M$95</definedName>
    <definedName name="工业基础设施水平" localSheetId="10">'[1]比较法-工业'!$B$102:$M$102</definedName>
    <definedName name="工业基础设施水平" localSheetId="7">'比较法-工业'!$B$102:$M$102</definedName>
    <definedName name="工业基础设施水平">'比较法-工业'!$B$102:$M$102</definedName>
    <definedName name="工业建筑结构" localSheetId="10">'[1]比较法-工业'!$B$93:$M$93</definedName>
    <definedName name="工业建筑结构" localSheetId="7">'比较法-工业'!$B$93:$M$93</definedName>
    <definedName name="工业建筑结构">'比较法-工业'!$B$93:$M$93</definedName>
    <definedName name="工业建筑类型" localSheetId="10">'[1]比较法-工业'!$B$88:$M$88</definedName>
    <definedName name="工业建筑类型" localSheetId="7">'比较法-工业'!$B$88:$M$88</definedName>
    <definedName name="工业建筑类型">'比较法-工业'!$B$88:$M$88</definedName>
    <definedName name="工业交易情况" localSheetId="10">'[1]比较法-工业'!$A$55:$M$55</definedName>
    <definedName name="工业交易情况" localSheetId="7">'比较法-工业'!$A$55:$M$55</definedName>
    <definedName name="工业交易情况">'比较法-工业'!$A$55:$M$55</definedName>
    <definedName name="工业内部装修" localSheetId="10">'[1]比较法-工业'!$B$104:$M$104</definedName>
    <definedName name="工业内部装修" localSheetId="7">'比较法-工业'!$B$104:$M$104</definedName>
    <definedName name="工业内部装修">'比较法-工业'!$B$104:$M$104</definedName>
    <definedName name="工业物业管理" localSheetId="10">'[1]比较法-工业'!$B$100:$M$100</definedName>
    <definedName name="工业物业管理" localSheetId="7">'比较法-工业'!$B$100:$M$100</definedName>
    <definedName name="工业物业管理">'比较法-工业'!$B$100:$M$100</definedName>
    <definedName name="工业用途" localSheetId="10">'[1]比较法-工业'!$B$57:$M$57</definedName>
    <definedName name="工业用途" localSheetId="7">'比较法-工业'!$B$57:$M$57</definedName>
    <definedName name="工业用途">'比较法-工业'!$B$57:$M$57</definedName>
    <definedName name="公共配套设施" localSheetId="10">[1]定义!$Q$1:$Q$6</definedName>
    <definedName name="公共配套设施">定义!$Q$1:$Q$6</definedName>
    <definedName name="公用设施及基础设施水平" localSheetId="7">定义!$Q$1:$Q$6</definedName>
    <definedName name="估价方法" localSheetId="10">[1]定义!$B$1:$B$50</definedName>
    <definedName name="估价方法" localSheetId="7">定义!$B$1:$B$50</definedName>
    <definedName name="估价方法">定义!$B$1:$B$50</definedName>
    <definedName name="估价目的">定义!$A$51:$C$51</definedName>
    <definedName name="环境" localSheetId="10">[1]定义!$S$1:$S$6</definedName>
    <definedName name="环境" localSheetId="7">定义!$S$1:$S$6</definedName>
    <definedName name="环境">定义!$S$1:$S$6</definedName>
    <definedName name="基础设施水平" localSheetId="10">[1]定义!$R$1:$R$7</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 localSheetId="10">[1]定义!$B$54:$B$56</definedName>
    <definedName name="价值类型2">定义!$B$54:$B$56</definedName>
    <definedName name="建筑使用方向">定义!$Y:$Y</definedName>
    <definedName name="交通便捷度" localSheetId="10">[1]定义!$O$1:$O$6</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10">[1]定义!$K$1:$K$6</definedName>
    <definedName name="居住社区成熟度" localSheetId="7">定义!$K$1:$K$6</definedName>
    <definedName name="居住社区成熟度">定义!$K$1:$K$6</definedName>
    <definedName name="类别">定义!$J$1:$J$3</definedName>
    <definedName name="临街状况" localSheetId="10">[1]定义!$T$1:$T$5</definedName>
    <definedName name="临街状况" localSheetId="7">定义!$T$1:$T$5</definedName>
    <definedName name="临街状况">定义!$T$1:$T$5</definedName>
    <definedName name="六级">区片价!$N$1:$N$49</definedName>
    <definedName name="内部装修维护情况" localSheetId="10">[1]定义!$U$1:$U$6</definedName>
    <definedName name="内部装修维护情况" localSheetId="7">定义!$U$1:$U$6</definedName>
    <definedName name="内部装修维护情况">定义!$U$1:$U$6</definedName>
    <definedName name="判定" localSheetId="10">[1]定义!$D$1:$D$4</definedName>
    <definedName name="判定">定义!$D$1:$D$4</definedName>
    <definedName name="七级">区片价!$O$1:$O$49</definedName>
    <definedName name="七通一平" localSheetId="10">[1]修正!$A$6:$A$14</definedName>
    <definedName name="七通一平" localSheetId="7">修正!$A$6:$A$14</definedName>
    <definedName name="七通一平">修正!$A$6:$A$14</definedName>
    <definedName name="区域土地利用方向" localSheetId="10">[1]定义!$P$1:$P$6</definedName>
    <definedName name="区域土地利用方向" localSheetId="7">定义!$P$1:$P$6</definedName>
    <definedName name="区域土地利用方向">定义!$P$1:$P$6</definedName>
    <definedName name="三级">区片价!$K$1:$K$21</definedName>
    <definedName name="商业层高" localSheetId="10">'[1]比较法-商业'!$B$116:$M$116</definedName>
    <definedName name="商业层高" localSheetId="7">'比较法-商业'!$B$116:$M$116</definedName>
    <definedName name="商业层高">'比较法-商业'!$B$116:$M$116</definedName>
    <definedName name="商业成新度">'比较法-商业'!$B$109:$M$109</definedName>
    <definedName name="商业繁华度" localSheetId="10">[1]定义!$L$1:$L$6</definedName>
    <definedName name="商业繁华度" localSheetId="7">定义!$L$1:$L$6</definedName>
    <definedName name="商业繁华度">定义!$L$1:$L$6</definedName>
    <definedName name="商业公共部分装修" localSheetId="10">'[1]比较法-商业'!$B$107:$M$107</definedName>
    <definedName name="商业公共部分装修" localSheetId="7">'比较法-商业'!$B$107:$M$107</definedName>
    <definedName name="商业公共部分装修">'比较法-商业'!$B$107:$M$107</definedName>
    <definedName name="商业基础设施水平" localSheetId="10">'[1]比较法-商业'!$B$112:$M$112</definedName>
    <definedName name="商业基础设施水平" localSheetId="7">'比较法-商业'!$B$112:$M$112</definedName>
    <definedName name="商业基础设施水平">'比较法-商业'!$B$112:$M$112</definedName>
    <definedName name="商业建筑结构" localSheetId="10">'[1]比较法-商业'!$B$105:$M$105</definedName>
    <definedName name="商业建筑结构" localSheetId="7">'比较法-商业'!$B$105:$M$105</definedName>
    <definedName name="商业建筑结构">'比较法-商业'!$B$105:$M$105</definedName>
    <definedName name="商业交易情况" localSheetId="10">'[1]比较法-商业'!$A$61:$M$61</definedName>
    <definedName name="商业交易情况" localSheetId="7">'比较法-商业'!$A$61:$M$61</definedName>
    <definedName name="商业交易情况">'比较法-商业'!$A$61:$M$61</definedName>
    <definedName name="商业街名称" localSheetId="10">[1]修正!$C$59:$C$119</definedName>
    <definedName name="商业街名称" localSheetId="7">修正!$C$59:$C$119</definedName>
    <definedName name="商业街名称">修正!$C$59:$C$119</definedName>
    <definedName name="商业进深比" localSheetId="10">'[1]比较法-商业'!$B$120:$M$120</definedName>
    <definedName name="商业进深比" localSheetId="7">'比较法-商业'!$B$120:$M$120</definedName>
    <definedName name="商业进深比">'比较法-商业'!$B$120:$M$120</definedName>
    <definedName name="商业类型" localSheetId="10">'[1]比较法-商业'!$B$100:$M$100</definedName>
    <definedName name="商业类型" localSheetId="7">'比较法-商业'!$B$100:$M$100</definedName>
    <definedName name="商业类型">'比较法-商业'!$B$100:$M$100</definedName>
    <definedName name="商业临街状况" localSheetId="10">'[1]比较法-商业'!$B$86:$M$86</definedName>
    <definedName name="商业临街状况" localSheetId="7">'比较法-商业'!$B$86:$M$86</definedName>
    <definedName name="商业临街状况">'比较法-商业'!$B$86:$M$86</definedName>
    <definedName name="商业楼层" localSheetId="10">'[1]比较法-商业'!$B$92:$M$92</definedName>
    <definedName name="商业楼层" localSheetId="7">'比较法-商业'!$B$92:$M$92</definedName>
    <definedName name="商业楼层">'比较法-商业'!$B$92:$M$92</definedName>
    <definedName name="商业内部装修" localSheetId="10">'[1]比较法-商业'!$B$122:$M$122</definedName>
    <definedName name="商业内部装修" localSheetId="7">'比较法-商业'!$B$122:$M$122</definedName>
    <definedName name="商业内部装修">'比较法-商业'!$B$122:$M$122</definedName>
    <definedName name="商业人流量" localSheetId="10">'[1]比较法-商业'!$B$90:$M$90</definedName>
    <definedName name="商业人流量" localSheetId="7">'比较法-商业'!$B$90:$M$90</definedName>
    <definedName name="商业人流量">'比较法-商业'!$B$90:$M$90</definedName>
    <definedName name="商业业态" localSheetId="10">'[1]比较法-商业'!$B$114:$M$114</definedName>
    <definedName name="商业业态" localSheetId="7">'比较法-商业'!$B$114:$M$114</definedName>
    <definedName name="商业业态">'比较法-商业'!$B$114:$M$114</definedName>
    <definedName name="商业用途" localSheetId="10">'[1]比较法-商业'!$B$63:$M$63</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 localSheetId="7">'比较法-仓储'!$B$89:$M$89</definedName>
    <definedName name="是否封闭">'比较法-仓储'!$B$89:$M$89</definedName>
    <definedName name="是否直接入户" localSheetId="10">'[1]比较法-车位'!$B$95:$M$95</definedName>
    <definedName name="是否直接入户" localSheetId="7">'比较法-车位'!$B$95:$M$95</definedName>
    <definedName name="是否直接入户">'比较法-车位'!$B$95:$M$95</definedName>
    <definedName name="四级">区片价!$L$1:$L$28</definedName>
    <definedName name="套工道路等级" localSheetId="10">'[1]土地比较法-工业'!$B$97:$M$97</definedName>
    <definedName name="套工道路等级">'土地比较法-工业'!$B$97:$M$97</definedName>
    <definedName name="套工地质条件" localSheetId="10">'[1]土地比较法-工业'!$B$114:$M$114</definedName>
    <definedName name="套工地质条件">'土地比较法-工业'!$B$114:$M$114</definedName>
    <definedName name="套工交易情况" localSheetId="10">'[1]土地比较法-住宅、综合'!$A$73:$M$73</definedName>
    <definedName name="套工交易情况" localSheetId="7">'土地比较法-住宅、综合'!$A$73:$M$73</definedName>
    <definedName name="套工交易情况">'土地比较法-住宅、综合'!$A$73:$M$73</definedName>
    <definedName name="套工土地级别" localSheetId="10">'[1]土地比较法-工业'!$B$99:$M$99</definedName>
    <definedName name="套工土地级别" localSheetId="7">'土地比较法-工业'!$B$99:$M$99</definedName>
    <definedName name="套工土地级别">'土地比较法-工业'!$B$99:$M$99</definedName>
    <definedName name="套工用途" localSheetId="10">'[1]土地比较法-工业'!$B$70:$M$70</definedName>
    <definedName name="套工用途" localSheetId="7">'土地比较法-工业'!$B$70:$M$70</definedName>
    <definedName name="套工用途">'土地比较法-工业'!$B$70:$M$70</definedName>
    <definedName name="套工宗地内开发程度" localSheetId="10">'[1]土地比较法-工业'!$B$112:$M$112</definedName>
    <definedName name="套工宗地内开发程度">'土地比较法-工业'!$B$112:$M$112</definedName>
    <definedName name="套工宗地形状" localSheetId="10">'[1]土地比较法-工业'!$B$110:$M$110</definedName>
    <definedName name="套工宗地形状">'土地比较法-工业'!$B$110:$M$110</definedName>
    <definedName name="套综道路等级" localSheetId="10">'[1]土地比较法-住宅、综合'!$B$106:$M$106</definedName>
    <definedName name="套综道路等级" localSheetId="7">'土地比较法-住宅、综合'!$B$106:$M$106</definedName>
    <definedName name="套综道路等级">'土地比较法-住宅、综合'!$B$106:$M$106</definedName>
    <definedName name="套综工程地质条件" localSheetId="10">'[1]土地比较法-住宅、综合'!$B$125:$M$125</definedName>
    <definedName name="套综工程地质条件" localSheetId="7">'土地比较法-住宅、综合'!$B$125:$M$125</definedName>
    <definedName name="套综工程地质条件">'土地比较法-住宅、综合'!$B$125:$M$125</definedName>
    <definedName name="套综交易情况" localSheetId="10">'[1]土地比较法-住宅、综合'!$A$73:$M$73</definedName>
    <definedName name="套综交易情况" localSheetId="7">'土地比较法-住宅、综合'!$A$73:$M$73</definedName>
    <definedName name="套综交易情况">'土地比较法-住宅、综合'!$A$73:$M$73</definedName>
    <definedName name="套综临街宽度及深度" localSheetId="10">'[1]土地比较法-住宅、综合'!$B$121:$M$121</definedName>
    <definedName name="套综临街宽度及深度" localSheetId="7">'土地比较法-住宅、综合'!$B$121:$M$121</definedName>
    <definedName name="套综临街宽度及深度">'土地比较法-住宅、综合'!$B$121:$M$121</definedName>
    <definedName name="套综土地级别" localSheetId="10">'[1]土地比较法-住宅、综合'!$B$108:$M$108</definedName>
    <definedName name="套综土地级别" localSheetId="7">'土地比较法-住宅、综合'!$B$108:$M$108</definedName>
    <definedName name="套综土地级别">'土地比较法-住宅、综合'!$B$108:$M$108</definedName>
    <definedName name="套综用途" localSheetId="10">'[1]土地比较法-住宅、综合'!$B$75:$M$75</definedName>
    <definedName name="套综用途" localSheetId="7">'土地比较法-住宅、综合'!$B$75:$M$75</definedName>
    <definedName name="套综用途">'土地比较法-住宅、综合'!$B$75:$M$75</definedName>
    <definedName name="套综宗地内开发程度" localSheetId="10">'[1]土地比较法-住宅、综合'!$B$123:$M$123</definedName>
    <definedName name="套综宗地内开发程度" localSheetId="7">'土地比较法-住宅、综合'!$B$123:$M$123</definedName>
    <definedName name="套综宗地内开发程度">'土地比较法-住宅、综合'!$B$123:$M$123</definedName>
    <definedName name="套综宗地形状" localSheetId="10">'[1]土地比较法-住宅、综合'!$B$119:$M$119</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0">[1]定义!$C$1:$C$13</definedName>
    <definedName name="土地级别" localSheetId="7">定义!$C$1:$C$13</definedName>
    <definedName name="土地级别">定义!$C$1:$C$13</definedName>
    <definedName name="土地利用方向">定义!$P$1:$P$6</definedName>
    <definedName name="土地年限区间" localSheetId="10">[1]定义!$I$1:$I$8</definedName>
    <definedName name="土地年限区间" localSheetId="7">定义!$I$1:$I$8</definedName>
    <definedName name="土地年限区间">定义!$I$1:$I$8</definedName>
    <definedName name="位置">定义!$E$2:$E$4</definedName>
    <definedName name="五等判定" localSheetId="10">[1]定义!$W$1:$W$6</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10">'[1]比较法-办公'!$B$113:$M$113</definedName>
    <definedName name="写字楼等级" localSheetId="7">'比较法-办公'!$B$113:$M$113</definedName>
    <definedName name="写字楼等级">'比较法-办公'!$B$113:$M$113</definedName>
    <definedName name="一级">区片价!$I$1:$I$6</definedName>
    <definedName name="一修多修正项2" localSheetId="10">[1]典型户型修正!$8:$8</definedName>
    <definedName name="一修多修正项2" localSheetId="7">典型户型修正!$8:$8</definedName>
    <definedName name="一修多修正项2">典型户型修正!$8:$8</definedName>
    <definedName name="一修多修正项3" localSheetId="10">[1]典型户型修正!$10:$10</definedName>
    <definedName name="一修多修正项3" localSheetId="7">典型户型修正!$10:$10</definedName>
    <definedName name="一修多修正项3">典型户型修正!$10:$10</definedName>
    <definedName name="一修多修正项4" localSheetId="10">[1]典型户型修正!$12:$12</definedName>
    <definedName name="一修多修正项4" localSheetId="7">典型户型修正!$12:$12</definedName>
    <definedName name="一修多修正项4">典型户型修正!$12:$12</definedName>
    <definedName name="一修多修正项5" localSheetId="10">[1]典型户型修正!$14:$14</definedName>
    <definedName name="一修多修正项5" localSheetId="7">典型户型修正!$14:$14</definedName>
    <definedName name="一修多修正项5">典型户型修正!$14:$14</definedName>
    <definedName name="一修多修正项6" localSheetId="10">[1]典型户型修正!$16:$16</definedName>
    <definedName name="一修多修正项6" localSheetId="7">典型户型修正!$16:$16</definedName>
    <definedName name="一修多修正项6">典型户型修正!$16:$16</definedName>
    <definedName name="一修多修正项7" localSheetId="10">[1]典型户型修正!$18:$18</definedName>
    <definedName name="一修多修正项7" localSheetId="7">典型户型修正!$18:$18</definedName>
    <definedName name="一修多修正项7">典型户型修正!$18:$18</definedName>
    <definedName name="一修多修正项8" localSheetId="10">[1]典型户型修正!$20:$20</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0">'[1]比较法-仓储'!$B$84:$M$84</definedName>
    <definedName name="有无电梯" localSheetId="7">'比较法-仓储'!$B$84:$M$84</definedName>
    <definedName name="有无电梯">'比较法-仓储'!$B$84:$M$84</definedName>
    <definedName name="主用途">定义!$F$1:$F$10</definedName>
    <definedName name="住宅朝向" localSheetId="10">'[1]比较法-住宅'!$B$88:$M$88</definedName>
    <definedName name="住宅朝向" localSheetId="7">'比较法-住宅'!$B$88:$M$88</definedName>
    <definedName name="住宅朝向">'比较法-住宅'!$B$88:$M$88</definedName>
    <definedName name="住宅房型" localSheetId="10">'[1]比较法-住宅'!$B$118:$M$118</definedName>
    <definedName name="住宅房型" localSheetId="7">'比较法-住宅'!$B$118:$M$118</definedName>
    <definedName name="住宅房型">'比较法-住宅'!$B$118:$M$118</definedName>
    <definedName name="住宅公共部分装修" localSheetId="10">'[1]比较法-住宅'!$B$109:$M$109</definedName>
    <definedName name="住宅公共部分装修" localSheetId="7">'比较法-住宅'!$B$109:$M$109</definedName>
    <definedName name="住宅公共部分装修">'比较法-住宅'!$B$109:$M$109</definedName>
    <definedName name="住宅基础设施水平" localSheetId="10">'[1]比较法-住宅'!$B$116:$M$116</definedName>
    <definedName name="住宅基础设施水平" localSheetId="7">'比较法-住宅'!$B$116:$M$116</definedName>
    <definedName name="住宅基础设施水平">'比较法-住宅'!$B$116:$M$116</definedName>
    <definedName name="住宅建筑结构" localSheetId="10">'[1]比较法-住宅'!$B$105:$M$105</definedName>
    <definedName name="住宅建筑结构" localSheetId="7">'比较法-住宅'!$B$105:$M$105</definedName>
    <definedName name="住宅建筑结构">'比较法-住宅'!$B$105:$M$105</definedName>
    <definedName name="住宅建筑类型" localSheetId="10">'[1]比较法-住宅'!$B$100:$M$100</definedName>
    <definedName name="住宅建筑类型" localSheetId="7">'比较法-住宅'!$B$100:$M$100</definedName>
    <definedName name="住宅建筑类型">'比较法-住宅'!$B$100:$M$100</definedName>
    <definedName name="住宅建筑品质" localSheetId="10">'[1]比较法-住宅'!$B$107:$M$107</definedName>
    <definedName name="住宅建筑品质" localSheetId="7">'比较法-住宅'!$B$107:$M$107</definedName>
    <definedName name="住宅建筑品质">'比较法-住宅'!$B$107:$M$107</definedName>
    <definedName name="住宅交易情况" localSheetId="10">'[1]比较法-住宅'!$A$61:$M$61</definedName>
    <definedName name="住宅交易情况" localSheetId="7">'比较法-住宅'!$A$61:$M$61</definedName>
    <definedName name="住宅交易情况">'比较法-住宅'!$A$61:$M$61</definedName>
    <definedName name="住宅楼层" localSheetId="10">'[1]比较法-住宅'!$B$86:$M$86</definedName>
    <definedName name="住宅楼层" localSheetId="7">'比较法-住宅'!$B$86:$M$86</definedName>
    <definedName name="住宅楼层">'比较法-住宅'!$B$86:$M$86</definedName>
    <definedName name="住宅内部装修" localSheetId="10">'[1]比较法-住宅'!$B$122:$M$122</definedName>
    <definedName name="住宅内部装修" localSheetId="7">'比较法-住宅'!$B$122:$M$122</definedName>
    <definedName name="住宅内部装修">'比较法-住宅'!$B$122:$M$122</definedName>
    <definedName name="住宅物业管理" localSheetId="10">'[1]比较法-住宅'!$B$114:$M$114</definedName>
    <definedName name="住宅物业管理" localSheetId="7">'比较法-住宅'!$B$114:$M$114</definedName>
    <definedName name="住宅物业管理">'比较法-住宅'!$B$114:$M$114</definedName>
    <definedName name="住宅用途" localSheetId="10">'[1]比较法-住宅'!$B$63:$M$63</definedName>
    <definedName name="住宅用途" localSheetId="7">'比较法-住宅'!$B$63:$M$63</definedName>
    <definedName name="住宅用途">'比较法-住宅'!$B$63:$M$63</definedName>
    <definedName name="住宅主力户型面积">'比较法-住宅'!$B$120:$M$120</definedName>
    <definedName name="注册房地产估价师" localSheetId="1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823" i="67" l="1"/>
  <c r="I823"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I263" i="67"/>
  <c r="I264" i="67"/>
  <c r="I265" i="67"/>
  <c r="I266" i="67"/>
  <c r="I267" i="67"/>
  <c r="I268" i="67"/>
  <c r="I269" i="67"/>
  <c r="I270" i="67"/>
  <c r="I271" i="67"/>
  <c r="I272"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62" i="67"/>
  <c r="I363" i="67"/>
  <c r="I364" i="67"/>
  <c r="I365" i="67"/>
  <c r="I366" i="67"/>
  <c r="I367" i="67"/>
  <c r="I368" i="67"/>
  <c r="I369" i="67"/>
  <c r="I370" i="67"/>
  <c r="I371" i="67"/>
  <c r="I372" i="67"/>
  <c r="I373" i="67"/>
  <c r="I374" i="67"/>
  <c r="I375" i="67"/>
  <c r="I376" i="67"/>
  <c r="I377" i="67"/>
  <c r="I378" i="67"/>
  <c r="I379" i="67"/>
  <c r="I380" i="67"/>
  <c r="I381" i="67"/>
  <c r="I382" i="67"/>
  <c r="I383" i="67"/>
  <c r="I384" i="67"/>
  <c r="I385" i="67"/>
  <c r="I386" i="67"/>
  <c r="I387" i="67"/>
  <c r="I388" i="67"/>
  <c r="I389" i="67"/>
  <c r="I390" i="67"/>
  <c r="I391" i="67"/>
  <c r="I392" i="67"/>
  <c r="I393" i="67"/>
  <c r="I394" i="67"/>
  <c r="I395" i="67"/>
  <c r="I396" i="67"/>
  <c r="I397" i="67"/>
  <c r="I398" i="67"/>
  <c r="I399" i="67"/>
  <c r="I400" i="67"/>
  <c r="I401" i="67"/>
  <c r="I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62" i="67"/>
  <c r="I463" i="67"/>
  <c r="I464" i="67"/>
  <c r="I465" i="67"/>
  <c r="I466" i="67"/>
  <c r="I467" i="67"/>
  <c r="I468" i="67"/>
  <c r="I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95" i="67"/>
  <c r="I496" i="67"/>
  <c r="I497" i="67"/>
  <c r="I498" i="67"/>
  <c r="I499" i="67"/>
  <c r="I500" i="67"/>
  <c r="I501" i="67"/>
  <c r="I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28" i="67"/>
  <c r="I529" i="67"/>
  <c r="I530" i="67"/>
  <c r="I531" i="67"/>
  <c r="I532" i="67"/>
  <c r="I533" i="67"/>
  <c r="I534" i="67"/>
  <c r="I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61" i="67"/>
  <c r="I562" i="67"/>
  <c r="I563" i="67"/>
  <c r="I564" i="67"/>
  <c r="I565" i="67"/>
  <c r="I566" i="67"/>
  <c r="I567" i="67"/>
  <c r="I568" i="67"/>
  <c r="I569" i="67"/>
  <c r="I570" i="67"/>
  <c r="I571" i="67"/>
  <c r="I572" i="67"/>
  <c r="I573" i="67"/>
  <c r="I574" i="67"/>
  <c r="I575" i="67"/>
  <c r="I576" i="67"/>
  <c r="I577" i="67"/>
  <c r="I578" i="67"/>
  <c r="I579" i="67"/>
  <c r="I580" i="67"/>
  <c r="I581" i="67"/>
  <c r="I582" i="67"/>
  <c r="I583" i="67"/>
  <c r="I584" i="67"/>
  <c r="I585" i="67"/>
  <c r="I586" i="67"/>
  <c r="I587" i="67"/>
  <c r="I588" i="67"/>
  <c r="I589" i="67"/>
  <c r="I590" i="67"/>
  <c r="I591" i="67"/>
  <c r="I592" i="67"/>
  <c r="I593" i="67"/>
  <c r="I594" i="67"/>
  <c r="I595" i="67"/>
  <c r="I596" i="67"/>
  <c r="I597" i="67"/>
  <c r="I598" i="67"/>
  <c r="I599" i="67"/>
  <c r="I600" i="67"/>
  <c r="I601" i="67"/>
  <c r="I602" i="67"/>
  <c r="I603" i="67"/>
  <c r="I604" i="67"/>
  <c r="I605" i="67"/>
  <c r="I606" i="67"/>
  <c r="I607" i="67"/>
  <c r="I608" i="67"/>
  <c r="I609" i="67"/>
  <c r="I610" i="67"/>
  <c r="I611" i="67"/>
  <c r="I612" i="67"/>
  <c r="I613" i="67"/>
  <c r="I614" i="67"/>
  <c r="I615" i="67"/>
  <c r="I616" i="67"/>
  <c r="I617" i="67"/>
  <c r="I618" i="67"/>
  <c r="I619" i="67"/>
  <c r="I620" i="67"/>
  <c r="I621" i="67"/>
  <c r="I622" i="67"/>
  <c r="I623" i="67"/>
  <c r="I624" i="67"/>
  <c r="I625" i="67"/>
  <c r="I626" i="67"/>
  <c r="I627" i="67"/>
  <c r="I628" i="67"/>
  <c r="I629" i="67"/>
  <c r="I630" i="67"/>
  <c r="I631" i="67"/>
  <c r="I632" i="67"/>
  <c r="I633" i="67"/>
  <c r="I634" i="67"/>
  <c r="I635" i="67"/>
  <c r="I636" i="67"/>
  <c r="I637" i="67"/>
  <c r="I638" i="67"/>
  <c r="I639" i="67"/>
  <c r="I640" i="67"/>
  <c r="I641" i="67"/>
  <c r="I642" i="67"/>
  <c r="I643" i="67"/>
  <c r="I644" i="67"/>
  <c r="I645" i="67"/>
  <c r="I646" i="67"/>
  <c r="I647" i="67"/>
  <c r="I648" i="67"/>
  <c r="I649" i="67"/>
  <c r="I650" i="67"/>
  <c r="I651" i="67"/>
  <c r="I652" i="67"/>
  <c r="I653" i="67"/>
  <c r="I654" i="67"/>
  <c r="I655" i="67"/>
  <c r="I656" i="67"/>
  <c r="I657" i="67"/>
  <c r="I658" i="67"/>
  <c r="I659" i="67"/>
  <c r="I660" i="67"/>
  <c r="I661" i="67"/>
  <c r="I662" i="67"/>
  <c r="I663" i="67"/>
  <c r="I664" i="67"/>
  <c r="I665" i="67"/>
  <c r="I666" i="67"/>
  <c r="I667" i="67"/>
  <c r="I668" i="67"/>
  <c r="I669" i="67"/>
  <c r="I670" i="67"/>
  <c r="I671" i="67"/>
  <c r="I672" i="67"/>
  <c r="I673" i="67"/>
  <c r="I674" i="67"/>
  <c r="I675" i="67"/>
  <c r="I676" i="67"/>
  <c r="I677" i="67"/>
  <c r="I678" i="67"/>
  <c r="I679" i="67"/>
  <c r="I680" i="67"/>
  <c r="I681" i="67"/>
  <c r="I682" i="67"/>
  <c r="I683" i="67"/>
  <c r="I684" i="67"/>
  <c r="I685" i="67"/>
  <c r="I686" i="67"/>
  <c r="I687" i="67"/>
  <c r="I688" i="67"/>
  <c r="I689" i="67"/>
  <c r="I690" i="67"/>
  <c r="I691" i="67"/>
  <c r="I692" i="67"/>
  <c r="I693" i="67"/>
  <c r="I694" i="67"/>
  <c r="I695" i="67"/>
  <c r="I696" i="67"/>
  <c r="I697" i="67"/>
  <c r="I698" i="67"/>
  <c r="I699" i="67"/>
  <c r="I700" i="67"/>
  <c r="I701" i="67"/>
  <c r="I702" i="67"/>
  <c r="I703" i="67"/>
  <c r="I704" i="67"/>
  <c r="I705" i="67"/>
  <c r="I706" i="67"/>
  <c r="I707" i="67"/>
  <c r="I708" i="67"/>
  <c r="I709" i="67"/>
  <c r="I710" i="67"/>
  <c r="I711" i="67"/>
  <c r="I712" i="67"/>
  <c r="I713" i="67"/>
  <c r="I714" i="67"/>
  <c r="I715" i="67"/>
  <c r="I716" i="67"/>
  <c r="I717" i="67"/>
  <c r="I718" i="67"/>
  <c r="I719" i="67"/>
  <c r="I720" i="67"/>
  <c r="I721" i="67"/>
  <c r="I722" i="67"/>
  <c r="I723" i="67"/>
  <c r="I724" i="67"/>
  <c r="I725" i="67"/>
  <c r="I726" i="67"/>
  <c r="I727" i="67"/>
  <c r="I728" i="67"/>
  <c r="I729" i="67"/>
  <c r="I730" i="67"/>
  <c r="I731" i="67"/>
  <c r="I732" i="67"/>
  <c r="I733" i="67"/>
  <c r="I734" i="67"/>
  <c r="I735" i="67"/>
  <c r="I736" i="67"/>
  <c r="I737" i="67"/>
  <c r="I738" i="67"/>
  <c r="I739" i="67"/>
  <c r="I740" i="67"/>
  <c r="I741" i="67"/>
  <c r="I742" i="67"/>
  <c r="I743" i="67"/>
  <c r="I744" i="67"/>
  <c r="I745" i="67"/>
  <c r="I746" i="67"/>
  <c r="I747" i="67"/>
  <c r="I748" i="67"/>
  <c r="I749" i="67"/>
  <c r="I750" i="67"/>
  <c r="I751" i="67"/>
  <c r="I752" i="67"/>
  <c r="I753" i="67"/>
  <c r="I754" i="67"/>
  <c r="I755" i="67"/>
  <c r="I756" i="67"/>
  <c r="I757" i="67"/>
  <c r="I758" i="67"/>
  <c r="I759" i="67"/>
  <c r="I760" i="67"/>
  <c r="I761" i="67"/>
  <c r="I762" i="67"/>
  <c r="I763" i="67"/>
  <c r="I764" i="67"/>
  <c r="I765" i="67"/>
  <c r="I766" i="67"/>
  <c r="I767" i="67"/>
  <c r="I768" i="67"/>
  <c r="I769" i="67"/>
  <c r="I770" i="67"/>
  <c r="I771" i="67"/>
  <c r="I772" i="67"/>
  <c r="I773" i="67"/>
  <c r="I774" i="67"/>
  <c r="I775" i="67"/>
  <c r="I776" i="67"/>
  <c r="I777" i="67"/>
  <c r="I778" i="67"/>
  <c r="I779" i="67"/>
  <c r="I780" i="67"/>
  <c r="I781" i="67"/>
  <c r="I782" i="67"/>
  <c r="I783" i="67"/>
  <c r="I784" i="67"/>
  <c r="I785" i="67"/>
  <c r="I786" i="67"/>
  <c r="I787" i="67"/>
  <c r="I788" i="67"/>
  <c r="I789" i="67"/>
  <c r="I790" i="67"/>
  <c r="I791" i="67"/>
  <c r="I792" i="67"/>
  <c r="I793" i="67"/>
  <c r="I794" i="67"/>
  <c r="I795" i="67"/>
  <c r="I796" i="67"/>
  <c r="I797" i="67"/>
  <c r="I798" i="67"/>
  <c r="I799" i="67"/>
  <c r="I800" i="67"/>
  <c r="I801" i="67"/>
  <c r="I802" i="67"/>
  <c r="I803" i="67"/>
  <c r="I804" i="67"/>
  <c r="I805" i="67"/>
  <c r="I806" i="67"/>
  <c r="I807" i="67"/>
  <c r="I808" i="67"/>
  <c r="I809" i="67"/>
  <c r="I810" i="67"/>
  <c r="I811" i="67"/>
  <c r="I812" i="67"/>
  <c r="I813" i="67"/>
  <c r="I814" i="67"/>
  <c r="I815" i="67"/>
  <c r="I816" i="67"/>
  <c r="I817" i="67"/>
  <c r="I818" i="67"/>
  <c r="I819" i="67"/>
  <c r="I820" i="67"/>
  <c r="I821" i="67"/>
  <c r="I822" i="67"/>
  <c r="I6" i="67"/>
  <c r="I5" i="67"/>
  <c r="D14" i="57" l="1"/>
  <c r="E6" i="1"/>
  <c r="I47" i="21"/>
  <c r="G47" i="21"/>
  <c r="C37" i="21" l="1"/>
  <c r="E20" i="1" l="1"/>
  <c r="G823" i="67" l="1"/>
  <c r="B31" i="31" l="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30" i="31"/>
  <c r="B29" i="31"/>
  <c r="B28" i="31"/>
  <c r="G823" i="66" l="1"/>
  <c r="C13" i="4" s="1"/>
  <c r="H823" i="66"/>
  <c r="C12" i="4" s="1"/>
  <c r="J823" i="66"/>
  <c r="H30" i="31" l="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525" i="31"/>
  <c r="H526" i="31"/>
  <c r="H527" i="31"/>
  <c r="H528" i="31"/>
  <c r="H529" i="31"/>
  <c r="H530" i="31"/>
  <c r="H531" i="31"/>
  <c r="H532" i="31"/>
  <c r="H533" i="31"/>
  <c r="H534" i="31"/>
  <c r="H535" i="31"/>
  <c r="H536" i="31"/>
  <c r="H537" i="31"/>
  <c r="H538" i="31"/>
  <c r="H539" i="31"/>
  <c r="H540" i="31"/>
  <c r="H541" i="31"/>
  <c r="H542" i="31"/>
  <c r="H543" i="31"/>
  <c r="H544" i="31"/>
  <c r="H545" i="31"/>
  <c r="H546" i="31"/>
  <c r="H547" i="31"/>
  <c r="H548" i="31"/>
  <c r="H549" i="31"/>
  <c r="H550" i="31"/>
  <c r="H551" i="31"/>
  <c r="H552" i="31"/>
  <c r="H553" i="31"/>
  <c r="H554" i="31"/>
  <c r="H555" i="31"/>
  <c r="H556" i="31"/>
  <c r="H557" i="31"/>
  <c r="H558" i="31"/>
  <c r="H559" i="31"/>
  <c r="H560" i="31"/>
  <c r="H561" i="31"/>
  <c r="H562" i="31"/>
  <c r="H563" i="31"/>
  <c r="H564" i="31"/>
  <c r="H565" i="31"/>
  <c r="H566" i="31"/>
  <c r="H567" i="31"/>
  <c r="H568" i="31"/>
  <c r="H569" i="31"/>
  <c r="H570" i="31"/>
  <c r="H571" i="31"/>
  <c r="H572" i="31"/>
  <c r="H573" i="31"/>
  <c r="H574" i="31"/>
  <c r="H575" i="31"/>
  <c r="H576" i="31"/>
  <c r="H577" i="31"/>
  <c r="H578" i="31"/>
  <c r="H579" i="31"/>
  <c r="H580" i="31"/>
  <c r="H581" i="31"/>
  <c r="H582" i="31"/>
  <c r="H583" i="31"/>
  <c r="H584" i="31"/>
  <c r="H585" i="31"/>
  <c r="H586" i="31"/>
  <c r="H587" i="31"/>
  <c r="H588" i="31"/>
  <c r="H589" i="31"/>
  <c r="H590" i="31"/>
  <c r="H591" i="31"/>
  <c r="H592" i="31"/>
  <c r="H593" i="31"/>
  <c r="H594" i="31"/>
  <c r="H595" i="31"/>
  <c r="H596" i="31"/>
  <c r="H597" i="31"/>
  <c r="H598" i="31"/>
  <c r="H599" i="31"/>
  <c r="H600" i="31"/>
  <c r="H601" i="31"/>
  <c r="H602" i="31"/>
  <c r="H603" i="31"/>
  <c r="H604" i="31"/>
  <c r="H605" i="31"/>
  <c r="H606" i="31"/>
  <c r="H607" i="31"/>
  <c r="H608" i="31"/>
  <c r="H609" i="31"/>
  <c r="H610" i="31"/>
  <c r="H611" i="31"/>
  <c r="H612" i="31"/>
  <c r="H613" i="31"/>
  <c r="H614" i="31"/>
  <c r="H615" i="31"/>
  <c r="H616" i="31"/>
  <c r="H617" i="31"/>
  <c r="H618" i="31"/>
  <c r="H619" i="31"/>
  <c r="H620" i="31"/>
  <c r="H621" i="31"/>
  <c r="H622" i="31"/>
  <c r="H623" i="31"/>
  <c r="H624" i="31"/>
  <c r="H625" i="31"/>
  <c r="H626" i="31"/>
  <c r="H627" i="31"/>
  <c r="H628" i="31"/>
  <c r="H629" i="31"/>
  <c r="H630" i="31"/>
  <c r="H631" i="31"/>
  <c r="H632" i="31"/>
  <c r="H633" i="31"/>
  <c r="H634" i="31"/>
  <c r="H635" i="31"/>
  <c r="H636" i="31"/>
  <c r="H637" i="31"/>
  <c r="H638" i="31"/>
  <c r="H639" i="31"/>
  <c r="H640" i="31"/>
  <c r="H641" i="31"/>
  <c r="H642" i="31"/>
  <c r="H643" i="31"/>
  <c r="H644" i="31"/>
  <c r="H645" i="31"/>
  <c r="H646" i="31"/>
  <c r="H647" i="31"/>
  <c r="H648" i="31"/>
  <c r="H649" i="31"/>
  <c r="H650" i="31"/>
  <c r="H651" i="31"/>
  <c r="H652" i="31"/>
  <c r="H653" i="31"/>
  <c r="H654" i="31"/>
  <c r="H655" i="31"/>
  <c r="H656" i="31"/>
  <c r="H657" i="31"/>
  <c r="H658" i="31"/>
  <c r="H659" i="31"/>
  <c r="H660" i="31"/>
  <c r="H661" i="31"/>
  <c r="H662" i="31"/>
  <c r="H663" i="31"/>
  <c r="H664" i="31"/>
  <c r="H665" i="31"/>
  <c r="H666" i="31"/>
  <c r="H667" i="31"/>
  <c r="H668" i="31"/>
  <c r="H669" i="31"/>
  <c r="H670" i="31"/>
  <c r="H671" i="31"/>
  <c r="H672" i="31"/>
  <c r="H673" i="31"/>
  <c r="H674" i="31"/>
  <c r="H675" i="31"/>
  <c r="H676" i="31"/>
  <c r="H677" i="31"/>
  <c r="H678" i="31"/>
  <c r="H679" i="31"/>
  <c r="H680" i="31"/>
  <c r="H681" i="31"/>
  <c r="H682" i="31"/>
  <c r="H683" i="31"/>
  <c r="H684" i="31"/>
  <c r="H685" i="31"/>
  <c r="H686" i="31"/>
  <c r="H687" i="31"/>
  <c r="H688" i="31"/>
  <c r="H689" i="31"/>
  <c r="H690" i="31"/>
  <c r="H691" i="31"/>
  <c r="H692" i="31"/>
  <c r="H693" i="31"/>
  <c r="H694" i="31"/>
  <c r="H695" i="31"/>
  <c r="H696" i="31"/>
  <c r="H697" i="31"/>
  <c r="H698" i="31"/>
  <c r="H699" i="31"/>
  <c r="H700" i="31"/>
  <c r="H701" i="31"/>
  <c r="H702" i="31"/>
  <c r="H703" i="31"/>
  <c r="H704" i="31"/>
  <c r="H705" i="31"/>
  <c r="H706" i="31"/>
  <c r="H707" i="31"/>
  <c r="H708" i="31"/>
  <c r="H709" i="31"/>
  <c r="H710" i="31"/>
  <c r="H711" i="31"/>
  <c r="H712" i="31"/>
  <c r="H713" i="31"/>
  <c r="H714" i="31"/>
  <c r="H715" i="31"/>
  <c r="H716" i="31"/>
  <c r="H717" i="31"/>
  <c r="H718" i="31"/>
  <c r="H719" i="31"/>
  <c r="H720" i="31"/>
  <c r="H721" i="31"/>
  <c r="H722" i="31"/>
  <c r="H723" i="31"/>
  <c r="H724" i="31"/>
  <c r="H725" i="31"/>
  <c r="H726" i="31"/>
  <c r="H727" i="31"/>
  <c r="H728" i="31"/>
  <c r="H729" i="31"/>
  <c r="H730" i="31"/>
  <c r="H731" i="31"/>
  <c r="H732" i="31"/>
  <c r="H733" i="31"/>
  <c r="H734" i="31"/>
  <c r="H735" i="31"/>
  <c r="H736" i="31"/>
  <c r="H737" i="31"/>
  <c r="H738" i="31"/>
  <c r="H739" i="31"/>
  <c r="H740" i="31"/>
  <c r="H741" i="31"/>
  <c r="H742" i="31"/>
  <c r="H743" i="31"/>
  <c r="H744" i="31"/>
  <c r="H745" i="31"/>
  <c r="H746" i="31"/>
  <c r="H747" i="31"/>
  <c r="H748" i="31"/>
  <c r="H749" i="31"/>
  <c r="H750" i="31"/>
  <c r="H751" i="31"/>
  <c r="H752" i="31"/>
  <c r="H753" i="31"/>
  <c r="H754" i="31"/>
  <c r="H755" i="31"/>
  <c r="H756" i="31"/>
  <c r="H757" i="31"/>
  <c r="H758" i="31"/>
  <c r="H759" i="31"/>
  <c r="H760" i="31"/>
  <c r="H761" i="31"/>
  <c r="H762" i="31"/>
  <c r="H763" i="31"/>
  <c r="H764" i="31"/>
  <c r="H765" i="31"/>
  <c r="H766" i="31"/>
  <c r="H767" i="31"/>
  <c r="H768" i="31"/>
  <c r="H769" i="31"/>
  <c r="H770" i="31"/>
  <c r="H771" i="31"/>
  <c r="H772" i="31"/>
  <c r="H773" i="31"/>
  <c r="H774" i="31"/>
  <c r="H775" i="31"/>
  <c r="H776" i="31"/>
  <c r="H777" i="31"/>
  <c r="H778" i="31"/>
  <c r="H779" i="31"/>
  <c r="H780" i="31"/>
  <c r="H781" i="31"/>
  <c r="H782" i="31"/>
  <c r="H783" i="31"/>
  <c r="H784" i="31"/>
  <c r="H785" i="31"/>
  <c r="H786" i="31"/>
  <c r="H787" i="31"/>
  <c r="H788" i="31"/>
  <c r="H789" i="31"/>
  <c r="H790" i="31"/>
  <c r="H791" i="31"/>
  <c r="H792" i="31"/>
  <c r="H793" i="31"/>
  <c r="H794" i="31"/>
  <c r="H795" i="31"/>
  <c r="H796" i="31"/>
  <c r="H797" i="31"/>
  <c r="H798" i="31"/>
  <c r="H799" i="31"/>
  <c r="H800" i="31"/>
  <c r="H801" i="31"/>
  <c r="H802" i="31"/>
  <c r="H803" i="31"/>
  <c r="H804" i="31"/>
  <c r="H805" i="31"/>
  <c r="H806" i="31"/>
  <c r="H807" i="31"/>
  <c r="H808" i="31"/>
  <c r="H809" i="31"/>
  <c r="H810" i="31"/>
  <c r="H811" i="31"/>
  <c r="H812" i="31"/>
  <c r="H813" i="31"/>
  <c r="H814" i="31"/>
  <c r="H815" i="31"/>
  <c r="H816" i="31"/>
  <c r="H817" i="31"/>
  <c r="H818" i="31"/>
  <c r="H819" i="31"/>
  <c r="H820" i="31"/>
  <c r="H821" i="31"/>
  <c r="H822" i="31"/>
  <c r="H823" i="31"/>
  <c r="H824" i="31"/>
  <c r="H825" i="31"/>
  <c r="H826" i="31"/>
  <c r="H827" i="31"/>
  <c r="H828" i="31"/>
  <c r="H829" i="31"/>
  <c r="H830" i="31"/>
  <c r="H831" i="31"/>
  <c r="H832" i="31"/>
  <c r="H833" i="31"/>
  <c r="H834" i="31"/>
  <c r="H835" i="31"/>
  <c r="H836" i="31"/>
  <c r="H837" i="31"/>
  <c r="H838" i="31"/>
  <c r="H839" i="31"/>
  <c r="H840" i="31"/>
  <c r="H841" i="31"/>
  <c r="H842" i="31"/>
  <c r="H843" i="31"/>
  <c r="H844" i="31"/>
  <c r="H29" i="31"/>
  <c r="H28" i="31"/>
  <c r="H27"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29" i="31"/>
  <c r="F28" i="31"/>
  <c r="F27"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30" i="31"/>
  <c r="A29" i="31"/>
  <c r="A28" i="31"/>
  <c r="A27" i="31"/>
  <c r="E528" i="31" l="1"/>
  <c r="G528" i="31"/>
  <c r="I528" i="31"/>
  <c r="K528" i="31"/>
  <c r="M528" i="31"/>
  <c r="O528" i="31"/>
  <c r="Q528" i="31"/>
  <c r="U528" i="31"/>
  <c r="V528" i="31"/>
  <c r="X528" i="31"/>
  <c r="Y528" i="31"/>
  <c r="E529" i="31"/>
  <c r="G529" i="31"/>
  <c r="I529" i="31"/>
  <c r="K529" i="31"/>
  <c r="M529" i="31"/>
  <c r="O529" i="31"/>
  <c r="Q529" i="31"/>
  <c r="U529" i="31"/>
  <c r="V529" i="31"/>
  <c r="X529" i="31"/>
  <c r="Y529" i="31"/>
  <c r="E530" i="31"/>
  <c r="G530" i="31"/>
  <c r="I530" i="31"/>
  <c r="K530" i="31"/>
  <c r="M530" i="31"/>
  <c r="O530" i="31"/>
  <c r="Q530" i="31"/>
  <c r="U530" i="31"/>
  <c r="V530" i="31"/>
  <c r="X530" i="31"/>
  <c r="Y530" i="31"/>
  <c r="E531" i="31"/>
  <c r="G531" i="31"/>
  <c r="I531" i="31"/>
  <c r="K531" i="31"/>
  <c r="M531" i="31"/>
  <c r="O531" i="31"/>
  <c r="Q531" i="31"/>
  <c r="U531" i="31"/>
  <c r="V531" i="31"/>
  <c r="X531" i="31"/>
  <c r="Y531" i="31"/>
  <c r="E532" i="31"/>
  <c r="G532" i="31"/>
  <c r="I532" i="31"/>
  <c r="K532" i="31"/>
  <c r="M532" i="31"/>
  <c r="O532" i="31"/>
  <c r="Q532" i="31"/>
  <c r="U532" i="31"/>
  <c r="V532" i="31"/>
  <c r="X532" i="31"/>
  <c r="Y532" i="31"/>
  <c r="E533" i="31"/>
  <c r="G533" i="31"/>
  <c r="I533" i="31"/>
  <c r="K533" i="31"/>
  <c r="M533" i="31"/>
  <c r="O533" i="31"/>
  <c r="Q533" i="31"/>
  <c r="U533" i="31"/>
  <c r="V533" i="31"/>
  <c r="X533" i="31"/>
  <c r="Y533" i="31"/>
  <c r="E534" i="31"/>
  <c r="G534" i="31"/>
  <c r="I534" i="31"/>
  <c r="K534" i="31"/>
  <c r="M534" i="31"/>
  <c r="O534" i="31"/>
  <c r="Q534" i="31"/>
  <c r="U534" i="31"/>
  <c r="V534" i="31"/>
  <c r="X534" i="31"/>
  <c r="Y534" i="31"/>
  <c r="G535" i="31"/>
  <c r="I535" i="31"/>
  <c r="K535" i="31"/>
  <c r="M535" i="31"/>
  <c r="O535" i="31"/>
  <c r="Q535" i="31"/>
  <c r="U535" i="31"/>
  <c r="V535" i="31"/>
  <c r="X535" i="31"/>
  <c r="Y535" i="31"/>
  <c r="G536" i="31"/>
  <c r="I536" i="31"/>
  <c r="K536" i="31"/>
  <c r="M536" i="31"/>
  <c r="O536" i="31"/>
  <c r="Q536" i="31"/>
  <c r="U536" i="31"/>
  <c r="V536" i="31"/>
  <c r="X536" i="31"/>
  <c r="Y536" i="31"/>
  <c r="G537" i="31"/>
  <c r="I537" i="31"/>
  <c r="K537" i="31"/>
  <c r="M537" i="31"/>
  <c r="O537" i="31"/>
  <c r="Q537" i="31"/>
  <c r="U537" i="31"/>
  <c r="V537" i="31"/>
  <c r="X537" i="31"/>
  <c r="Y537" i="31"/>
  <c r="G538" i="31"/>
  <c r="I538" i="31"/>
  <c r="K538" i="31"/>
  <c r="M538" i="31"/>
  <c r="O538" i="31"/>
  <c r="Q538" i="31"/>
  <c r="U538" i="31"/>
  <c r="V538" i="31"/>
  <c r="X538" i="31"/>
  <c r="Y538" i="31"/>
  <c r="G539" i="31"/>
  <c r="I539" i="31"/>
  <c r="K539" i="31"/>
  <c r="M539" i="31"/>
  <c r="O539" i="31"/>
  <c r="Q539" i="31"/>
  <c r="U539" i="31"/>
  <c r="V539" i="31"/>
  <c r="X539" i="31"/>
  <c r="Y539" i="31"/>
  <c r="G540" i="31"/>
  <c r="I540" i="31"/>
  <c r="K540" i="31"/>
  <c r="M540" i="31"/>
  <c r="O540" i="31"/>
  <c r="Q540" i="31"/>
  <c r="U540" i="31"/>
  <c r="V540" i="31"/>
  <c r="X540" i="31"/>
  <c r="Y540" i="31"/>
  <c r="G541" i="31"/>
  <c r="I541" i="31"/>
  <c r="K541" i="31"/>
  <c r="M541" i="31"/>
  <c r="O541" i="31"/>
  <c r="Q541" i="31"/>
  <c r="U541" i="31"/>
  <c r="V541" i="31"/>
  <c r="X541" i="31"/>
  <c r="Y541" i="31"/>
  <c r="G542" i="31"/>
  <c r="I542" i="31"/>
  <c r="K542" i="31"/>
  <c r="M542" i="31"/>
  <c r="O542" i="31"/>
  <c r="Q542" i="31"/>
  <c r="U542" i="31"/>
  <c r="V542" i="31"/>
  <c r="X542" i="31"/>
  <c r="Y542" i="31"/>
  <c r="G543" i="31"/>
  <c r="I543" i="31"/>
  <c r="K543" i="31"/>
  <c r="M543" i="31"/>
  <c r="O543" i="31"/>
  <c r="Q543" i="31"/>
  <c r="U543" i="31"/>
  <c r="V543" i="31"/>
  <c r="X543" i="31"/>
  <c r="Y543" i="31"/>
  <c r="G544" i="31"/>
  <c r="I544" i="31"/>
  <c r="K544" i="31"/>
  <c r="M544" i="31"/>
  <c r="O544" i="31"/>
  <c r="Q544" i="31"/>
  <c r="U544" i="31"/>
  <c r="V544" i="31"/>
  <c r="X544" i="31"/>
  <c r="Y544" i="31"/>
  <c r="G545" i="31"/>
  <c r="I545" i="31"/>
  <c r="K545" i="31"/>
  <c r="M545" i="31"/>
  <c r="O545" i="31"/>
  <c r="Q545" i="31"/>
  <c r="U545" i="31"/>
  <c r="V545" i="31"/>
  <c r="X545" i="31"/>
  <c r="Y545" i="31"/>
  <c r="G546" i="31"/>
  <c r="I546" i="31"/>
  <c r="K546" i="31"/>
  <c r="M546" i="31"/>
  <c r="O546" i="31"/>
  <c r="Q546" i="31"/>
  <c r="U546" i="31"/>
  <c r="V546" i="31"/>
  <c r="X546" i="31"/>
  <c r="Y546" i="31"/>
  <c r="G547" i="31"/>
  <c r="I547" i="31"/>
  <c r="K547" i="31"/>
  <c r="M547" i="31"/>
  <c r="O547" i="31"/>
  <c r="Q547" i="31"/>
  <c r="U547" i="31"/>
  <c r="V547" i="31"/>
  <c r="X547" i="31"/>
  <c r="Y547" i="31"/>
  <c r="G548" i="31"/>
  <c r="I548" i="31"/>
  <c r="K548" i="31"/>
  <c r="M548" i="31"/>
  <c r="O548" i="31"/>
  <c r="Q548" i="31"/>
  <c r="U548" i="31"/>
  <c r="V548" i="31"/>
  <c r="X548" i="31"/>
  <c r="Y548" i="31"/>
  <c r="G549" i="31"/>
  <c r="I549" i="31"/>
  <c r="K549" i="31"/>
  <c r="M549" i="31"/>
  <c r="O549" i="31"/>
  <c r="Q549" i="31"/>
  <c r="U549" i="31"/>
  <c r="V549" i="31"/>
  <c r="X549" i="31"/>
  <c r="Y549" i="31"/>
  <c r="G550" i="31"/>
  <c r="I550" i="31"/>
  <c r="K550" i="31"/>
  <c r="M550" i="31"/>
  <c r="O550" i="31"/>
  <c r="Q550" i="31"/>
  <c r="U550" i="31"/>
  <c r="V550" i="31"/>
  <c r="X550" i="31"/>
  <c r="Y550" i="31"/>
  <c r="G551" i="31"/>
  <c r="I551" i="31"/>
  <c r="K551" i="31"/>
  <c r="M551" i="31"/>
  <c r="O551" i="31"/>
  <c r="Q551" i="31"/>
  <c r="U551" i="31"/>
  <c r="V551" i="31"/>
  <c r="X551" i="31"/>
  <c r="Y551" i="31"/>
  <c r="G552" i="31"/>
  <c r="I552" i="31"/>
  <c r="K552" i="31"/>
  <c r="M552" i="31"/>
  <c r="O552" i="31"/>
  <c r="Q552" i="31"/>
  <c r="U552" i="31"/>
  <c r="V552" i="31"/>
  <c r="X552" i="31"/>
  <c r="Y552" i="31"/>
  <c r="G553" i="31"/>
  <c r="I553" i="31"/>
  <c r="K553" i="31"/>
  <c r="M553" i="31"/>
  <c r="O553" i="31"/>
  <c r="Q553" i="31"/>
  <c r="U553" i="31"/>
  <c r="V553" i="31"/>
  <c r="X553" i="31"/>
  <c r="Y553" i="31"/>
  <c r="G554" i="31"/>
  <c r="I554" i="31"/>
  <c r="K554" i="31"/>
  <c r="M554" i="31"/>
  <c r="O554" i="31"/>
  <c r="Q554" i="31"/>
  <c r="U554" i="31"/>
  <c r="V554" i="31"/>
  <c r="X554" i="31"/>
  <c r="Y554" i="31"/>
  <c r="E555" i="31"/>
  <c r="G555" i="31"/>
  <c r="I555" i="31"/>
  <c r="K555" i="31"/>
  <c r="M555" i="31"/>
  <c r="O555" i="31"/>
  <c r="Q555" i="31"/>
  <c r="U555" i="31"/>
  <c r="V555" i="31"/>
  <c r="X555" i="31"/>
  <c r="Y555" i="31"/>
  <c r="E556" i="31"/>
  <c r="G556" i="31"/>
  <c r="I556" i="31"/>
  <c r="K556" i="31"/>
  <c r="M556" i="31"/>
  <c r="O556" i="31"/>
  <c r="Q556" i="31"/>
  <c r="U556" i="31"/>
  <c r="V556" i="31"/>
  <c r="X556" i="31"/>
  <c r="Y556" i="31"/>
  <c r="E557" i="31"/>
  <c r="G557" i="31"/>
  <c r="I557" i="31"/>
  <c r="K557" i="31"/>
  <c r="M557" i="31"/>
  <c r="O557" i="31"/>
  <c r="Q557" i="31"/>
  <c r="U557" i="31"/>
  <c r="V557" i="31"/>
  <c r="X557" i="31"/>
  <c r="Y557" i="31"/>
  <c r="E558" i="31"/>
  <c r="G558" i="31"/>
  <c r="I558" i="31"/>
  <c r="K558" i="31"/>
  <c r="M558" i="31"/>
  <c r="O558" i="31"/>
  <c r="Q558" i="31"/>
  <c r="U558" i="31"/>
  <c r="V558" i="31"/>
  <c r="X558" i="31"/>
  <c r="Y558" i="31"/>
  <c r="E559" i="31"/>
  <c r="G559" i="31"/>
  <c r="I559" i="31"/>
  <c r="K559" i="31"/>
  <c r="M559" i="31"/>
  <c r="O559" i="31"/>
  <c r="Q559" i="31"/>
  <c r="U559" i="31"/>
  <c r="V559" i="31"/>
  <c r="X559" i="31"/>
  <c r="Y559" i="31"/>
  <c r="E560" i="31"/>
  <c r="G560" i="31"/>
  <c r="I560" i="31"/>
  <c r="K560" i="31"/>
  <c r="M560" i="31"/>
  <c r="O560" i="31"/>
  <c r="Q560" i="31"/>
  <c r="U560" i="31"/>
  <c r="V560" i="31"/>
  <c r="X560" i="31"/>
  <c r="Y560" i="31"/>
  <c r="E561" i="31"/>
  <c r="G561" i="31"/>
  <c r="I561" i="31"/>
  <c r="K561" i="31"/>
  <c r="M561" i="31"/>
  <c r="O561" i="31"/>
  <c r="Q561" i="31"/>
  <c r="U561" i="31"/>
  <c r="V561" i="31"/>
  <c r="X561" i="31"/>
  <c r="Y561" i="31"/>
  <c r="E562" i="31"/>
  <c r="G562" i="31"/>
  <c r="I562" i="31"/>
  <c r="K562" i="31"/>
  <c r="M562" i="31"/>
  <c r="O562" i="31"/>
  <c r="Q562" i="31"/>
  <c r="U562" i="31"/>
  <c r="V562" i="31"/>
  <c r="X562" i="31"/>
  <c r="Y562" i="31"/>
  <c r="E563" i="31"/>
  <c r="G563" i="31"/>
  <c r="I563" i="31"/>
  <c r="K563" i="31"/>
  <c r="M563" i="31"/>
  <c r="O563" i="31"/>
  <c r="Q563" i="31"/>
  <c r="U563" i="31"/>
  <c r="V563" i="31"/>
  <c r="X563" i="31"/>
  <c r="Y563" i="31"/>
  <c r="G564" i="31"/>
  <c r="I564" i="31"/>
  <c r="K564" i="31"/>
  <c r="M564" i="31"/>
  <c r="O564" i="31"/>
  <c r="Q564" i="31"/>
  <c r="U564" i="31"/>
  <c r="V564" i="31"/>
  <c r="X564" i="31"/>
  <c r="Y564" i="31"/>
  <c r="G565" i="31"/>
  <c r="I565" i="31"/>
  <c r="K565" i="31"/>
  <c r="M565" i="31"/>
  <c r="O565" i="31"/>
  <c r="Q565" i="31"/>
  <c r="U565" i="31"/>
  <c r="V565" i="31"/>
  <c r="X565" i="31"/>
  <c r="Y565" i="31"/>
  <c r="G566" i="31"/>
  <c r="I566" i="31"/>
  <c r="K566" i="31"/>
  <c r="M566" i="31"/>
  <c r="O566" i="31"/>
  <c r="Q566" i="31"/>
  <c r="U566" i="31"/>
  <c r="V566" i="31"/>
  <c r="X566" i="31"/>
  <c r="Y566" i="31"/>
  <c r="G567" i="31"/>
  <c r="I567" i="31"/>
  <c r="K567" i="31"/>
  <c r="M567" i="31"/>
  <c r="O567" i="31"/>
  <c r="Q567" i="31"/>
  <c r="U567" i="31"/>
  <c r="V567" i="31"/>
  <c r="X567" i="31"/>
  <c r="Y567" i="31"/>
  <c r="G568" i="31"/>
  <c r="I568" i="31"/>
  <c r="K568" i="31"/>
  <c r="M568" i="31"/>
  <c r="O568" i="31"/>
  <c r="Q568" i="31"/>
  <c r="U568" i="31"/>
  <c r="V568" i="31"/>
  <c r="X568" i="31"/>
  <c r="Y568" i="31"/>
  <c r="G569" i="31"/>
  <c r="I569" i="31"/>
  <c r="K569" i="31"/>
  <c r="M569" i="31"/>
  <c r="O569" i="31"/>
  <c r="Q569" i="31"/>
  <c r="U569" i="31"/>
  <c r="V569" i="31"/>
  <c r="X569" i="31"/>
  <c r="Y569" i="31"/>
  <c r="G570" i="31"/>
  <c r="I570" i="31"/>
  <c r="K570" i="31"/>
  <c r="M570" i="31"/>
  <c r="O570" i="31"/>
  <c r="Q570" i="31"/>
  <c r="U570" i="31"/>
  <c r="V570" i="31"/>
  <c r="X570" i="31"/>
  <c r="Y570" i="31"/>
  <c r="G571" i="31"/>
  <c r="I571" i="31"/>
  <c r="K571" i="31"/>
  <c r="M571" i="31"/>
  <c r="O571" i="31"/>
  <c r="Q571" i="31"/>
  <c r="U571" i="31"/>
  <c r="V571" i="31"/>
  <c r="X571" i="31"/>
  <c r="Y571" i="31"/>
  <c r="G572" i="31"/>
  <c r="I572" i="31"/>
  <c r="K572" i="31"/>
  <c r="M572" i="31"/>
  <c r="O572" i="31"/>
  <c r="Q572" i="31"/>
  <c r="U572" i="31"/>
  <c r="V572" i="31"/>
  <c r="X572" i="31"/>
  <c r="Y572" i="31"/>
  <c r="G573" i="31"/>
  <c r="I573" i="31"/>
  <c r="K573" i="31"/>
  <c r="M573" i="31"/>
  <c r="O573" i="31"/>
  <c r="Q573" i="31"/>
  <c r="U573" i="31"/>
  <c r="V573" i="31"/>
  <c r="X573" i="31"/>
  <c r="Y573" i="31"/>
  <c r="G574" i="31"/>
  <c r="I574" i="31"/>
  <c r="K574" i="31"/>
  <c r="M574" i="31"/>
  <c r="O574" i="31"/>
  <c r="Q574" i="31"/>
  <c r="U574" i="31"/>
  <c r="V574" i="31"/>
  <c r="X574" i="31"/>
  <c r="Y574" i="31"/>
  <c r="G575" i="31"/>
  <c r="I575" i="31"/>
  <c r="K575" i="31"/>
  <c r="M575" i="31"/>
  <c r="O575" i="31"/>
  <c r="Q575" i="31"/>
  <c r="U575" i="31"/>
  <c r="V575" i="31"/>
  <c r="X575" i="31"/>
  <c r="Y575" i="31"/>
  <c r="G576" i="31"/>
  <c r="I576" i="31"/>
  <c r="K576" i="31"/>
  <c r="M576" i="31"/>
  <c r="O576" i="31"/>
  <c r="Q576" i="31"/>
  <c r="U576" i="31"/>
  <c r="V576" i="31"/>
  <c r="X576" i="31"/>
  <c r="Y576" i="31"/>
  <c r="G577" i="31"/>
  <c r="I577" i="31"/>
  <c r="K577" i="31"/>
  <c r="M577" i="31"/>
  <c r="O577" i="31"/>
  <c r="Q577" i="31"/>
  <c r="U577" i="31"/>
  <c r="V577" i="31"/>
  <c r="X577" i="31"/>
  <c r="Y577" i="31"/>
  <c r="G578" i="31"/>
  <c r="I578" i="31"/>
  <c r="K578" i="31"/>
  <c r="M578" i="31"/>
  <c r="O578" i="31"/>
  <c r="Q578" i="31"/>
  <c r="U578" i="31"/>
  <c r="V578" i="31"/>
  <c r="X578" i="31"/>
  <c r="Y578" i="31"/>
  <c r="G579" i="31"/>
  <c r="I579" i="31"/>
  <c r="K579" i="31"/>
  <c r="M579" i="31"/>
  <c r="O579" i="31"/>
  <c r="Q579" i="31"/>
  <c r="U579" i="31"/>
  <c r="V579" i="31"/>
  <c r="X579" i="31"/>
  <c r="Y579" i="31"/>
  <c r="G580" i="31"/>
  <c r="I580" i="31"/>
  <c r="K580" i="31"/>
  <c r="M580" i="31"/>
  <c r="O580" i="31"/>
  <c r="Q580" i="31"/>
  <c r="U580" i="31"/>
  <c r="V580" i="31"/>
  <c r="X580" i="31"/>
  <c r="Y580" i="31"/>
  <c r="G581" i="31"/>
  <c r="I581" i="31"/>
  <c r="K581" i="31"/>
  <c r="M581" i="31"/>
  <c r="O581" i="31"/>
  <c r="Q581" i="31"/>
  <c r="U581" i="31"/>
  <c r="V581" i="31"/>
  <c r="X581" i="31"/>
  <c r="Y581" i="31"/>
  <c r="G582" i="31"/>
  <c r="I582" i="31"/>
  <c r="K582" i="31"/>
  <c r="M582" i="31"/>
  <c r="O582" i="31"/>
  <c r="Q582" i="31"/>
  <c r="U582" i="31"/>
  <c r="V582" i="31"/>
  <c r="X582" i="31"/>
  <c r="Y582" i="31"/>
  <c r="G583" i="31"/>
  <c r="I583" i="31"/>
  <c r="K583" i="31"/>
  <c r="M583" i="31"/>
  <c r="O583" i="31"/>
  <c r="Q583" i="31"/>
  <c r="U583" i="31"/>
  <c r="V583" i="31"/>
  <c r="X583" i="31"/>
  <c r="Y583" i="31"/>
  <c r="E584" i="31"/>
  <c r="G584" i="31"/>
  <c r="I584" i="31"/>
  <c r="K584" i="31"/>
  <c r="M584" i="31"/>
  <c r="O584" i="31"/>
  <c r="Q584" i="31"/>
  <c r="U584" i="31"/>
  <c r="V584" i="31"/>
  <c r="X584" i="31"/>
  <c r="Y584" i="31"/>
  <c r="G585" i="31"/>
  <c r="I585" i="31"/>
  <c r="K585" i="31"/>
  <c r="M585" i="31"/>
  <c r="O585" i="31"/>
  <c r="Q585" i="31"/>
  <c r="U585" i="31"/>
  <c r="V585" i="31"/>
  <c r="X585" i="31"/>
  <c r="Y585" i="31"/>
  <c r="E586" i="31"/>
  <c r="I586" i="31"/>
  <c r="K586" i="31"/>
  <c r="M586" i="31"/>
  <c r="O586" i="31"/>
  <c r="Q586" i="31"/>
  <c r="U586" i="31"/>
  <c r="V586" i="31"/>
  <c r="X586" i="31"/>
  <c r="Y586" i="31"/>
  <c r="E587" i="31"/>
  <c r="I587" i="31"/>
  <c r="K587" i="31"/>
  <c r="M587" i="31"/>
  <c r="O587" i="31"/>
  <c r="Q587" i="31"/>
  <c r="U587" i="31"/>
  <c r="V587" i="31"/>
  <c r="X587" i="31"/>
  <c r="Y587" i="31"/>
  <c r="E588" i="31"/>
  <c r="I588" i="31"/>
  <c r="K588" i="31"/>
  <c r="M588" i="31"/>
  <c r="O588" i="31"/>
  <c r="Q588" i="31"/>
  <c r="U588" i="31"/>
  <c r="V588" i="31"/>
  <c r="X588" i="31"/>
  <c r="Y588" i="31"/>
  <c r="E589" i="31"/>
  <c r="G589" i="31"/>
  <c r="I589" i="31"/>
  <c r="K589" i="31"/>
  <c r="M589" i="31"/>
  <c r="O589" i="31"/>
  <c r="Q589" i="31"/>
  <c r="U589" i="31"/>
  <c r="V589" i="31"/>
  <c r="X589" i="31"/>
  <c r="Y589" i="31"/>
  <c r="G590" i="31"/>
  <c r="I590" i="31"/>
  <c r="K590" i="31"/>
  <c r="M590" i="31"/>
  <c r="O590" i="31"/>
  <c r="Q590" i="31"/>
  <c r="U590" i="31"/>
  <c r="V590" i="31"/>
  <c r="X590" i="31"/>
  <c r="Y590" i="31"/>
  <c r="E591" i="31"/>
  <c r="G591" i="31"/>
  <c r="I591" i="31"/>
  <c r="K591" i="31"/>
  <c r="M591" i="31"/>
  <c r="O591" i="31"/>
  <c r="Q591" i="31"/>
  <c r="U591" i="31"/>
  <c r="V591" i="31"/>
  <c r="X591" i="31"/>
  <c r="Y591" i="31"/>
  <c r="E592" i="31"/>
  <c r="G592" i="31"/>
  <c r="I592" i="31"/>
  <c r="K592" i="31"/>
  <c r="M592" i="31"/>
  <c r="O592" i="31"/>
  <c r="Q592" i="31"/>
  <c r="U592" i="31"/>
  <c r="V592" i="31"/>
  <c r="X592" i="31"/>
  <c r="Y592" i="31"/>
  <c r="E593" i="31"/>
  <c r="G593" i="31"/>
  <c r="I593" i="31"/>
  <c r="K593" i="31"/>
  <c r="M593" i="31"/>
  <c r="O593" i="31"/>
  <c r="Q593" i="31"/>
  <c r="U593" i="31"/>
  <c r="V593" i="31"/>
  <c r="X593" i="31"/>
  <c r="Y593" i="31"/>
  <c r="E594" i="31"/>
  <c r="G594" i="31"/>
  <c r="I594" i="31"/>
  <c r="K594" i="31"/>
  <c r="M594" i="31"/>
  <c r="O594" i="31"/>
  <c r="Q594" i="31"/>
  <c r="U594" i="31"/>
  <c r="V594" i="31"/>
  <c r="X594" i="31"/>
  <c r="Y594" i="31"/>
  <c r="E595" i="31"/>
  <c r="G595" i="31"/>
  <c r="I595" i="31"/>
  <c r="K595" i="31"/>
  <c r="M595" i="31"/>
  <c r="O595" i="31"/>
  <c r="Q595" i="31"/>
  <c r="U595" i="31"/>
  <c r="V595" i="31"/>
  <c r="X595" i="31"/>
  <c r="Y595" i="31"/>
  <c r="E596" i="31"/>
  <c r="G596" i="31"/>
  <c r="I596" i="31"/>
  <c r="K596" i="31"/>
  <c r="M596" i="31"/>
  <c r="O596" i="31"/>
  <c r="Q596" i="31"/>
  <c r="U596" i="31"/>
  <c r="V596" i="31"/>
  <c r="X596" i="31"/>
  <c r="Y596" i="31"/>
  <c r="E597" i="31"/>
  <c r="G597" i="31"/>
  <c r="I597" i="31"/>
  <c r="K597" i="31"/>
  <c r="M597" i="31"/>
  <c r="O597" i="31"/>
  <c r="Q597" i="31"/>
  <c r="U597" i="31"/>
  <c r="V597" i="31"/>
  <c r="X597" i="31"/>
  <c r="Y597" i="31"/>
  <c r="E598" i="31"/>
  <c r="G598" i="31"/>
  <c r="I598" i="31"/>
  <c r="K598" i="31"/>
  <c r="M598" i="31"/>
  <c r="O598" i="31"/>
  <c r="Q598" i="31"/>
  <c r="U598" i="31"/>
  <c r="V598" i="31"/>
  <c r="X598" i="31"/>
  <c r="Y598" i="31"/>
  <c r="E599" i="31"/>
  <c r="G599" i="31"/>
  <c r="I599" i="31"/>
  <c r="K599" i="31"/>
  <c r="M599" i="31"/>
  <c r="O599" i="31"/>
  <c r="Q599" i="31"/>
  <c r="U599" i="31"/>
  <c r="V599" i="31"/>
  <c r="X599" i="31"/>
  <c r="Y599" i="31"/>
  <c r="G600" i="31"/>
  <c r="I600" i="31"/>
  <c r="K600" i="31"/>
  <c r="M600" i="31"/>
  <c r="O600" i="31"/>
  <c r="Q600" i="31"/>
  <c r="U600" i="31"/>
  <c r="V600" i="31"/>
  <c r="X600" i="31"/>
  <c r="Y600" i="31"/>
  <c r="G601" i="31"/>
  <c r="I601" i="31"/>
  <c r="K601" i="31"/>
  <c r="M601" i="31"/>
  <c r="O601" i="31"/>
  <c r="Q601" i="31"/>
  <c r="U601" i="31"/>
  <c r="V601" i="31"/>
  <c r="X601" i="31"/>
  <c r="Y601" i="31"/>
  <c r="G602" i="31"/>
  <c r="I602" i="31"/>
  <c r="K602" i="31"/>
  <c r="M602" i="31"/>
  <c r="O602" i="31"/>
  <c r="Q602" i="31"/>
  <c r="U602" i="31"/>
  <c r="V602" i="31"/>
  <c r="X602" i="31"/>
  <c r="Y602" i="31"/>
  <c r="G603" i="31"/>
  <c r="I603" i="31"/>
  <c r="K603" i="31"/>
  <c r="M603" i="31"/>
  <c r="O603" i="31"/>
  <c r="Q603" i="31"/>
  <c r="U603" i="31"/>
  <c r="V603" i="31"/>
  <c r="X603" i="31"/>
  <c r="Y603" i="31"/>
  <c r="G604" i="31"/>
  <c r="I604" i="31"/>
  <c r="K604" i="31"/>
  <c r="M604" i="31"/>
  <c r="O604" i="31"/>
  <c r="Q604" i="31"/>
  <c r="U604" i="31"/>
  <c r="V604" i="31"/>
  <c r="X604" i="31"/>
  <c r="Y604" i="31"/>
  <c r="G605" i="31"/>
  <c r="I605" i="31"/>
  <c r="K605" i="31"/>
  <c r="M605" i="31"/>
  <c r="O605" i="31"/>
  <c r="Q605" i="31"/>
  <c r="U605" i="31"/>
  <c r="V605" i="31"/>
  <c r="X605" i="31"/>
  <c r="Y605" i="31"/>
  <c r="G606" i="31"/>
  <c r="I606" i="31"/>
  <c r="K606" i="31"/>
  <c r="M606" i="31"/>
  <c r="O606" i="31"/>
  <c r="Q606" i="31"/>
  <c r="U606" i="31"/>
  <c r="V606" i="31"/>
  <c r="X606" i="31"/>
  <c r="Y606" i="31"/>
  <c r="G607" i="31"/>
  <c r="I607" i="31"/>
  <c r="K607" i="31"/>
  <c r="M607" i="31"/>
  <c r="O607" i="31"/>
  <c r="Q607" i="31"/>
  <c r="U607" i="31"/>
  <c r="V607" i="31"/>
  <c r="X607" i="31"/>
  <c r="Y607" i="31"/>
  <c r="G608" i="31"/>
  <c r="I608" i="31"/>
  <c r="K608" i="31"/>
  <c r="M608" i="31"/>
  <c r="O608" i="31"/>
  <c r="Q608" i="31"/>
  <c r="U608" i="31"/>
  <c r="V608" i="31"/>
  <c r="X608" i="31"/>
  <c r="Y608" i="31"/>
  <c r="G609" i="31"/>
  <c r="I609" i="31"/>
  <c r="K609" i="31"/>
  <c r="M609" i="31"/>
  <c r="O609" i="31"/>
  <c r="Q609" i="31"/>
  <c r="U609" i="31"/>
  <c r="V609" i="31"/>
  <c r="X609" i="31"/>
  <c r="Y609" i="31"/>
  <c r="G610" i="31"/>
  <c r="I610" i="31"/>
  <c r="K610" i="31"/>
  <c r="M610" i="31"/>
  <c r="O610" i="31"/>
  <c r="Q610" i="31"/>
  <c r="U610" i="31"/>
  <c r="V610" i="31"/>
  <c r="X610" i="31"/>
  <c r="Y610" i="31"/>
  <c r="G611" i="31"/>
  <c r="I611" i="31"/>
  <c r="K611" i="31"/>
  <c r="M611" i="31"/>
  <c r="O611" i="31"/>
  <c r="Q611" i="31"/>
  <c r="U611" i="31"/>
  <c r="V611" i="31"/>
  <c r="X611" i="31"/>
  <c r="Y611" i="31"/>
  <c r="G612" i="31"/>
  <c r="I612" i="31"/>
  <c r="K612" i="31"/>
  <c r="M612" i="31"/>
  <c r="O612" i="31"/>
  <c r="Q612" i="31"/>
  <c r="U612" i="31"/>
  <c r="V612" i="31"/>
  <c r="X612" i="31"/>
  <c r="Y612" i="31"/>
  <c r="G613" i="31"/>
  <c r="I613" i="31"/>
  <c r="K613" i="31"/>
  <c r="M613" i="31"/>
  <c r="O613" i="31"/>
  <c r="Q613" i="31"/>
  <c r="U613" i="31"/>
  <c r="V613" i="31"/>
  <c r="X613" i="31"/>
  <c r="Y613" i="31"/>
  <c r="G614" i="31"/>
  <c r="I614" i="31"/>
  <c r="K614" i="31"/>
  <c r="M614" i="31"/>
  <c r="O614" i="31"/>
  <c r="Q614" i="31"/>
  <c r="U614" i="31"/>
  <c r="V614" i="31"/>
  <c r="X614" i="31"/>
  <c r="Y614" i="31"/>
  <c r="G615" i="31"/>
  <c r="I615" i="31"/>
  <c r="K615" i="31"/>
  <c r="M615" i="31"/>
  <c r="O615" i="31"/>
  <c r="Q615" i="31"/>
  <c r="U615" i="31"/>
  <c r="V615" i="31"/>
  <c r="X615" i="31"/>
  <c r="Y615" i="31"/>
  <c r="G616" i="31"/>
  <c r="I616" i="31"/>
  <c r="K616" i="31"/>
  <c r="M616" i="31"/>
  <c r="O616" i="31"/>
  <c r="Q616" i="31"/>
  <c r="U616" i="31"/>
  <c r="V616" i="31"/>
  <c r="X616" i="31"/>
  <c r="Y616" i="31"/>
  <c r="G617" i="31"/>
  <c r="I617" i="31"/>
  <c r="K617" i="31"/>
  <c r="M617" i="31"/>
  <c r="O617" i="31"/>
  <c r="Q617" i="31"/>
  <c r="U617" i="31"/>
  <c r="V617" i="31"/>
  <c r="X617" i="31"/>
  <c r="Y617" i="31"/>
  <c r="G618" i="31"/>
  <c r="I618" i="31"/>
  <c r="K618" i="31"/>
  <c r="M618" i="31"/>
  <c r="O618" i="31"/>
  <c r="Q618" i="31"/>
  <c r="U618" i="31"/>
  <c r="V618" i="31"/>
  <c r="X618" i="31"/>
  <c r="Y618" i="31"/>
  <c r="E619" i="31"/>
  <c r="G619" i="31"/>
  <c r="I619" i="31"/>
  <c r="K619" i="31"/>
  <c r="M619" i="31"/>
  <c r="O619" i="31"/>
  <c r="Q619" i="31"/>
  <c r="U619" i="31"/>
  <c r="V619" i="31"/>
  <c r="X619" i="31"/>
  <c r="Y619" i="31"/>
  <c r="E620" i="31"/>
  <c r="G620" i="31"/>
  <c r="I620" i="31"/>
  <c r="K620" i="31"/>
  <c r="M620" i="31"/>
  <c r="O620" i="31"/>
  <c r="Q620" i="31"/>
  <c r="U620" i="31"/>
  <c r="V620" i="31"/>
  <c r="X620" i="31"/>
  <c r="Y620" i="31"/>
  <c r="E621" i="31"/>
  <c r="G621" i="31"/>
  <c r="I621" i="31"/>
  <c r="K621" i="31"/>
  <c r="M621" i="31"/>
  <c r="O621" i="31"/>
  <c r="Q621" i="31"/>
  <c r="U621" i="31"/>
  <c r="V621" i="31"/>
  <c r="X621" i="31"/>
  <c r="Y621" i="31"/>
  <c r="E622" i="31"/>
  <c r="G622" i="31"/>
  <c r="I622" i="31"/>
  <c r="K622" i="31"/>
  <c r="M622" i="31"/>
  <c r="O622" i="31"/>
  <c r="Q622" i="31"/>
  <c r="U622" i="31"/>
  <c r="V622" i="31"/>
  <c r="X622" i="31"/>
  <c r="Y622" i="31"/>
  <c r="E623" i="31"/>
  <c r="G623" i="31"/>
  <c r="I623" i="31"/>
  <c r="K623" i="31"/>
  <c r="M623" i="31"/>
  <c r="O623" i="31"/>
  <c r="Q623" i="31"/>
  <c r="U623" i="31"/>
  <c r="V623" i="31"/>
  <c r="X623" i="31"/>
  <c r="Y623" i="31"/>
  <c r="E624" i="31"/>
  <c r="G624" i="31"/>
  <c r="I624" i="31"/>
  <c r="K624" i="31"/>
  <c r="M624" i="31"/>
  <c r="O624" i="31"/>
  <c r="Q624" i="31"/>
  <c r="U624" i="31"/>
  <c r="V624" i="31"/>
  <c r="X624" i="31"/>
  <c r="Y624" i="31"/>
  <c r="E625" i="31"/>
  <c r="G625" i="31"/>
  <c r="I625" i="31"/>
  <c r="K625" i="31"/>
  <c r="M625" i="31"/>
  <c r="O625" i="31"/>
  <c r="Q625" i="31"/>
  <c r="U625" i="31"/>
  <c r="V625" i="31"/>
  <c r="X625" i="31"/>
  <c r="Y625" i="31"/>
  <c r="E626" i="31"/>
  <c r="G626" i="31"/>
  <c r="I626" i="31"/>
  <c r="K626" i="31"/>
  <c r="M626" i="31"/>
  <c r="O626" i="31"/>
  <c r="Q626" i="31"/>
  <c r="U626" i="31"/>
  <c r="V626" i="31"/>
  <c r="X626" i="31"/>
  <c r="Y626" i="31"/>
  <c r="E627" i="31"/>
  <c r="G627" i="31"/>
  <c r="I627" i="31"/>
  <c r="K627" i="31"/>
  <c r="M627" i="31"/>
  <c r="O627" i="31"/>
  <c r="Q627" i="31"/>
  <c r="U627" i="31"/>
  <c r="V627" i="31"/>
  <c r="X627" i="31"/>
  <c r="Y627" i="31"/>
  <c r="G628" i="31"/>
  <c r="I628" i="31"/>
  <c r="K628" i="31"/>
  <c r="M628" i="31"/>
  <c r="O628" i="31"/>
  <c r="Q628" i="31"/>
  <c r="U628" i="31"/>
  <c r="V628" i="31"/>
  <c r="X628" i="31"/>
  <c r="Y628" i="31"/>
  <c r="G629" i="31"/>
  <c r="I629" i="31"/>
  <c r="K629" i="31"/>
  <c r="M629" i="31"/>
  <c r="O629" i="31"/>
  <c r="Q629" i="31"/>
  <c r="U629" i="31"/>
  <c r="V629" i="31"/>
  <c r="X629" i="31"/>
  <c r="Y629" i="31"/>
  <c r="G630" i="31"/>
  <c r="I630" i="31"/>
  <c r="K630" i="31"/>
  <c r="M630" i="31"/>
  <c r="O630" i="31"/>
  <c r="Q630" i="31"/>
  <c r="U630" i="31"/>
  <c r="V630" i="31"/>
  <c r="X630" i="31"/>
  <c r="Y630" i="31"/>
  <c r="G631" i="31"/>
  <c r="I631" i="31"/>
  <c r="K631" i="31"/>
  <c r="M631" i="31"/>
  <c r="O631" i="31"/>
  <c r="Q631" i="31"/>
  <c r="U631" i="31"/>
  <c r="V631" i="31"/>
  <c r="X631" i="31"/>
  <c r="Y631" i="31"/>
  <c r="G632" i="31"/>
  <c r="I632" i="31"/>
  <c r="K632" i="31"/>
  <c r="M632" i="31"/>
  <c r="O632" i="31"/>
  <c r="Q632" i="31"/>
  <c r="U632" i="31"/>
  <c r="V632" i="31"/>
  <c r="X632" i="31"/>
  <c r="Y632" i="31"/>
  <c r="G633" i="31"/>
  <c r="I633" i="31"/>
  <c r="K633" i="31"/>
  <c r="M633" i="31"/>
  <c r="O633" i="31"/>
  <c r="Q633" i="31"/>
  <c r="U633" i="31"/>
  <c r="V633" i="31"/>
  <c r="X633" i="31"/>
  <c r="Y633" i="31"/>
  <c r="G634" i="31"/>
  <c r="I634" i="31"/>
  <c r="K634" i="31"/>
  <c r="M634" i="31"/>
  <c r="O634" i="31"/>
  <c r="Q634" i="31"/>
  <c r="U634" i="31"/>
  <c r="V634" i="31"/>
  <c r="X634" i="31"/>
  <c r="Y634" i="31"/>
  <c r="G635" i="31"/>
  <c r="I635" i="31"/>
  <c r="K635" i="31"/>
  <c r="M635" i="31"/>
  <c r="O635" i="31"/>
  <c r="Q635" i="31"/>
  <c r="U635" i="31"/>
  <c r="V635" i="31"/>
  <c r="X635" i="31"/>
  <c r="Y635" i="31"/>
  <c r="G636" i="31"/>
  <c r="I636" i="31"/>
  <c r="K636" i="31"/>
  <c r="M636" i="31"/>
  <c r="O636" i="31"/>
  <c r="Q636" i="31"/>
  <c r="U636" i="31"/>
  <c r="V636" i="31"/>
  <c r="X636" i="31"/>
  <c r="Y636" i="31"/>
  <c r="G637" i="31"/>
  <c r="I637" i="31"/>
  <c r="K637" i="31"/>
  <c r="M637" i="31"/>
  <c r="O637" i="31"/>
  <c r="Q637" i="31"/>
  <c r="U637" i="31"/>
  <c r="V637" i="31"/>
  <c r="X637" i="31"/>
  <c r="Y637" i="31"/>
  <c r="G638" i="31"/>
  <c r="I638" i="31"/>
  <c r="K638" i="31"/>
  <c r="M638" i="31"/>
  <c r="O638" i="31"/>
  <c r="Q638" i="31"/>
  <c r="U638" i="31"/>
  <c r="V638" i="31"/>
  <c r="X638" i="31"/>
  <c r="Y638" i="31"/>
  <c r="G639" i="31"/>
  <c r="I639" i="31"/>
  <c r="K639" i="31"/>
  <c r="M639" i="31"/>
  <c r="O639" i="31"/>
  <c r="Q639" i="31"/>
  <c r="U639" i="31"/>
  <c r="V639" i="31"/>
  <c r="X639" i="31"/>
  <c r="Y639" i="31"/>
  <c r="E640" i="31"/>
  <c r="G640" i="31"/>
  <c r="I640" i="31"/>
  <c r="K640" i="31"/>
  <c r="M640" i="31"/>
  <c r="O640" i="31"/>
  <c r="Q640" i="31"/>
  <c r="U640" i="31"/>
  <c r="V640" i="31"/>
  <c r="X640" i="31"/>
  <c r="Y640" i="31"/>
  <c r="E641" i="31"/>
  <c r="G641" i="31"/>
  <c r="I641" i="31"/>
  <c r="K641" i="31"/>
  <c r="M641" i="31"/>
  <c r="O641" i="31"/>
  <c r="Q641" i="31"/>
  <c r="U641" i="31"/>
  <c r="V641" i="31"/>
  <c r="X641" i="31"/>
  <c r="Y641" i="31"/>
  <c r="E642" i="31"/>
  <c r="G642" i="31"/>
  <c r="I642" i="31"/>
  <c r="K642" i="31"/>
  <c r="M642" i="31"/>
  <c r="O642" i="31"/>
  <c r="Q642" i="31"/>
  <c r="U642" i="31"/>
  <c r="V642" i="31"/>
  <c r="X642" i="31"/>
  <c r="Y642" i="31"/>
  <c r="E643" i="31"/>
  <c r="G643" i="31"/>
  <c r="I643" i="31"/>
  <c r="K643" i="31"/>
  <c r="M643" i="31"/>
  <c r="O643" i="31"/>
  <c r="Q643" i="31"/>
  <c r="U643" i="31"/>
  <c r="V643" i="31"/>
  <c r="X643" i="31"/>
  <c r="Y643" i="31"/>
  <c r="E644" i="31"/>
  <c r="G644" i="31"/>
  <c r="I644" i="31"/>
  <c r="K644" i="31"/>
  <c r="M644" i="31"/>
  <c r="O644" i="31"/>
  <c r="Q644" i="31"/>
  <c r="U644" i="31"/>
  <c r="V644" i="31"/>
  <c r="X644" i="31"/>
  <c r="Y644" i="31"/>
  <c r="E645" i="31"/>
  <c r="G645" i="31"/>
  <c r="I645" i="31"/>
  <c r="K645" i="31"/>
  <c r="M645" i="31"/>
  <c r="O645" i="31"/>
  <c r="Q645" i="31"/>
  <c r="U645" i="31"/>
  <c r="V645" i="31"/>
  <c r="X645" i="31"/>
  <c r="Y645" i="31"/>
  <c r="E646" i="31"/>
  <c r="G646" i="31"/>
  <c r="I646" i="31"/>
  <c r="K646" i="31"/>
  <c r="M646" i="31"/>
  <c r="O646" i="31"/>
  <c r="Q646" i="31"/>
  <c r="U646" i="31"/>
  <c r="V646" i="31"/>
  <c r="X646" i="31"/>
  <c r="Y646" i="31"/>
  <c r="E647" i="31"/>
  <c r="G647" i="31"/>
  <c r="I647" i="31"/>
  <c r="K647" i="31"/>
  <c r="M647" i="31"/>
  <c r="O647" i="31"/>
  <c r="Q647" i="31"/>
  <c r="U647" i="31"/>
  <c r="V647" i="31"/>
  <c r="X647" i="31"/>
  <c r="Y647" i="31"/>
  <c r="E648" i="31"/>
  <c r="G648" i="31"/>
  <c r="I648" i="31"/>
  <c r="K648" i="31"/>
  <c r="M648" i="31"/>
  <c r="O648" i="31"/>
  <c r="Q648" i="31"/>
  <c r="U648" i="31"/>
  <c r="V648" i="31"/>
  <c r="X648" i="31"/>
  <c r="Y648" i="31"/>
  <c r="E649" i="31"/>
  <c r="G649" i="31"/>
  <c r="I649" i="31"/>
  <c r="K649" i="31"/>
  <c r="M649" i="31"/>
  <c r="O649" i="31"/>
  <c r="Q649" i="31"/>
  <c r="U649" i="31"/>
  <c r="V649" i="31"/>
  <c r="X649" i="31"/>
  <c r="Y649" i="31"/>
  <c r="G650" i="31"/>
  <c r="I650" i="31"/>
  <c r="K650" i="31"/>
  <c r="M650" i="31"/>
  <c r="O650" i="31"/>
  <c r="Q650" i="31"/>
  <c r="U650" i="31"/>
  <c r="V650" i="31"/>
  <c r="X650" i="31"/>
  <c r="Y650" i="31"/>
  <c r="G651" i="31"/>
  <c r="I651" i="31"/>
  <c r="K651" i="31"/>
  <c r="M651" i="31"/>
  <c r="O651" i="31"/>
  <c r="Q651" i="31"/>
  <c r="U651" i="31"/>
  <c r="V651" i="31"/>
  <c r="X651" i="31"/>
  <c r="Y651" i="31"/>
  <c r="G652" i="31"/>
  <c r="I652" i="31"/>
  <c r="K652" i="31"/>
  <c r="M652" i="31"/>
  <c r="O652" i="31"/>
  <c r="Q652" i="31"/>
  <c r="U652" i="31"/>
  <c r="V652" i="31"/>
  <c r="X652" i="31"/>
  <c r="Y652" i="31"/>
  <c r="G653" i="31"/>
  <c r="I653" i="31"/>
  <c r="K653" i="31"/>
  <c r="M653" i="31"/>
  <c r="O653" i="31"/>
  <c r="Q653" i="31"/>
  <c r="U653" i="31"/>
  <c r="V653" i="31"/>
  <c r="X653" i="31"/>
  <c r="Y653" i="31"/>
  <c r="G654" i="31"/>
  <c r="I654" i="31"/>
  <c r="K654" i="31"/>
  <c r="M654" i="31"/>
  <c r="O654" i="31"/>
  <c r="Q654" i="31"/>
  <c r="U654" i="31"/>
  <c r="V654" i="31"/>
  <c r="X654" i="31"/>
  <c r="Y654" i="31"/>
  <c r="G655" i="31"/>
  <c r="I655" i="31"/>
  <c r="K655" i="31"/>
  <c r="M655" i="31"/>
  <c r="O655" i="31"/>
  <c r="Q655" i="31"/>
  <c r="U655" i="31"/>
  <c r="V655" i="31"/>
  <c r="X655" i="31"/>
  <c r="Y655" i="31"/>
  <c r="G656" i="31"/>
  <c r="I656" i="31"/>
  <c r="K656" i="31"/>
  <c r="M656" i="31"/>
  <c r="O656" i="31"/>
  <c r="Q656" i="31"/>
  <c r="U656" i="31"/>
  <c r="V656" i="31"/>
  <c r="X656" i="31"/>
  <c r="Y656" i="31"/>
  <c r="G657" i="31"/>
  <c r="I657" i="31"/>
  <c r="K657" i="31"/>
  <c r="M657" i="31"/>
  <c r="O657" i="31"/>
  <c r="Q657" i="31"/>
  <c r="U657" i="31"/>
  <c r="V657" i="31"/>
  <c r="X657" i="31"/>
  <c r="Y657" i="31"/>
  <c r="G658" i="31"/>
  <c r="I658" i="31"/>
  <c r="K658" i="31"/>
  <c r="M658" i="31"/>
  <c r="O658" i="31"/>
  <c r="Q658" i="31"/>
  <c r="U658" i="31"/>
  <c r="V658" i="31"/>
  <c r="X658" i="31"/>
  <c r="Y658" i="31"/>
  <c r="G659" i="31"/>
  <c r="I659" i="31"/>
  <c r="K659" i="31"/>
  <c r="M659" i="31"/>
  <c r="O659" i="31"/>
  <c r="Q659" i="31"/>
  <c r="U659" i="31"/>
  <c r="V659" i="31"/>
  <c r="X659" i="31"/>
  <c r="Y659" i="31"/>
  <c r="G660" i="31"/>
  <c r="I660" i="31"/>
  <c r="K660" i="31"/>
  <c r="M660" i="31"/>
  <c r="O660" i="31"/>
  <c r="Q660" i="31"/>
  <c r="U660" i="31"/>
  <c r="V660" i="31"/>
  <c r="X660" i="31"/>
  <c r="Y660" i="31"/>
  <c r="G661" i="31"/>
  <c r="I661" i="31"/>
  <c r="K661" i="31"/>
  <c r="M661" i="31"/>
  <c r="O661" i="31"/>
  <c r="Q661" i="31"/>
  <c r="U661" i="31"/>
  <c r="V661" i="31"/>
  <c r="X661" i="31"/>
  <c r="Y661" i="31"/>
  <c r="G662" i="31"/>
  <c r="I662" i="31"/>
  <c r="K662" i="31"/>
  <c r="M662" i="31"/>
  <c r="O662" i="31"/>
  <c r="Q662" i="31"/>
  <c r="U662" i="31"/>
  <c r="V662" i="31"/>
  <c r="X662" i="31"/>
  <c r="Y662" i="31"/>
  <c r="G663" i="31"/>
  <c r="I663" i="31"/>
  <c r="K663" i="31"/>
  <c r="M663" i="31"/>
  <c r="O663" i="31"/>
  <c r="Q663" i="31"/>
  <c r="U663" i="31"/>
  <c r="V663" i="31"/>
  <c r="X663" i="31"/>
  <c r="Y663" i="31"/>
  <c r="G664" i="31"/>
  <c r="I664" i="31"/>
  <c r="K664" i="31"/>
  <c r="M664" i="31"/>
  <c r="O664" i="31"/>
  <c r="Q664" i="31"/>
  <c r="U664" i="31"/>
  <c r="V664" i="31"/>
  <c r="X664" i="31"/>
  <c r="Y664" i="31"/>
  <c r="G665" i="31"/>
  <c r="I665" i="31"/>
  <c r="K665" i="31"/>
  <c r="M665" i="31"/>
  <c r="O665" i="31"/>
  <c r="Q665" i="31"/>
  <c r="U665" i="31"/>
  <c r="V665" i="31"/>
  <c r="X665" i="31"/>
  <c r="Y665" i="31"/>
  <c r="G666" i="31"/>
  <c r="I666" i="31"/>
  <c r="K666" i="31"/>
  <c r="M666" i="31"/>
  <c r="O666" i="31"/>
  <c r="Q666" i="31"/>
  <c r="U666" i="31"/>
  <c r="V666" i="31"/>
  <c r="X666" i="31"/>
  <c r="Y666" i="31"/>
  <c r="G667" i="31"/>
  <c r="I667" i="31"/>
  <c r="K667" i="31"/>
  <c r="M667" i="31"/>
  <c r="O667" i="31"/>
  <c r="Q667" i="31"/>
  <c r="U667" i="31"/>
  <c r="V667" i="31"/>
  <c r="X667" i="31"/>
  <c r="Y667" i="31"/>
  <c r="G668" i="31"/>
  <c r="I668" i="31"/>
  <c r="K668" i="31"/>
  <c r="M668" i="31"/>
  <c r="O668" i="31"/>
  <c r="Q668" i="31"/>
  <c r="U668" i="31"/>
  <c r="V668" i="31"/>
  <c r="X668" i="31"/>
  <c r="Y668" i="31"/>
  <c r="G669" i="31"/>
  <c r="I669" i="31"/>
  <c r="K669" i="31"/>
  <c r="M669" i="31"/>
  <c r="O669" i="31"/>
  <c r="Q669" i="31"/>
  <c r="U669" i="31"/>
  <c r="V669" i="31"/>
  <c r="X669" i="31"/>
  <c r="Y669" i="31"/>
  <c r="E670" i="31"/>
  <c r="G670" i="31"/>
  <c r="I670" i="31"/>
  <c r="K670" i="31"/>
  <c r="M670" i="31"/>
  <c r="O670" i="31"/>
  <c r="Q670" i="31"/>
  <c r="U670" i="31"/>
  <c r="V670" i="31"/>
  <c r="X670" i="31"/>
  <c r="Y670" i="31"/>
  <c r="E671" i="31"/>
  <c r="G671" i="31"/>
  <c r="I671" i="31"/>
  <c r="K671" i="31"/>
  <c r="M671" i="31"/>
  <c r="O671" i="31"/>
  <c r="Q671" i="31"/>
  <c r="U671" i="31"/>
  <c r="V671" i="31"/>
  <c r="X671" i="31"/>
  <c r="Y671" i="31"/>
  <c r="E672" i="31"/>
  <c r="G672" i="31"/>
  <c r="I672" i="31"/>
  <c r="K672" i="31"/>
  <c r="M672" i="31"/>
  <c r="O672" i="31"/>
  <c r="Q672" i="31"/>
  <c r="U672" i="31"/>
  <c r="V672" i="31"/>
  <c r="X672" i="31"/>
  <c r="Y672" i="31"/>
  <c r="E673" i="31"/>
  <c r="G673" i="31"/>
  <c r="I673" i="31"/>
  <c r="K673" i="31"/>
  <c r="M673" i="31"/>
  <c r="O673" i="31"/>
  <c r="Q673" i="31"/>
  <c r="U673" i="31"/>
  <c r="V673" i="31"/>
  <c r="X673" i="31"/>
  <c r="Y673" i="31"/>
  <c r="E674" i="31"/>
  <c r="G674" i="31"/>
  <c r="I674" i="31"/>
  <c r="K674" i="31"/>
  <c r="M674" i="31"/>
  <c r="O674" i="31"/>
  <c r="Q674" i="31"/>
  <c r="U674" i="31"/>
  <c r="V674" i="31"/>
  <c r="X674" i="31"/>
  <c r="Y674" i="31"/>
  <c r="E675" i="31"/>
  <c r="G675" i="31"/>
  <c r="I675" i="31"/>
  <c r="K675" i="31"/>
  <c r="M675" i="31"/>
  <c r="O675" i="31"/>
  <c r="Q675" i="31"/>
  <c r="U675" i="31"/>
  <c r="V675" i="31"/>
  <c r="X675" i="31"/>
  <c r="Y675" i="31"/>
  <c r="E676" i="31"/>
  <c r="G676" i="31"/>
  <c r="I676" i="31"/>
  <c r="K676" i="31"/>
  <c r="M676" i="31"/>
  <c r="O676" i="31"/>
  <c r="Q676" i="31"/>
  <c r="U676" i="31"/>
  <c r="V676" i="31"/>
  <c r="X676" i="31"/>
  <c r="Y676" i="31"/>
  <c r="E677" i="31"/>
  <c r="G677" i="31"/>
  <c r="I677" i="31"/>
  <c r="K677" i="31"/>
  <c r="M677" i="31"/>
  <c r="O677" i="31"/>
  <c r="Q677" i="31"/>
  <c r="U677" i="31"/>
  <c r="V677" i="31"/>
  <c r="X677" i="31"/>
  <c r="Y677" i="31"/>
  <c r="E678" i="31"/>
  <c r="G678" i="31"/>
  <c r="I678" i="31"/>
  <c r="K678" i="31"/>
  <c r="M678" i="31"/>
  <c r="O678" i="31"/>
  <c r="Q678" i="31"/>
  <c r="U678" i="31"/>
  <c r="V678" i="31"/>
  <c r="X678" i="31"/>
  <c r="Y678" i="31"/>
  <c r="G679" i="31"/>
  <c r="I679" i="31"/>
  <c r="K679" i="31"/>
  <c r="M679" i="31"/>
  <c r="O679" i="31"/>
  <c r="Q679" i="31"/>
  <c r="U679" i="31"/>
  <c r="V679" i="31"/>
  <c r="X679" i="31"/>
  <c r="Y679" i="31"/>
  <c r="G680" i="31"/>
  <c r="I680" i="31"/>
  <c r="K680" i="31"/>
  <c r="M680" i="31"/>
  <c r="O680" i="31"/>
  <c r="Q680" i="31"/>
  <c r="U680" i="31"/>
  <c r="V680" i="31"/>
  <c r="X680" i="31"/>
  <c r="Y680" i="31"/>
  <c r="G681" i="31"/>
  <c r="I681" i="31"/>
  <c r="K681" i="31"/>
  <c r="M681" i="31"/>
  <c r="O681" i="31"/>
  <c r="Q681" i="31"/>
  <c r="U681" i="31"/>
  <c r="V681" i="31"/>
  <c r="X681" i="31"/>
  <c r="Y681" i="31"/>
  <c r="G682" i="31"/>
  <c r="I682" i="31"/>
  <c r="K682" i="31"/>
  <c r="M682" i="31"/>
  <c r="O682" i="31"/>
  <c r="Q682" i="31"/>
  <c r="U682" i="31"/>
  <c r="V682" i="31"/>
  <c r="X682" i="31"/>
  <c r="Y682" i="31"/>
  <c r="G683" i="31"/>
  <c r="I683" i="31"/>
  <c r="K683" i="31"/>
  <c r="M683" i="31"/>
  <c r="O683" i="31"/>
  <c r="Q683" i="31"/>
  <c r="U683" i="31"/>
  <c r="V683" i="31"/>
  <c r="X683" i="31"/>
  <c r="Y683" i="31"/>
  <c r="G684" i="31"/>
  <c r="I684" i="31"/>
  <c r="K684" i="31"/>
  <c r="M684" i="31"/>
  <c r="O684" i="31"/>
  <c r="Q684" i="31"/>
  <c r="U684" i="31"/>
  <c r="V684" i="31"/>
  <c r="X684" i="31"/>
  <c r="Y684" i="31"/>
  <c r="G685" i="31"/>
  <c r="I685" i="31"/>
  <c r="K685" i="31"/>
  <c r="M685" i="31"/>
  <c r="O685" i="31"/>
  <c r="Q685" i="31"/>
  <c r="U685" i="31"/>
  <c r="V685" i="31"/>
  <c r="X685" i="31"/>
  <c r="Y685" i="31"/>
  <c r="G686" i="31"/>
  <c r="I686" i="31"/>
  <c r="K686" i="31"/>
  <c r="M686" i="31"/>
  <c r="O686" i="31"/>
  <c r="Q686" i="31"/>
  <c r="U686" i="31"/>
  <c r="V686" i="31"/>
  <c r="X686" i="31"/>
  <c r="Y686" i="31"/>
  <c r="G687" i="31"/>
  <c r="I687" i="31"/>
  <c r="K687" i="31"/>
  <c r="M687" i="31"/>
  <c r="O687" i="31"/>
  <c r="Q687" i="31"/>
  <c r="U687" i="31"/>
  <c r="V687" i="31"/>
  <c r="X687" i="31"/>
  <c r="Y687" i="31"/>
  <c r="G688" i="31"/>
  <c r="I688" i="31"/>
  <c r="K688" i="31"/>
  <c r="M688" i="31"/>
  <c r="O688" i="31"/>
  <c r="Q688" i="31"/>
  <c r="U688" i="31"/>
  <c r="V688" i="31"/>
  <c r="X688" i="31"/>
  <c r="Y688" i="31"/>
  <c r="G689" i="31"/>
  <c r="I689" i="31"/>
  <c r="K689" i="31"/>
  <c r="M689" i="31"/>
  <c r="O689" i="31"/>
  <c r="Q689" i="31"/>
  <c r="U689" i="31"/>
  <c r="V689" i="31"/>
  <c r="X689" i="31"/>
  <c r="Y689" i="31"/>
  <c r="G690" i="31"/>
  <c r="I690" i="31"/>
  <c r="K690" i="31"/>
  <c r="M690" i="31"/>
  <c r="O690" i="31"/>
  <c r="Q690" i="31"/>
  <c r="U690" i="31"/>
  <c r="V690" i="31"/>
  <c r="X690" i="31"/>
  <c r="Y690" i="31"/>
  <c r="G691" i="31"/>
  <c r="I691" i="31"/>
  <c r="K691" i="31"/>
  <c r="M691" i="31"/>
  <c r="O691" i="31"/>
  <c r="Q691" i="31"/>
  <c r="U691" i="31"/>
  <c r="V691" i="31"/>
  <c r="X691" i="31"/>
  <c r="Y691" i="31"/>
  <c r="G692" i="31"/>
  <c r="I692" i="31"/>
  <c r="K692" i="31"/>
  <c r="M692" i="31"/>
  <c r="O692" i="31"/>
  <c r="Q692" i="31"/>
  <c r="U692" i="31"/>
  <c r="V692" i="31"/>
  <c r="X692" i="31"/>
  <c r="Y692" i="31"/>
  <c r="G693" i="31"/>
  <c r="I693" i="31"/>
  <c r="K693" i="31"/>
  <c r="M693" i="31"/>
  <c r="O693" i="31"/>
  <c r="Q693" i="31"/>
  <c r="U693" i="31"/>
  <c r="V693" i="31"/>
  <c r="X693" i="31"/>
  <c r="Y693" i="31"/>
  <c r="G694" i="31"/>
  <c r="I694" i="31"/>
  <c r="K694" i="31"/>
  <c r="M694" i="31"/>
  <c r="O694" i="31"/>
  <c r="Q694" i="31"/>
  <c r="U694" i="31"/>
  <c r="V694" i="31"/>
  <c r="X694" i="31"/>
  <c r="Y694" i="31"/>
  <c r="G695" i="31"/>
  <c r="I695" i="31"/>
  <c r="K695" i="31"/>
  <c r="M695" i="31"/>
  <c r="O695" i="31"/>
  <c r="Q695" i="31"/>
  <c r="U695" i="31"/>
  <c r="V695" i="31"/>
  <c r="X695" i="31"/>
  <c r="Y695" i="31"/>
  <c r="G696" i="31"/>
  <c r="I696" i="31"/>
  <c r="K696" i="31"/>
  <c r="M696" i="31"/>
  <c r="O696" i="31"/>
  <c r="Q696" i="31"/>
  <c r="U696" i="31"/>
  <c r="V696" i="31"/>
  <c r="X696" i="31"/>
  <c r="Y696" i="31"/>
  <c r="G697" i="31"/>
  <c r="I697" i="31"/>
  <c r="K697" i="31"/>
  <c r="M697" i="31"/>
  <c r="O697" i="31"/>
  <c r="Q697" i="31"/>
  <c r="U697" i="31"/>
  <c r="V697" i="31"/>
  <c r="X697" i="31"/>
  <c r="Y697" i="31"/>
  <c r="G698" i="31"/>
  <c r="I698" i="31"/>
  <c r="K698" i="31"/>
  <c r="M698" i="31"/>
  <c r="O698" i="31"/>
  <c r="Q698" i="31"/>
  <c r="U698" i="31"/>
  <c r="V698" i="31"/>
  <c r="X698" i="31"/>
  <c r="Y698" i="31"/>
  <c r="E699" i="31"/>
  <c r="G699" i="31"/>
  <c r="I699" i="31"/>
  <c r="K699" i="31"/>
  <c r="M699" i="31"/>
  <c r="O699" i="31"/>
  <c r="Q699" i="31"/>
  <c r="U699" i="31"/>
  <c r="V699" i="31"/>
  <c r="X699" i="31"/>
  <c r="Y699" i="31"/>
  <c r="E700" i="31"/>
  <c r="G700" i="31"/>
  <c r="I700" i="31"/>
  <c r="K700" i="31"/>
  <c r="M700" i="31"/>
  <c r="O700" i="31"/>
  <c r="Q700" i="31"/>
  <c r="U700" i="31"/>
  <c r="V700" i="31"/>
  <c r="X700" i="31"/>
  <c r="Y700" i="31"/>
  <c r="E701" i="31"/>
  <c r="G701" i="31"/>
  <c r="I701" i="31"/>
  <c r="K701" i="31"/>
  <c r="M701" i="31"/>
  <c r="O701" i="31"/>
  <c r="Q701" i="31"/>
  <c r="U701" i="31"/>
  <c r="V701" i="31"/>
  <c r="X701" i="31"/>
  <c r="Y701" i="31"/>
  <c r="E702" i="31"/>
  <c r="G702" i="31"/>
  <c r="I702" i="31"/>
  <c r="K702" i="31"/>
  <c r="M702" i="31"/>
  <c r="O702" i="31"/>
  <c r="Q702" i="31"/>
  <c r="U702" i="31"/>
  <c r="V702" i="31"/>
  <c r="X702" i="31"/>
  <c r="Y702" i="31"/>
  <c r="E703" i="31"/>
  <c r="G703" i="31"/>
  <c r="I703" i="31"/>
  <c r="K703" i="31"/>
  <c r="M703" i="31"/>
  <c r="O703" i="31"/>
  <c r="Q703" i="31"/>
  <c r="U703" i="31"/>
  <c r="V703" i="31"/>
  <c r="X703" i="31"/>
  <c r="Y703" i="31"/>
  <c r="E704" i="31"/>
  <c r="G704" i="31"/>
  <c r="I704" i="31"/>
  <c r="K704" i="31"/>
  <c r="M704" i="31"/>
  <c r="O704" i="31"/>
  <c r="Q704" i="31"/>
  <c r="U704" i="31"/>
  <c r="V704" i="31"/>
  <c r="X704" i="31"/>
  <c r="Y704" i="31"/>
  <c r="E705" i="31"/>
  <c r="G705" i="31"/>
  <c r="I705" i="31"/>
  <c r="K705" i="31"/>
  <c r="M705" i="31"/>
  <c r="O705" i="31"/>
  <c r="Q705" i="31"/>
  <c r="U705" i="31"/>
  <c r="V705" i="31"/>
  <c r="X705" i="31"/>
  <c r="Y705" i="31"/>
  <c r="E706" i="31"/>
  <c r="G706" i="31"/>
  <c r="I706" i="31"/>
  <c r="K706" i="31"/>
  <c r="M706" i="31"/>
  <c r="O706" i="31"/>
  <c r="Q706" i="31"/>
  <c r="U706" i="31"/>
  <c r="V706" i="31"/>
  <c r="X706" i="31"/>
  <c r="Y706" i="31"/>
  <c r="E707" i="31"/>
  <c r="G707" i="31"/>
  <c r="I707" i="31"/>
  <c r="K707" i="31"/>
  <c r="M707" i="31"/>
  <c r="O707" i="31"/>
  <c r="Q707" i="31"/>
  <c r="U707" i="31"/>
  <c r="V707" i="31"/>
  <c r="X707" i="31"/>
  <c r="Y707" i="31"/>
  <c r="G708" i="31"/>
  <c r="I708" i="31"/>
  <c r="K708" i="31"/>
  <c r="M708" i="31"/>
  <c r="O708" i="31"/>
  <c r="Q708" i="31"/>
  <c r="U708" i="31"/>
  <c r="V708" i="31"/>
  <c r="X708" i="31"/>
  <c r="Y708" i="31"/>
  <c r="G709" i="31"/>
  <c r="I709" i="31"/>
  <c r="K709" i="31"/>
  <c r="M709" i="31"/>
  <c r="O709" i="31"/>
  <c r="Q709" i="31"/>
  <c r="U709" i="31"/>
  <c r="V709" i="31"/>
  <c r="X709" i="31"/>
  <c r="Y709" i="31"/>
  <c r="G710" i="31"/>
  <c r="I710" i="31"/>
  <c r="K710" i="31"/>
  <c r="M710" i="31"/>
  <c r="O710" i="31"/>
  <c r="Q710" i="31"/>
  <c r="U710" i="31"/>
  <c r="V710" i="31"/>
  <c r="X710" i="31"/>
  <c r="Y710" i="31"/>
  <c r="G711" i="31"/>
  <c r="I711" i="31"/>
  <c r="K711" i="31"/>
  <c r="M711" i="31"/>
  <c r="O711" i="31"/>
  <c r="Q711" i="31"/>
  <c r="U711" i="31"/>
  <c r="V711" i="31"/>
  <c r="X711" i="31"/>
  <c r="Y711" i="31"/>
  <c r="G712" i="31"/>
  <c r="I712" i="31"/>
  <c r="K712" i="31"/>
  <c r="M712" i="31"/>
  <c r="O712" i="31"/>
  <c r="Q712" i="31"/>
  <c r="U712" i="31"/>
  <c r="V712" i="31"/>
  <c r="X712" i="31"/>
  <c r="Y712" i="31"/>
  <c r="G713" i="31"/>
  <c r="I713" i="31"/>
  <c r="K713" i="31"/>
  <c r="M713" i="31"/>
  <c r="O713" i="31"/>
  <c r="Q713" i="31"/>
  <c r="U713" i="31"/>
  <c r="V713" i="31"/>
  <c r="X713" i="31"/>
  <c r="Y713" i="31"/>
  <c r="G714" i="31"/>
  <c r="I714" i="31"/>
  <c r="K714" i="31"/>
  <c r="M714" i="31"/>
  <c r="O714" i="31"/>
  <c r="Q714" i="31"/>
  <c r="U714" i="31"/>
  <c r="V714" i="31"/>
  <c r="X714" i="31"/>
  <c r="Y714" i="31"/>
  <c r="G715" i="31"/>
  <c r="I715" i="31"/>
  <c r="K715" i="31"/>
  <c r="M715" i="31"/>
  <c r="O715" i="31"/>
  <c r="Q715" i="31"/>
  <c r="U715" i="31"/>
  <c r="V715" i="31"/>
  <c r="X715" i="31"/>
  <c r="Y715" i="31"/>
  <c r="G716" i="31"/>
  <c r="I716" i="31"/>
  <c r="K716" i="31"/>
  <c r="M716" i="31"/>
  <c r="O716" i="31"/>
  <c r="Q716" i="31"/>
  <c r="U716" i="31"/>
  <c r="V716" i="31"/>
  <c r="X716" i="31"/>
  <c r="Y716" i="31"/>
  <c r="G717" i="31"/>
  <c r="I717" i="31"/>
  <c r="K717" i="31"/>
  <c r="M717" i="31"/>
  <c r="O717" i="31"/>
  <c r="Q717" i="31"/>
  <c r="U717" i="31"/>
  <c r="V717" i="31"/>
  <c r="X717" i="31"/>
  <c r="Y717" i="31"/>
  <c r="G718" i="31"/>
  <c r="I718" i="31"/>
  <c r="K718" i="31"/>
  <c r="M718" i="31"/>
  <c r="O718" i="31"/>
  <c r="Q718" i="31"/>
  <c r="U718" i="31"/>
  <c r="V718" i="31"/>
  <c r="X718" i="31"/>
  <c r="Y718" i="31"/>
  <c r="G719" i="31"/>
  <c r="I719" i="31"/>
  <c r="K719" i="31"/>
  <c r="M719" i="31"/>
  <c r="O719" i="31"/>
  <c r="Q719" i="31"/>
  <c r="U719" i="31"/>
  <c r="V719" i="31"/>
  <c r="X719" i="31"/>
  <c r="Y719" i="31"/>
  <c r="G720" i="31"/>
  <c r="I720" i="31"/>
  <c r="K720" i="31"/>
  <c r="M720" i="31"/>
  <c r="O720" i="31"/>
  <c r="Q720" i="31"/>
  <c r="U720" i="31"/>
  <c r="V720" i="31"/>
  <c r="X720" i="31"/>
  <c r="Y720" i="31"/>
  <c r="G721" i="31"/>
  <c r="I721" i="31"/>
  <c r="K721" i="31"/>
  <c r="M721" i="31"/>
  <c r="O721" i="31"/>
  <c r="Q721" i="31"/>
  <c r="U721" i="31"/>
  <c r="V721" i="31"/>
  <c r="X721" i="31"/>
  <c r="Y721" i="31"/>
  <c r="G722" i="31"/>
  <c r="I722" i="31"/>
  <c r="K722" i="31"/>
  <c r="M722" i="31"/>
  <c r="O722" i="31"/>
  <c r="Q722" i="31"/>
  <c r="U722" i="31"/>
  <c r="V722" i="31"/>
  <c r="X722" i="31"/>
  <c r="Y722" i="31"/>
  <c r="G723" i="31"/>
  <c r="I723" i="31"/>
  <c r="K723" i="31"/>
  <c r="M723" i="31"/>
  <c r="O723" i="31"/>
  <c r="Q723" i="31"/>
  <c r="U723" i="31"/>
  <c r="V723" i="31"/>
  <c r="X723" i="31"/>
  <c r="Y723" i="31"/>
  <c r="G724" i="31"/>
  <c r="I724" i="31"/>
  <c r="K724" i="31"/>
  <c r="M724" i="31"/>
  <c r="O724" i="31"/>
  <c r="Q724" i="31"/>
  <c r="U724" i="31"/>
  <c r="V724" i="31"/>
  <c r="X724" i="31"/>
  <c r="Y724" i="31"/>
  <c r="G725" i="31"/>
  <c r="I725" i="31"/>
  <c r="K725" i="31"/>
  <c r="M725" i="31"/>
  <c r="O725" i="31"/>
  <c r="Q725" i="31"/>
  <c r="U725" i="31"/>
  <c r="V725" i="31"/>
  <c r="X725" i="31"/>
  <c r="Y725" i="31"/>
  <c r="G726" i="31"/>
  <c r="I726" i="31"/>
  <c r="K726" i="31"/>
  <c r="M726" i="31"/>
  <c r="O726" i="31"/>
  <c r="Q726" i="31"/>
  <c r="U726" i="31"/>
  <c r="V726" i="31"/>
  <c r="X726" i="31"/>
  <c r="Y726" i="31"/>
  <c r="G727" i="31"/>
  <c r="I727" i="31"/>
  <c r="K727" i="31"/>
  <c r="M727" i="31"/>
  <c r="O727" i="31"/>
  <c r="Q727" i="31"/>
  <c r="U727" i="31"/>
  <c r="V727" i="31"/>
  <c r="X727" i="31"/>
  <c r="Y727" i="31"/>
  <c r="E728" i="31"/>
  <c r="I728" i="31"/>
  <c r="K728" i="31"/>
  <c r="M728" i="31"/>
  <c r="O728" i="31"/>
  <c r="Q728" i="31"/>
  <c r="U728" i="31"/>
  <c r="V728" i="31"/>
  <c r="X728" i="31"/>
  <c r="Y728" i="31"/>
  <c r="E729" i="31"/>
  <c r="I729" i="31"/>
  <c r="K729" i="31"/>
  <c r="M729" i="31"/>
  <c r="O729" i="31"/>
  <c r="Q729" i="31"/>
  <c r="U729" i="31"/>
  <c r="V729" i="31"/>
  <c r="X729" i="31"/>
  <c r="Y729" i="31"/>
  <c r="E730" i="31"/>
  <c r="I730" i="31"/>
  <c r="K730" i="31"/>
  <c r="M730" i="31"/>
  <c r="O730" i="31"/>
  <c r="Q730" i="31"/>
  <c r="U730" i="31"/>
  <c r="V730" i="31"/>
  <c r="X730" i="31"/>
  <c r="Y730" i="31"/>
  <c r="E731" i="31"/>
  <c r="I731" i="31"/>
  <c r="K731" i="31"/>
  <c r="M731" i="31"/>
  <c r="O731" i="31"/>
  <c r="Q731" i="31"/>
  <c r="U731" i="31"/>
  <c r="V731" i="31"/>
  <c r="X731" i="31"/>
  <c r="Y731" i="31"/>
  <c r="E732" i="31"/>
  <c r="I732" i="31"/>
  <c r="K732" i="31"/>
  <c r="M732" i="31"/>
  <c r="O732" i="31"/>
  <c r="Q732" i="31"/>
  <c r="U732" i="31"/>
  <c r="V732" i="31"/>
  <c r="X732" i="31"/>
  <c r="Y732" i="31"/>
  <c r="I733" i="31"/>
  <c r="K733" i="31"/>
  <c r="M733" i="31"/>
  <c r="O733" i="31"/>
  <c r="Q733" i="31"/>
  <c r="U733" i="31"/>
  <c r="V733" i="31"/>
  <c r="X733" i="31"/>
  <c r="Y733" i="31"/>
  <c r="I734" i="31"/>
  <c r="K734" i="31"/>
  <c r="M734" i="31"/>
  <c r="O734" i="31"/>
  <c r="Q734" i="31"/>
  <c r="U734" i="31"/>
  <c r="V734" i="31"/>
  <c r="X734" i="31"/>
  <c r="Y734" i="31"/>
  <c r="I735" i="31"/>
  <c r="K735" i="31"/>
  <c r="M735" i="31"/>
  <c r="O735" i="31"/>
  <c r="Q735" i="31"/>
  <c r="U735" i="31"/>
  <c r="V735" i="31"/>
  <c r="X735" i="31"/>
  <c r="Y735" i="31"/>
  <c r="I736" i="31"/>
  <c r="K736" i="31"/>
  <c r="M736" i="31"/>
  <c r="O736" i="31"/>
  <c r="Q736" i="31"/>
  <c r="U736" i="31"/>
  <c r="V736" i="31"/>
  <c r="X736" i="31"/>
  <c r="Y736" i="31"/>
  <c r="I737" i="31"/>
  <c r="K737" i="31"/>
  <c r="M737" i="31"/>
  <c r="O737" i="31"/>
  <c r="Q737" i="31"/>
  <c r="U737" i="31"/>
  <c r="V737" i="31"/>
  <c r="X737" i="31"/>
  <c r="Y737" i="31"/>
  <c r="I738" i="31"/>
  <c r="K738" i="31"/>
  <c r="M738" i="31"/>
  <c r="O738" i="31"/>
  <c r="Q738" i="31"/>
  <c r="U738" i="31"/>
  <c r="V738" i="31"/>
  <c r="X738" i="31"/>
  <c r="Y738" i="31"/>
  <c r="I739" i="31"/>
  <c r="K739" i="31"/>
  <c r="M739" i="31"/>
  <c r="O739" i="31"/>
  <c r="Q739" i="31"/>
  <c r="U739" i="31"/>
  <c r="V739" i="31"/>
  <c r="X739" i="31"/>
  <c r="Y739" i="31"/>
  <c r="I740" i="31"/>
  <c r="K740" i="31"/>
  <c r="M740" i="31"/>
  <c r="O740" i="31"/>
  <c r="Q740" i="31"/>
  <c r="U740" i="31"/>
  <c r="V740" i="31"/>
  <c r="X740" i="31"/>
  <c r="Y740" i="31"/>
  <c r="I741" i="31"/>
  <c r="K741" i="31"/>
  <c r="M741" i="31"/>
  <c r="O741" i="31"/>
  <c r="Q741" i="31"/>
  <c r="U741" i="31"/>
  <c r="V741" i="31"/>
  <c r="X741" i="31"/>
  <c r="Y741" i="31"/>
  <c r="G742" i="31"/>
  <c r="I742" i="31"/>
  <c r="K742" i="31"/>
  <c r="M742" i="31"/>
  <c r="O742" i="31"/>
  <c r="Q742" i="31"/>
  <c r="U742" i="31"/>
  <c r="V742" i="31"/>
  <c r="X742" i="31"/>
  <c r="Y742" i="31"/>
  <c r="E743" i="31"/>
  <c r="I743" i="31"/>
  <c r="K743" i="31"/>
  <c r="M743" i="31"/>
  <c r="O743" i="31"/>
  <c r="Q743" i="31"/>
  <c r="U743" i="31"/>
  <c r="V743" i="31"/>
  <c r="X743" i="31"/>
  <c r="Y743" i="31"/>
  <c r="E744" i="31"/>
  <c r="I744" i="31"/>
  <c r="K744" i="31"/>
  <c r="M744" i="31"/>
  <c r="O744" i="31"/>
  <c r="Q744" i="31"/>
  <c r="U744" i="31"/>
  <c r="V744" i="31"/>
  <c r="X744" i="31"/>
  <c r="Y744" i="31"/>
  <c r="E745" i="31"/>
  <c r="I745" i="31"/>
  <c r="K745" i="31"/>
  <c r="M745" i="31"/>
  <c r="O745" i="31"/>
  <c r="Q745" i="31"/>
  <c r="U745" i="31"/>
  <c r="V745" i="31"/>
  <c r="X745" i="31"/>
  <c r="Y745" i="31"/>
  <c r="E746" i="31"/>
  <c r="I746" i="31"/>
  <c r="K746" i="31"/>
  <c r="M746" i="31"/>
  <c r="O746" i="31"/>
  <c r="Q746" i="31"/>
  <c r="U746" i="31"/>
  <c r="V746" i="31"/>
  <c r="X746" i="31"/>
  <c r="Y746" i="31"/>
  <c r="E747" i="31"/>
  <c r="I747" i="31"/>
  <c r="K747" i="31"/>
  <c r="M747" i="31"/>
  <c r="O747" i="31"/>
  <c r="Q747" i="31"/>
  <c r="U747" i="31"/>
  <c r="V747" i="31"/>
  <c r="X747" i="31"/>
  <c r="Y747" i="31"/>
  <c r="I748" i="31"/>
  <c r="K748" i="31"/>
  <c r="M748" i="31"/>
  <c r="O748" i="31"/>
  <c r="Q748" i="31"/>
  <c r="U748" i="31"/>
  <c r="V748" i="31"/>
  <c r="X748" i="31"/>
  <c r="Y748" i="31"/>
  <c r="I749" i="31"/>
  <c r="K749" i="31"/>
  <c r="M749" i="31"/>
  <c r="O749" i="31"/>
  <c r="Q749" i="31"/>
  <c r="U749" i="31"/>
  <c r="V749" i="31"/>
  <c r="X749" i="31"/>
  <c r="Y749" i="31"/>
  <c r="I750" i="31"/>
  <c r="K750" i="31"/>
  <c r="M750" i="31"/>
  <c r="O750" i="31"/>
  <c r="Q750" i="31"/>
  <c r="U750" i="31"/>
  <c r="V750" i="31"/>
  <c r="X750" i="31"/>
  <c r="Y750" i="31"/>
  <c r="I751" i="31"/>
  <c r="K751" i="31"/>
  <c r="M751" i="31"/>
  <c r="O751" i="31"/>
  <c r="Q751" i="31"/>
  <c r="U751" i="31"/>
  <c r="V751" i="31"/>
  <c r="X751" i="31"/>
  <c r="Y751" i="31"/>
  <c r="I752" i="31"/>
  <c r="K752" i="31"/>
  <c r="M752" i="31"/>
  <c r="O752" i="31"/>
  <c r="Q752" i="31"/>
  <c r="U752" i="31"/>
  <c r="V752" i="31"/>
  <c r="X752" i="31"/>
  <c r="Y752" i="31"/>
  <c r="I753" i="31"/>
  <c r="K753" i="31"/>
  <c r="M753" i="31"/>
  <c r="O753" i="31"/>
  <c r="Q753" i="31"/>
  <c r="U753" i="31"/>
  <c r="V753" i="31"/>
  <c r="X753" i="31"/>
  <c r="Y753" i="31"/>
  <c r="I754" i="31"/>
  <c r="K754" i="31"/>
  <c r="M754" i="31"/>
  <c r="O754" i="31"/>
  <c r="Q754" i="31"/>
  <c r="U754" i="31"/>
  <c r="V754" i="31"/>
  <c r="X754" i="31"/>
  <c r="Y754" i="31"/>
  <c r="I755" i="31"/>
  <c r="K755" i="31"/>
  <c r="M755" i="31"/>
  <c r="O755" i="31"/>
  <c r="Q755" i="31"/>
  <c r="U755" i="31"/>
  <c r="V755" i="31"/>
  <c r="X755" i="31"/>
  <c r="Y755" i="31"/>
  <c r="I756" i="31"/>
  <c r="K756" i="31"/>
  <c r="M756" i="31"/>
  <c r="O756" i="31"/>
  <c r="Q756" i="31"/>
  <c r="U756" i="31"/>
  <c r="V756" i="31"/>
  <c r="X756" i="31"/>
  <c r="Y756" i="31"/>
  <c r="G757" i="31"/>
  <c r="I757" i="31"/>
  <c r="K757" i="31"/>
  <c r="M757" i="31"/>
  <c r="O757" i="31"/>
  <c r="Q757" i="31"/>
  <c r="U757" i="31"/>
  <c r="V757" i="31"/>
  <c r="X757" i="31"/>
  <c r="Y757" i="31"/>
  <c r="E758" i="31"/>
  <c r="G758" i="31"/>
  <c r="I758" i="31"/>
  <c r="K758" i="31"/>
  <c r="M758" i="31"/>
  <c r="O758" i="31"/>
  <c r="Q758" i="31"/>
  <c r="U758" i="31"/>
  <c r="V758" i="31"/>
  <c r="X758" i="31"/>
  <c r="Y758" i="31"/>
  <c r="E759" i="31"/>
  <c r="G759" i="31"/>
  <c r="I759" i="31"/>
  <c r="K759" i="31"/>
  <c r="M759" i="31"/>
  <c r="O759" i="31"/>
  <c r="Q759" i="31"/>
  <c r="U759" i="31"/>
  <c r="V759" i="31"/>
  <c r="X759" i="31"/>
  <c r="Y759" i="31"/>
  <c r="E760" i="31"/>
  <c r="G760" i="31"/>
  <c r="I760" i="31"/>
  <c r="K760" i="31"/>
  <c r="M760" i="31"/>
  <c r="O760" i="31"/>
  <c r="Q760" i="31"/>
  <c r="U760" i="31"/>
  <c r="V760" i="31"/>
  <c r="X760" i="31"/>
  <c r="Y760" i="31"/>
  <c r="E761" i="31"/>
  <c r="G761" i="31"/>
  <c r="I761" i="31"/>
  <c r="K761" i="31"/>
  <c r="M761" i="31"/>
  <c r="O761" i="31"/>
  <c r="Q761" i="31"/>
  <c r="U761" i="31"/>
  <c r="V761" i="31"/>
  <c r="X761" i="31"/>
  <c r="Y761" i="31"/>
  <c r="E762" i="31"/>
  <c r="G762" i="31"/>
  <c r="I762" i="31"/>
  <c r="K762" i="31"/>
  <c r="M762" i="31"/>
  <c r="O762" i="31"/>
  <c r="Q762" i="31"/>
  <c r="U762" i="31"/>
  <c r="V762" i="31"/>
  <c r="X762" i="31"/>
  <c r="Y762" i="31"/>
  <c r="E763" i="31"/>
  <c r="G763" i="31"/>
  <c r="I763" i="31"/>
  <c r="K763" i="31"/>
  <c r="M763" i="31"/>
  <c r="O763" i="31"/>
  <c r="Q763" i="31"/>
  <c r="U763" i="31"/>
  <c r="V763" i="31"/>
  <c r="X763" i="31"/>
  <c r="Y763" i="31"/>
  <c r="E764" i="31"/>
  <c r="G764" i="31"/>
  <c r="I764" i="31"/>
  <c r="K764" i="31"/>
  <c r="M764" i="31"/>
  <c r="O764" i="31"/>
  <c r="Q764" i="31"/>
  <c r="U764" i="31"/>
  <c r="V764" i="31"/>
  <c r="X764" i="31"/>
  <c r="Y764" i="31"/>
  <c r="E765" i="31"/>
  <c r="G765" i="31"/>
  <c r="I765" i="31"/>
  <c r="K765" i="31"/>
  <c r="M765" i="31"/>
  <c r="O765" i="31"/>
  <c r="Q765" i="31"/>
  <c r="U765" i="31"/>
  <c r="V765" i="31"/>
  <c r="X765" i="31"/>
  <c r="Y765" i="31"/>
  <c r="E766" i="31"/>
  <c r="G766" i="31"/>
  <c r="I766" i="31"/>
  <c r="K766" i="31"/>
  <c r="M766" i="31"/>
  <c r="O766" i="31"/>
  <c r="Q766" i="31"/>
  <c r="U766" i="31"/>
  <c r="V766" i="31"/>
  <c r="X766" i="31"/>
  <c r="Y766" i="31"/>
  <c r="G767" i="31"/>
  <c r="I767" i="31"/>
  <c r="K767" i="31"/>
  <c r="M767" i="31"/>
  <c r="O767" i="31"/>
  <c r="Q767" i="31"/>
  <c r="U767" i="31"/>
  <c r="V767" i="31"/>
  <c r="X767" i="31"/>
  <c r="Y767" i="31"/>
  <c r="G768" i="31"/>
  <c r="I768" i="31"/>
  <c r="K768" i="31"/>
  <c r="M768" i="31"/>
  <c r="O768" i="31"/>
  <c r="Q768" i="31"/>
  <c r="U768" i="31"/>
  <c r="V768" i="31"/>
  <c r="X768" i="31"/>
  <c r="Y768" i="31"/>
  <c r="G769" i="31"/>
  <c r="I769" i="31"/>
  <c r="K769" i="31"/>
  <c r="M769" i="31"/>
  <c r="O769" i="31"/>
  <c r="Q769" i="31"/>
  <c r="U769" i="31"/>
  <c r="V769" i="31"/>
  <c r="X769" i="31"/>
  <c r="Y769" i="31"/>
  <c r="G770" i="31"/>
  <c r="I770" i="31"/>
  <c r="K770" i="31"/>
  <c r="M770" i="31"/>
  <c r="O770" i="31"/>
  <c r="Q770" i="31"/>
  <c r="U770" i="31"/>
  <c r="V770" i="31"/>
  <c r="X770" i="31"/>
  <c r="Y770" i="31"/>
  <c r="G771" i="31"/>
  <c r="I771" i="31"/>
  <c r="K771" i="31"/>
  <c r="M771" i="31"/>
  <c r="O771" i="31"/>
  <c r="Q771" i="31"/>
  <c r="U771" i="31"/>
  <c r="V771" i="31"/>
  <c r="X771" i="31"/>
  <c r="Y771" i="31"/>
  <c r="G772" i="31"/>
  <c r="I772" i="31"/>
  <c r="K772" i="31"/>
  <c r="M772" i="31"/>
  <c r="O772" i="31"/>
  <c r="Q772" i="31"/>
  <c r="U772" i="31"/>
  <c r="V772" i="31"/>
  <c r="X772" i="31"/>
  <c r="Y772" i="31"/>
  <c r="G773" i="31"/>
  <c r="I773" i="31"/>
  <c r="K773" i="31"/>
  <c r="M773" i="31"/>
  <c r="O773" i="31"/>
  <c r="Q773" i="31"/>
  <c r="U773" i="31"/>
  <c r="V773" i="31"/>
  <c r="X773" i="31"/>
  <c r="Y773" i="31"/>
  <c r="G774" i="31"/>
  <c r="I774" i="31"/>
  <c r="K774" i="31"/>
  <c r="M774" i="31"/>
  <c r="O774" i="31"/>
  <c r="Q774" i="31"/>
  <c r="U774" i="31"/>
  <c r="V774" i="31"/>
  <c r="X774" i="31"/>
  <c r="Y774" i="31"/>
  <c r="G775" i="31"/>
  <c r="I775" i="31"/>
  <c r="K775" i="31"/>
  <c r="M775" i="31"/>
  <c r="O775" i="31"/>
  <c r="Q775" i="31"/>
  <c r="U775" i="31"/>
  <c r="V775" i="31"/>
  <c r="X775" i="31"/>
  <c r="Y775" i="31"/>
  <c r="G776" i="31"/>
  <c r="I776" i="31"/>
  <c r="K776" i="31"/>
  <c r="M776" i="31"/>
  <c r="O776" i="31"/>
  <c r="Q776" i="31"/>
  <c r="U776" i="31"/>
  <c r="V776" i="31"/>
  <c r="X776" i="31"/>
  <c r="Y776" i="31"/>
  <c r="G777" i="31"/>
  <c r="I777" i="31"/>
  <c r="K777" i="31"/>
  <c r="M777" i="31"/>
  <c r="O777" i="31"/>
  <c r="Q777" i="31"/>
  <c r="U777" i="31"/>
  <c r="V777" i="31"/>
  <c r="X777" i="31"/>
  <c r="Y777" i="31"/>
  <c r="G778" i="31"/>
  <c r="I778" i="31"/>
  <c r="K778" i="31"/>
  <c r="M778" i="31"/>
  <c r="O778" i="31"/>
  <c r="Q778" i="31"/>
  <c r="U778" i="31"/>
  <c r="V778" i="31"/>
  <c r="X778" i="31"/>
  <c r="Y778" i="31"/>
  <c r="G779" i="31"/>
  <c r="I779" i="31"/>
  <c r="K779" i="31"/>
  <c r="M779" i="31"/>
  <c r="O779" i="31"/>
  <c r="Q779" i="31"/>
  <c r="U779" i="31"/>
  <c r="V779" i="31"/>
  <c r="X779" i="31"/>
  <c r="Y779" i="31"/>
  <c r="G780" i="31"/>
  <c r="I780" i="31"/>
  <c r="K780" i="31"/>
  <c r="M780" i="31"/>
  <c r="O780" i="31"/>
  <c r="Q780" i="31"/>
  <c r="U780" i="31"/>
  <c r="V780" i="31"/>
  <c r="X780" i="31"/>
  <c r="Y780" i="31"/>
  <c r="G781" i="31"/>
  <c r="I781" i="31"/>
  <c r="K781" i="31"/>
  <c r="M781" i="31"/>
  <c r="O781" i="31"/>
  <c r="Q781" i="31"/>
  <c r="U781" i="31"/>
  <c r="V781" i="31"/>
  <c r="X781" i="31"/>
  <c r="Y781" i="31"/>
  <c r="G782" i="31"/>
  <c r="I782" i="31"/>
  <c r="K782" i="31"/>
  <c r="M782" i="31"/>
  <c r="O782" i="31"/>
  <c r="Q782" i="31"/>
  <c r="U782" i="31"/>
  <c r="V782" i="31"/>
  <c r="X782" i="31"/>
  <c r="Y782" i="31"/>
  <c r="G783" i="31"/>
  <c r="I783" i="31"/>
  <c r="K783" i="31"/>
  <c r="M783" i="31"/>
  <c r="O783" i="31"/>
  <c r="Q783" i="31"/>
  <c r="U783" i="31"/>
  <c r="V783" i="31"/>
  <c r="X783" i="31"/>
  <c r="Y783" i="31"/>
  <c r="G784" i="31"/>
  <c r="I784" i="31"/>
  <c r="K784" i="31"/>
  <c r="M784" i="31"/>
  <c r="O784" i="31"/>
  <c r="Q784" i="31"/>
  <c r="U784" i="31"/>
  <c r="V784" i="31"/>
  <c r="X784" i="31"/>
  <c r="Y784" i="31"/>
  <c r="G785" i="31"/>
  <c r="I785" i="31"/>
  <c r="K785" i="31"/>
  <c r="M785" i="31"/>
  <c r="O785" i="31"/>
  <c r="Q785" i="31"/>
  <c r="U785" i="31"/>
  <c r="V785" i="31"/>
  <c r="X785" i="31"/>
  <c r="Y785" i="31"/>
  <c r="G786" i="31"/>
  <c r="I786" i="31"/>
  <c r="K786" i="31"/>
  <c r="M786" i="31"/>
  <c r="O786" i="31"/>
  <c r="Q786" i="31"/>
  <c r="U786" i="31"/>
  <c r="V786" i="31"/>
  <c r="X786" i="31"/>
  <c r="Y786" i="31"/>
  <c r="E787" i="31"/>
  <c r="G787" i="31"/>
  <c r="I787" i="31"/>
  <c r="K787" i="31"/>
  <c r="M787" i="31"/>
  <c r="O787" i="31"/>
  <c r="Q787" i="31"/>
  <c r="U787" i="31"/>
  <c r="V787" i="31"/>
  <c r="X787" i="31"/>
  <c r="Y787" i="31"/>
  <c r="E788" i="31"/>
  <c r="G788" i="31"/>
  <c r="I788" i="31"/>
  <c r="K788" i="31"/>
  <c r="M788" i="31"/>
  <c r="O788" i="31"/>
  <c r="Q788" i="31"/>
  <c r="U788" i="31"/>
  <c r="V788" i="31"/>
  <c r="X788" i="31"/>
  <c r="Y788" i="31"/>
  <c r="E789" i="31"/>
  <c r="G789" i="31"/>
  <c r="I789" i="31"/>
  <c r="K789" i="31"/>
  <c r="M789" i="31"/>
  <c r="O789" i="31"/>
  <c r="Q789" i="31"/>
  <c r="U789" i="31"/>
  <c r="V789" i="31"/>
  <c r="X789" i="31"/>
  <c r="Y789" i="31"/>
  <c r="E790" i="31"/>
  <c r="G790" i="31"/>
  <c r="I790" i="31"/>
  <c r="K790" i="31"/>
  <c r="M790" i="31"/>
  <c r="O790" i="31"/>
  <c r="Q790" i="31"/>
  <c r="U790" i="31"/>
  <c r="V790" i="31"/>
  <c r="X790" i="31"/>
  <c r="Y790" i="31"/>
  <c r="E791" i="31"/>
  <c r="G791" i="31"/>
  <c r="I791" i="31"/>
  <c r="K791" i="31"/>
  <c r="M791" i="31"/>
  <c r="O791" i="31"/>
  <c r="Q791" i="31"/>
  <c r="U791" i="31"/>
  <c r="V791" i="31"/>
  <c r="X791" i="31"/>
  <c r="Y791" i="31"/>
  <c r="E792" i="31"/>
  <c r="G792" i="31"/>
  <c r="I792" i="31"/>
  <c r="K792" i="31"/>
  <c r="M792" i="31"/>
  <c r="O792" i="31"/>
  <c r="Q792" i="31"/>
  <c r="U792" i="31"/>
  <c r="V792" i="31"/>
  <c r="X792" i="31"/>
  <c r="Y792" i="31"/>
  <c r="E793" i="31"/>
  <c r="G793" i="31"/>
  <c r="I793" i="31"/>
  <c r="K793" i="31"/>
  <c r="M793" i="31"/>
  <c r="O793" i="31"/>
  <c r="Q793" i="31"/>
  <c r="U793" i="31"/>
  <c r="V793" i="31"/>
  <c r="X793" i="31"/>
  <c r="Y793" i="31"/>
  <c r="E794" i="31"/>
  <c r="G794" i="31"/>
  <c r="I794" i="31"/>
  <c r="K794" i="31"/>
  <c r="M794" i="31"/>
  <c r="O794" i="31"/>
  <c r="Q794" i="31"/>
  <c r="U794" i="31"/>
  <c r="V794" i="31"/>
  <c r="X794" i="31"/>
  <c r="Y794" i="31"/>
  <c r="E795" i="31"/>
  <c r="G795" i="31"/>
  <c r="I795" i="31"/>
  <c r="K795" i="31"/>
  <c r="M795" i="31"/>
  <c r="O795" i="31"/>
  <c r="Q795" i="31"/>
  <c r="U795" i="31"/>
  <c r="V795" i="31"/>
  <c r="X795" i="31"/>
  <c r="Y795" i="31"/>
  <c r="G796" i="31"/>
  <c r="I796" i="31"/>
  <c r="K796" i="31"/>
  <c r="M796" i="31"/>
  <c r="O796" i="31"/>
  <c r="Q796" i="31"/>
  <c r="U796" i="31"/>
  <c r="V796" i="31"/>
  <c r="X796" i="31"/>
  <c r="Y796" i="31"/>
  <c r="G797" i="31"/>
  <c r="I797" i="31"/>
  <c r="K797" i="31"/>
  <c r="M797" i="31"/>
  <c r="O797" i="31"/>
  <c r="Q797" i="31"/>
  <c r="U797" i="31"/>
  <c r="V797" i="31"/>
  <c r="X797" i="31"/>
  <c r="Y797" i="31"/>
  <c r="G798" i="31"/>
  <c r="I798" i="31"/>
  <c r="K798" i="31"/>
  <c r="M798" i="31"/>
  <c r="O798" i="31"/>
  <c r="Q798" i="31"/>
  <c r="U798" i="31"/>
  <c r="V798" i="31"/>
  <c r="X798" i="31"/>
  <c r="Y798" i="31"/>
  <c r="G799" i="31"/>
  <c r="I799" i="31"/>
  <c r="K799" i="31"/>
  <c r="M799" i="31"/>
  <c r="O799" i="31"/>
  <c r="Q799" i="31"/>
  <c r="U799" i="31"/>
  <c r="V799" i="31"/>
  <c r="X799" i="31"/>
  <c r="Y799" i="31"/>
  <c r="G800" i="31"/>
  <c r="I800" i="31"/>
  <c r="K800" i="31"/>
  <c r="M800" i="31"/>
  <c r="O800" i="31"/>
  <c r="Q800" i="31"/>
  <c r="U800" i="31"/>
  <c r="V800" i="31"/>
  <c r="X800" i="31"/>
  <c r="Y800" i="31"/>
  <c r="G801" i="31"/>
  <c r="I801" i="31"/>
  <c r="K801" i="31"/>
  <c r="M801" i="31"/>
  <c r="O801" i="31"/>
  <c r="Q801" i="31"/>
  <c r="U801" i="31"/>
  <c r="V801" i="31"/>
  <c r="X801" i="31"/>
  <c r="Y801" i="31"/>
  <c r="G802" i="31"/>
  <c r="I802" i="31"/>
  <c r="K802" i="31"/>
  <c r="M802" i="31"/>
  <c r="O802" i="31"/>
  <c r="Q802" i="31"/>
  <c r="U802" i="31"/>
  <c r="V802" i="31"/>
  <c r="X802" i="31"/>
  <c r="Y802" i="31"/>
  <c r="G803" i="31"/>
  <c r="I803" i="31"/>
  <c r="K803" i="31"/>
  <c r="M803" i="31"/>
  <c r="O803" i="31"/>
  <c r="Q803" i="31"/>
  <c r="U803" i="31"/>
  <c r="V803" i="31"/>
  <c r="X803" i="31"/>
  <c r="Y803" i="31"/>
  <c r="G804" i="31"/>
  <c r="I804" i="31"/>
  <c r="K804" i="31"/>
  <c r="M804" i="31"/>
  <c r="O804" i="31"/>
  <c r="Q804" i="31"/>
  <c r="U804" i="31"/>
  <c r="V804" i="31"/>
  <c r="X804" i="31"/>
  <c r="Y804" i="31"/>
  <c r="G805" i="31"/>
  <c r="I805" i="31"/>
  <c r="K805" i="31"/>
  <c r="M805" i="31"/>
  <c r="O805" i="31"/>
  <c r="Q805" i="31"/>
  <c r="U805" i="31"/>
  <c r="V805" i="31"/>
  <c r="X805" i="31"/>
  <c r="Y805" i="31"/>
  <c r="G806" i="31"/>
  <c r="I806" i="31"/>
  <c r="K806" i="31"/>
  <c r="M806" i="31"/>
  <c r="O806" i="31"/>
  <c r="Q806" i="31"/>
  <c r="U806" i="31"/>
  <c r="V806" i="31"/>
  <c r="X806" i="31"/>
  <c r="Y806" i="31"/>
  <c r="G807" i="31"/>
  <c r="I807" i="31"/>
  <c r="K807" i="31"/>
  <c r="M807" i="31"/>
  <c r="O807" i="31"/>
  <c r="Q807" i="31"/>
  <c r="U807" i="31"/>
  <c r="V807" i="31"/>
  <c r="X807" i="31"/>
  <c r="Y807" i="31"/>
  <c r="G808" i="31"/>
  <c r="I808" i="31"/>
  <c r="K808" i="31"/>
  <c r="M808" i="31"/>
  <c r="O808" i="31"/>
  <c r="Q808" i="31"/>
  <c r="U808" i="31"/>
  <c r="V808" i="31"/>
  <c r="X808" i="31"/>
  <c r="Y808" i="31"/>
  <c r="G809" i="31"/>
  <c r="I809" i="31"/>
  <c r="K809" i="31"/>
  <c r="M809" i="31"/>
  <c r="O809" i="31"/>
  <c r="Q809" i="31"/>
  <c r="U809" i="31"/>
  <c r="V809" i="31"/>
  <c r="X809" i="31"/>
  <c r="Y809" i="31"/>
  <c r="G810" i="31"/>
  <c r="I810" i="31"/>
  <c r="K810" i="31"/>
  <c r="M810" i="31"/>
  <c r="O810" i="31"/>
  <c r="Q810" i="31"/>
  <c r="U810" i="31"/>
  <c r="V810" i="31"/>
  <c r="X810" i="31"/>
  <c r="Y810" i="31"/>
  <c r="G811" i="31"/>
  <c r="I811" i="31"/>
  <c r="K811" i="31"/>
  <c r="M811" i="31"/>
  <c r="O811" i="31"/>
  <c r="Q811" i="31"/>
  <c r="U811" i="31"/>
  <c r="V811" i="31"/>
  <c r="X811" i="31"/>
  <c r="Y811" i="31"/>
  <c r="G812" i="31"/>
  <c r="I812" i="31"/>
  <c r="K812" i="31"/>
  <c r="M812" i="31"/>
  <c r="O812" i="31"/>
  <c r="Q812" i="31"/>
  <c r="U812" i="31"/>
  <c r="V812" i="31"/>
  <c r="X812" i="31"/>
  <c r="Y812" i="31"/>
  <c r="G813" i="31"/>
  <c r="I813" i="31"/>
  <c r="K813" i="31"/>
  <c r="M813" i="31"/>
  <c r="O813" i="31"/>
  <c r="Q813" i="31"/>
  <c r="U813" i="31"/>
  <c r="V813" i="31"/>
  <c r="X813" i="31"/>
  <c r="Y813" i="31"/>
  <c r="G814" i="31"/>
  <c r="I814" i="31"/>
  <c r="K814" i="31"/>
  <c r="M814" i="31"/>
  <c r="O814" i="31"/>
  <c r="Q814" i="31"/>
  <c r="U814" i="31"/>
  <c r="V814" i="31"/>
  <c r="X814" i="31"/>
  <c r="Y814" i="31"/>
  <c r="G815" i="31"/>
  <c r="I815" i="31"/>
  <c r="K815" i="31"/>
  <c r="M815" i="31"/>
  <c r="O815" i="31"/>
  <c r="Q815" i="31"/>
  <c r="U815" i="31"/>
  <c r="V815" i="31"/>
  <c r="X815" i="31"/>
  <c r="Y815" i="31"/>
  <c r="E816" i="31"/>
  <c r="G816" i="31"/>
  <c r="I816" i="31"/>
  <c r="K816" i="31"/>
  <c r="M816" i="31"/>
  <c r="O816" i="31"/>
  <c r="Q816" i="31"/>
  <c r="U816" i="31"/>
  <c r="V816" i="31"/>
  <c r="X816" i="31"/>
  <c r="Y816" i="31"/>
  <c r="E817" i="31"/>
  <c r="G817" i="31"/>
  <c r="I817" i="31"/>
  <c r="K817" i="31"/>
  <c r="M817" i="31"/>
  <c r="O817" i="31"/>
  <c r="Q817" i="31"/>
  <c r="U817" i="31"/>
  <c r="V817" i="31"/>
  <c r="X817" i="31"/>
  <c r="Y817" i="31"/>
  <c r="E818" i="31"/>
  <c r="G818" i="31"/>
  <c r="I818" i="31"/>
  <c r="K818" i="31"/>
  <c r="M818" i="31"/>
  <c r="O818" i="31"/>
  <c r="Q818" i="31"/>
  <c r="U818" i="31"/>
  <c r="V818" i="31"/>
  <c r="X818" i="31"/>
  <c r="Y818" i="31"/>
  <c r="E819" i="31"/>
  <c r="G819" i="31"/>
  <c r="I819" i="31"/>
  <c r="K819" i="31"/>
  <c r="M819" i="31"/>
  <c r="O819" i="31"/>
  <c r="Q819" i="31"/>
  <c r="U819" i="31"/>
  <c r="V819" i="31"/>
  <c r="X819" i="31"/>
  <c r="Y819" i="31"/>
  <c r="E820" i="31"/>
  <c r="G820" i="31"/>
  <c r="I820" i="31"/>
  <c r="K820" i="31"/>
  <c r="M820" i="31"/>
  <c r="O820" i="31"/>
  <c r="Q820" i="31"/>
  <c r="U820" i="31"/>
  <c r="V820" i="31"/>
  <c r="X820" i="31"/>
  <c r="Y820" i="31"/>
  <c r="E821" i="31"/>
  <c r="G821" i="31"/>
  <c r="I821" i="31"/>
  <c r="K821" i="31"/>
  <c r="M821" i="31"/>
  <c r="O821" i="31"/>
  <c r="Q821" i="31"/>
  <c r="U821" i="31"/>
  <c r="V821" i="31"/>
  <c r="X821" i="31"/>
  <c r="Y821" i="31"/>
  <c r="E822" i="31"/>
  <c r="G822" i="31"/>
  <c r="I822" i="31"/>
  <c r="K822" i="31"/>
  <c r="M822" i="31"/>
  <c r="O822" i="31"/>
  <c r="Q822" i="31"/>
  <c r="U822" i="31"/>
  <c r="V822" i="31"/>
  <c r="X822" i="31"/>
  <c r="Y822" i="31"/>
  <c r="E823" i="31"/>
  <c r="G823" i="31"/>
  <c r="I823" i="31"/>
  <c r="K823" i="31"/>
  <c r="M823" i="31"/>
  <c r="O823" i="31"/>
  <c r="Q823" i="31"/>
  <c r="U823" i="31"/>
  <c r="V823" i="31"/>
  <c r="X823" i="31"/>
  <c r="Y823" i="31"/>
  <c r="E824" i="31"/>
  <c r="G824" i="31"/>
  <c r="I824" i="31"/>
  <c r="K824" i="31"/>
  <c r="M824" i="31"/>
  <c r="O824" i="31"/>
  <c r="Q824" i="31"/>
  <c r="U824" i="31"/>
  <c r="V824" i="31"/>
  <c r="X824" i="31"/>
  <c r="Y824" i="31"/>
  <c r="G825" i="31"/>
  <c r="I825" i="31"/>
  <c r="K825" i="31"/>
  <c r="M825" i="31"/>
  <c r="O825" i="31"/>
  <c r="Q825" i="31"/>
  <c r="U825" i="31"/>
  <c r="V825" i="31"/>
  <c r="X825" i="31"/>
  <c r="Y825" i="31"/>
  <c r="G826" i="31"/>
  <c r="I826" i="31"/>
  <c r="K826" i="31"/>
  <c r="M826" i="31"/>
  <c r="O826" i="31"/>
  <c r="Q826" i="31"/>
  <c r="U826" i="31"/>
  <c r="V826" i="31"/>
  <c r="X826" i="31"/>
  <c r="Y826" i="31"/>
  <c r="G827" i="31"/>
  <c r="I827" i="31"/>
  <c r="K827" i="31"/>
  <c r="M827" i="31"/>
  <c r="O827" i="31"/>
  <c r="Q827" i="31"/>
  <c r="U827" i="31"/>
  <c r="V827" i="31"/>
  <c r="X827" i="31"/>
  <c r="Y827" i="31"/>
  <c r="G828" i="31"/>
  <c r="I828" i="31"/>
  <c r="K828" i="31"/>
  <c r="M828" i="31"/>
  <c r="O828" i="31"/>
  <c r="Q828" i="31"/>
  <c r="U828" i="31"/>
  <c r="V828" i="31"/>
  <c r="X828" i="31"/>
  <c r="Y828" i="31"/>
  <c r="G829" i="31"/>
  <c r="I829" i="31"/>
  <c r="K829" i="31"/>
  <c r="M829" i="31"/>
  <c r="O829" i="31"/>
  <c r="Q829" i="31"/>
  <c r="U829" i="31"/>
  <c r="V829" i="31"/>
  <c r="X829" i="31"/>
  <c r="Y829" i="31"/>
  <c r="G830" i="31"/>
  <c r="I830" i="31"/>
  <c r="K830" i="31"/>
  <c r="M830" i="31"/>
  <c r="O830" i="31"/>
  <c r="Q830" i="31"/>
  <c r="U830" i="31"/>
  <c r="V830" i="31"/>
  <c r="X830" i="31"/>
  <c r="Y830" i="31"/>
  <c r="G831" i="31"/>
  <c r="I831" i="31"/>
  <c r="K831" i="31"/>
  <c r="M831" i="31"/>
  <c r="O831" i="31"/>
  <c r="Q831" i="31"/>
  <c r="U831" i="31"/>
  <c r="V831" i="31"/>
  <c r="X831" i="31"/>
  <c r="Y831" i="31"/>
  <c r="G832" i="31"/>
  <c r="I832" i="31"/>
  <c r="K832" i="31"/>
  <c r="M832" i="31"/>
  <c r="O832" i="31"/>
  <c r="Q832" i="31"/>
  <c r="U832" i="31"/>
  <c r="V832" i="31"/>
  <c r="X832" i="31"/>
  <c r="Y832" i="31"/>
  <c r="G833" i="31"/>
  <c r="I833" i="31"/>
  <c r="K833" i="31"/>
  <c r="M833" i="31"/>
  <c r="O833" i="31"/>
  <c r="Q833" i="31"/>
  <c r="U833" i="31"/>
  <c r="V833" i="31"/>
  <c r="X833" i="31"/>
  <c r="Y833" i="31"/>
  <c r="G834" i="31"/>
  <c r="I834" i="31"/>
  <c r="K834" i="31"/>
  <c r="M834" i="31"/>
  <c r="O834" i="31"/>
  <c r="Q834" i="31"/>
  <c r="U834" i="31"/>
  <c r="V834" i="31"/>
  <c r="X834" i="31"/>
  <c r="Y834" i="31"/>
  <c r="G835" i="31"/>
  <c r="I835" i="31"/>
  <c r="K835" i="31"/>
  <c r="M835" i="31"/>
  <c r="O835" i="31"/>
  <c r="Q835" i="31"/>
  <c r="U835" i="31"/>
  <c r="V835" i="31"/>
  <c r="X835" i="31"/>
  <c r="Y835" i="31"/>
  <c r="G836" i="31"/>
  <c r="I836" i="31"/>
  <c r="K836" i="31"/>
  <c r="M836" i="31"/>
  <c r="O836" i="31"/>
  <c r="Q836" i="31"/>
  <c r="U836" i="31"/>
  <c r="V836" i="31"/>
  <c r="X836" i="31"/>
  <c r="Y836" i="31"/>
  <c r="G837" i="31"/>
  <c r="I837" i="31"/>
  <c r="K837" i="31"/>
  <c r="M837" i="31"/>
  <c r="O837" i="31"/>
  <c r="Q837" i="31"/>
  <c r="U837" i="31"/>
  <c r="V837" i="31"/>
  <c r="X837" i="31"/>
  <c r="Y837" i="31"/>
  <c r="G838" i="31"/>
  <c r="I838" i="31"/>
  <c r="K838" i="31"/>
  <c r="M838" i="31"/>
  <c r="O838" i="31"/>
  <c r="Q838" i="31"/>
  <c r="U838" i="31"/>
  <c r="V838" i="31"/>
  <c r="X838" i="31"/>
  <c r="Y838" i="31"/>
  <c r="G839" i="31"/>
  <c r="I839" i="31"/>
  <c r="K839" i="31"/>
  <c r="M839" i="31"/>
  <c r="O839" i="31"/>
  <c r="Q839" i="31"/>
  <c r="U839" i="31"/>
  <c r="V839" i="31"/>
  <c r="X839" i="31"/>
  <c r="Y839" i="31"/>
  <c r="G840" i="31"/>
  <c r="I840" i="31"/>
  <c r="K840" i="31"/>
  <c r="M840" i="31"/>
  <c r="O840" i="31"/>
  <c r="Q840" i="31"/>
  <c r="U840" i="31"/>
  <c r="V840" i="31"/>
  <c r="X840" i="31"/>
  <c r="Y840" i="31"/>
  <c r="G841" i="31"/>
  <c r="I841" i="31"/>
  <c r="K841" i="31"/>
  <c r="M841" i="31"/>
  <c r="O841" i="31"/>
  <c r="Q841" i="31"/>
  <c r="U841" i="31"/>
  <c r="V841" i="31"/>
  <c r="X841" i="31"/>
  <c r="Y841" i="31"/>
  <c r="G842" i="31"/>
  <c r="I842" i="31"/>
  <c r="K842" i="31"/>
  <c r="M842" i="31"/>
  <c r="O842" i="31"/>
  <c r="Q842" i="31"/>
  <c r="U842" i="31"/>
  <c r="V842" i="31"/>
  <c r="X842" i="31"/>
  <c r="Y842" i="31"/>
  <c r="G843" i="31"/>
  <c r="I843" i="31"/>
  <c r="K843" i="31"/>
  <c r="M843" i="31"/>
  <c r="O843" i="31"/>
  <c r="Q843" i="31"/>
  <c r="U843" i="31"/>
  <c r="V843" i="31"/>
  <c r="X843" i="31"/>
  <c r="Y843" i="31"/>
  <c r="G844" i="31"/>
  <c r="I844" i="31"/>
  <c r="K844" i="31"/>
  <c r="M844" i="31"/>
  <c r="O844" i="31"/>
  <c r="Q844" i="31"/>
  <c r="U844" i="31"/>
  <c r="V844" i="31"/>
  <c r="X844" i="31"/>
  <c r="Y844" i="31"/>
  <c r="C845" i="31"/>
  <c r="E845" i="31"/>
  <c r="G845" i="31"/>
  <c r="I845" i="31"/>
  <c r="K845" i="31"/>
  <c r="M845" i="31"/>
  <c r="O845" i="31"/>
  <c r="Q845" i="31"/>
  <c r="R845" i="31"/>
  <c r="S845" i="31" s="1"/>
  <c r="U845" i="31"/>
  <c r="V845" i="31"/>
  <c r="X845" i="31"/>
  <c r="Y845" i="31"/>
  <c r="C846" i="31"/>
  <c r="E846" i="31"/>
  <c r="G846" i="31"/>
  <c r="I846" i="31"/>
  <c r="K846" i="31"/>
  <c r="M846" i="31"/>
  <c r="O846" i="31"/>
  <c r="Q846" i="31"/>
  <c r="R846" i="31"/>
  <c r="U846" i="31"/>
  <c r="V846" i="31"/>
  <c r="X846" i="31"/>
  <c r="Y846" i="31"/>
  <c r="C847" i="31"/>
  <c r="E847" i="31"/>
  <c r="G847" i="31"/>
  <c r="I847" i="31"/>
  <c r="K847" i="31"/>
  <c r="M847" i="31"/>
  <c r="O847" i="31"/>
  <c r="Q847" i="31"/>
  <c r="R847" i="31"/>
  <c r="S847" i="31" s="1"/>
  <c r="U847" i="31"/>
  <c r="V847" i="31"/>
  <c r="X847" i="31"/>
  <c r="Y847" i="31"/>
  <c r="C848" i="31"/>
  <c r="E848" i="31"/>
  <c r="G848" i="31"/>
  <c r="I848" i="31"/>
  <c r="K848" i="31"/>
  <c r="M848" i="31"/>
  <c r="O848" i="31"/>
  <c r="Q848" i="31"/>
  <c r="R848" i="31"/>
  <c r="S848" i="31" s="1"/>
  <c r="U848" i="31"/>
  <c r="V848" i="31"/>
  <c r="X848" i="31"/>
  <c r="Y848" i="31"/>
  <c r="C849" i="31"/>
  <c r="E849" i="31"/>
  <c r="G849" i="31"/>
  <c r="I849" i="31"/>
  <c r="K849" i="31"/>
  <c r="M849" i="31"/>
  <c r="O849" i="31"/>
  <c r="Q849" i="31"/>
  <c r="R849" i="31"/>
  <c r="S849" i="31" s="1"/>
  <c r="U849" i="31"/>
  <c r="V849" i="31"/>
  <c r="X849" i="31"/>
  <c r="Y849" i="31"/>
  <c r="C850" i="31"/>
  <c r="E850" i="31"/>
  <c r="G850" i="31"/>
  <c r="I850" i="31"/>
  <c r="K850" i="31"/>
  <c r="M850" i="31"/>
  <c r="O850" i="31"/>
  <c r="Q850" i="31"/>
  <c r="R850" i="31"/>
  <c r="U850" i="31"/>
  <c r="V850" i="31"/>
  <c r="X850" i="31"/>
  <c r="Y850" i="31"/>
  <c r="C851" i="31"/>
  <c r="E851" i="31"/>
  <c r="G851" i="31"/>
  <c r="I851" i="31"/>
  <c r="K851" i="31"/>
  <c r="M851" i="31"/>
  <c r="O851" i="31"/>
  <c r="Q851" i="31"/>
  <c r="R851" i="31"/>
  <c r="S851" i="31" s="1"/>
  <c r="U851" i="31"/>
  <c r="V851" i="31"/>
  <c r="X851" i="31"/>
  <c r="Y851" i="31"/>
  <c r="C852" i="31"/>
  <c r="E852" i="31"/>
  <c r="G852" i="31"/>
  <c r="I852" i="31"/>
  <c r="K852" i="31"/>
  <c r="M852" i="31"/>
  <c r="O852" i="31"/>
  <c r="Q852" i="31"/>
  <c r="R852" i="31"/>
  <c r="U852" i="31"/>
  <c r="V852" i="31"/>
  <c r="X852" i="31"/>
  <c r="Y852" i="31"/>
  <c r="C853" i="31"/>
  <c r="E853" i="31"/>
  <c r="G853" i="31"/>
  <c r="I853" i="31"/>
  <c r="K853" i="31"/>
  <c r="M853" i="31"/>
  <c r="O853" i="31"/>
  <c r="Q853" i="31"/>
  <c r="R853" i="31"/>
  <c r="S853" i="31" s="1"/>
  <c r="U853" i="31"/>
  <c r="V853" i="31"/>
  <c r="X853" i="31"/>
  <c r="Y853" i="31"/>
  <c r="C854" i="31"/>
  <c r="E854" i="31"/>
  <c r="G854" i="31"/>
  <c r="I854" i="31"/>
  <c r="K854" i="31"/>
  <c r="M854" i="31"/>
  <c r="O854" i="31"/>
  <c r="Q854" i="31"/>
  <c r="R854" i="31"/>
  <c r="U854" i="31"/>
  <c r="V854" i="31"/>
  <c r="X854" i="31"/>
  <c r="Y854" i="31"/>
  <c r="C855" i="31"/>
  <c r="E855" i="31"/>
  <c r="G855" i="31"/>
  <c r="I855" i="31"/>
  <c r="K855" i="31"/>
  <c r="M855" i="31"/>
  <c r="O855" i="31"/>
  <c r="Q855" i="31"/>
  <c r="R855" i="31"/>
  <c r="U855" i="31"/>
  <c r="V855" i="31"/>
  <c r="X855" i="31"/>
  <c r="Y855" i="31"/>
  <c r="C856" i="31"/>
  <c r="E856" i="31"/>
  <c r="G856" i="31"/>
  <c r="I856" i="31"/>
  <c r="K856" i="31"/>
  <c r="M856" i="31"/>
  <c r="O856" i="31"/>
  <c r="Q856" i="31"/>
  <c r="R856" i="31"/>
  <c r="U856" i="31"/>
  <c r="V856" i="31"/>
  <c r="X856" i="31"/>
  <c r="Y856" i="31"/>
  <c r="C857" i="31"/>
  <c r="E857" i="31"/>
  <c r="G857" i="31"/>
  <c r="I857" i="31"/>
  <c r="K857" i="31"/>
  <c r="M857" i="31"/>
  <c r="O857" i="31"/>
  <c r="Q857" i="31"/>
  <c r="R857" i="31"/>
  <c r="S857" i="31" s="1"/>
  <c r="U857" i="31"/>
  <c r="V857" i="31"/>
  <c r="X857" i="31"/>
  <c r="Y857" i="31"/>
  <c r="C858" i="31"/>
  <c r="E858" i="31"/>
  <c r="G858" i="31"/>
  <c r="I858" i="31"/>
  <c r="K858" i="31"/>
  <c r="M858" i="31"/>
  <c r="O858" i="31"/>
  <c r="Q858" i="31"/>
  <c r="R858" i="31"/>
  <c r="U858" i="31"/>
  <c r="V858" i="31"/>
  <c r="X858" i="31"/>
  <c r="Y858" i="31"/>
  <c r="C859" i="31"/>
  <c r="E859" i="31"/>
  <c r="G859" i="31"/>
  <c r="I859" i="31"/>
  <c r="K859" i="31"/>
  <c r="M859" i="31"/>
  <c r="O859" i="31"/>
  <c r="Q859" i="31"/>
  <c r="R859" i="31"/>
  <c r="U859" i="31"/>
  <c r="V859" i="31"/>
  <c r="X859" i="31"/>
  <c r="Y859" i="31"/>
  <c r="C860" i="31"/>
  <c r="E860" i="31"/>
  <c r="G860" i="31"/>
  <c r="I860" i="31"/>
  <c r="K860" i="31"/>
  <c r="M860" i="31"/>
  <c r="O860" i="31"/>
  <c r="Q860" i="31"/>
  <c r="R860" i="31"/>
  <c r="U860" i="31"/>
  <c r="V860" i="31"/>
  <c r="X860" i="31"/>
  <c r="Y860" i="31"/>
  <c r="C861" i="31"/>
  <c r="E861" i="31"/>
  <c r="G861" i="31"/>
  <c r="I861" i="31"/>
  <c r="K861" i="31"/>
  <c r="M861" i="31"/>
  <c r="O861" i="31"/>
  <c r="Q861" i="31"/>
  <c r="R861" i="31"/>
  <c r="S861" i="31" s="1"/>
  <c r="U861" i="31"/>
  <c r="V861" i="31"/>
  <c r="X861" i="31"/>
  <c r="Y861" i="31"/>
  <c r="C862" i="31"/>
  <c r="E862" i="31"/>
  <c r="G862" i="31"/>
  <c r="I862" i="31"/>
  <c r="K862" i="31"/>
  <c r="M862" i="31"/>
  <c r="O862" i="31"/>
  <c r="Q862" i="31"/>
  <c r="R862" i="31"/>
  <c r="U862" i="31"/>
  <c r="V862" i="31"/>
  <c r="X862" i="31"/>
  <c r="Y862" i="31"/>
  <c r="C863" i="31"/>
  <c r="E863" i="31"/>
  <c r="G863" i="31"/>
  <c r="I863" i="31"/>
  <c r="K863" i="31"/>
  <c r="M863" i="31"/>
  <c r="O863" i="31"/>
  <c r="Q863" i="31"/>
  <c r="R863" i="31"/>
  <c r="U863" i="31"/>
  <c r="V863" i="31"/>
  <c r="X863" i="31"/>
  <c r="Y863" i="31"/>
  <c r="C864" i="31"/>
  <c r="E864" i="31"/>
  <c r="G864" i="31"/>
  <c r="I864" i="31"/>
  <c r="K864" i="31"/>
  <c r="M864" i="31"/>
  <c r="O864" i="31"/>
  <c r="Q864" i="31"/>
  <c r="R864" i="31"/>
  <c r="S864" i="31" s="1"/>
  <c r="U864" i="31"/>
  <c r="V864" i="31"/>
  <c r="X864" i="31"/>
  <c r="Y864" i="31"/>
  <c r="C865" i="31"/>
  <c r="E865" i="31"/>
  <c r="G865" i="31"/>
  <c r="I865" i="31"/>
  <c r="K865" i="31"/>
  <c r="M865" i="31"/>
  <c r="O865" i="31"/>
  <c r="Q865" i="31"/>
  <c r="R865" i="31"/>
  <c r="S865" i="31" s="1"/>
  <c r="U865" i="31"/>
  <c r="V865" i="31"/>
  <c r="X865" i="31"/>
  <c r="Y865" i="31"/>
  <c r="C866" i="31"/>
  <c r="E866" i="31"/>
  <c r="G866" i="31"/>
  <c r="I866" i="31"/>
  <c r="K866" i="31"/>
  <c r="M866" i="31"/>
  <c r="O866" i="31"/>
  <c r="Q866" i="31"/>
  <c r="R866" i="31"/>
  <c r="U866" i="31"/>
  <c r="V866" i="31"/>
  <c r="X866" i="31"/>
  <c r="Y866" i="31"/>
  <c r="C867" i="31"/>
  <c r="E867" i="31"/>
  <c r="G867" i="31"/>
  <c r="I867" i="31"/>
  <c r="K867" i="31"/>
  <c r="M867" i="31"/>
  <c r="O867" i="31"/>
  <c r="Q867" i="31"/>
  <c r="R867" i="31"/>
  <c r="S867" i="31" s="1"/>
  <c r="U867" i="31"/>
  <c r="V867" i="31"/>
  <c r="X867" i="31"/>
  <c r="Y867" i="31"/>
  <c r="C868" i="31"/>
  <c r="E868" i="31"/>
  <c r="G868" i="31"/>
  <c r="I868" i="31"/>
  <c r="K868" i="31"/>
  <c r="M868" i="31"/>
  <c r="O868" i="31"/>
  <c r="Q868" i="31"/>
  <c r="R868" i="31"/>
  <c r="S868" i="31" s="1"/>
  <c r="U868" i="31"/>
  <c r="V868" i="31"/>
  <c r="X868" i="31"/>
  <c r="Y868" i="31"/>
  <c r="C869" i="31"/>
  <c r="E869" i="31"/>
  <c r="G869" i="31"/>
  <c r="I869" i="31"/>
  <c r="K869" i="31"/>
  <c r="M869" i="31"/>
  <c r="O869" i="31"/>
  <c r="Q869" i="31"/>
  <c r="R869" i="31"/>
  <c r="S869" i="31" s="1"/>
  <c r="U869" i="31"/>
  <c r="V869" i="31"/>
  <c r="X869" i="31"/>
  <c r="Y869" i="31"/>
  <c r="C870" i="31"/>
  <c r="E870" i="31"/>
  <c r="G870" i="31"/>
  <c r="I870" i="31"/>
  <c r="K870" i="31"/>
  <c r="M870" i="31"/>
  <c r="O870" i="31"/>
  <c r="Q870" i="31"/>
  <c r="R870" i="31"/>
  <c r="U870" i="31"/>
  <c r="V870" i="31"/>
  <c r="X870" i="31"/>
  <c r="Y870" i="31"/>
  <c r="C871" i="31"/>
  <c r="E871" i="31"/>
  <c r="G871" i="31"/>
  <c r="I871" i="31"/>
  <c r="K871" i="31"/>
  <c r="M871" i="31"/>
  <c r="O871" i="31"/>
  <c r="Q871" i="31"/>
  <c r="R871" i="31"/>
  <c r="S871" i="31" s="1"/>
  <c r="U871" i="31"/>
  <c r="V871" i="31"/>
  <c r="X871" i="31"/>
  <c r="Y871" i="31"/>
  <c r="C872" i="31"/>
  <c r="E872" i="31"/>
  <c r="G872" i="31"/>
  <c r="I872" i="31"/>
  <c r="K872" i="31"/>
  <c r="M872" i="31"/>
  <c r="O872" i="31"/>
  <c r="Q872" i="31"/>
  <c r="R872" i="31"/>
  <c r="S872" i="31" s="1"/>
  <c r="U872" i="31"/>
  <c r="V872" i="31"/>
  <c r="X872" i="31"/>
  <c r="Y872" i="31"/>
  <c r="C873" i="31"/>
  <c r="E873" i="31"/>
  <c r="G873" i="31"/>
  <c r="I873" i="31"/>
  <c r="K873" i="31"/>
  <c r="M873" i="31"/>
  <c r="O873" i="31"/>
  <c r="Q873" i="31"/>
  <c r="R873" i="31"/>
  <c r="S873" i="31" s="1"/>
  <c r="U873" i="31"/>
  <c r="V873" i="31"/>
  <c r="X873" i="31"/>
  <c r="Y873" i="31"/>
  <c r="C874" i="31"/>
  <c r="E874" i="31"/>
  <c r="G874" i="31"/>
  <c r="I874" i="31"/>
  <c r="K874" i="31"/>
  <c r="M874" i="31"/>
  <c r="O874" i="31"/>
  <c r="Q874" i="31"/>
  <c r="R874" i="31"/>
  <c r="U874" i="31"/>
  <c r="V874" i="31"/>
  <c r="X874" i="31"/>
  <c r="Y874" i="31"/>
  <c r="C875" i="31"/>
  <c r="E875" i="31"/>
  <c r="G875" i="31"/>
  <c r="I875" i="31"/>
  <c r="K875" i="31"/>
  <c r="M875" i="31"/>
  <c r="O875" i="31"/>
  <c r="Q875" i="31"/>
  <c r="R875" i="31"/>
  <c r="S875" i="31" s="1"/>
  <c r="U875" i="31"/>
  <c r="V875" i="31"/>
  <c r="X875" i="31"/>
  <c r="Y875" i="31"/>
  <c r="C876" i="31"/>
  <c r="E876" i="31"/>
  <c r="G876" i="31"/>
  <c r="I876" i="31"/>
  <c r="K876" i="31"/>
  <c r="M876" i="31"/>
  <c r="O876" i="31"/>
  <c r="Q876" i="31"/>
  <c r="R876" i="31"/>
  <c r="S876" i="31" s="1"/>
  <c r="U876" i="31"/>
  <c r="V876" i="31"/>
  <c r="X876" i="31"/>
  <c r="Y876" i="31"/>
  <c r="C877" i="31"/>
  <c r="E877" i="31"/>
  <c r="G877" i="31"/>
  <c r="I877" i="31"/>
  <c r="K877" i="31"/>
  <c r="M877" i="31"/>
  <c r="O877" i="31"/>
  <c r="Q877" i="31"/>
  <c r="R877" i="31"/>
  <c r="S877" i="31" s="1"/>
  <c r="U877" i="31"/>
  <c r="V877" i="31"/>
  <c r="X877" i="31"/>
  <c r="Y877" i="31"/>
  <c r="C878" i="31"/>
  <c r="E878" i="31"/>
  <c r="G878" i="31"/>
  <c r="I878" i="31"/>
  <c r="K878" i="31"/>
  <c r="M878" i="31"/>
  <c r="O878" i="31"/>
  <c r="Q878" i="31"/>
  <c r="R878" i="31"/>
  <c r="U878" i="31"/>
  <c r="V878" i="31"/>
  <c r="X878" i="31"/>
  <c r="Y878" i="31"/>
  <c r="C879" i="31"/>
  <c r="E879" i="31"/>
  <c r="G879" i="31"/>
  <c r="I879" i="31"/>
  <c r="K879" i="31"/>
  <c r="M879" i="31"/>
  <c r="O879" i="31"/>
  <c r="Q879" i="31"/>
  <c r="R879" i="31"/>
  <c r="S879" i="31" s="1"/>
  <c r="U879" i="31"/>
  <c r="V879" i="31"/>
  <c r="X879" i="31"/>
  <c r="Y879" i="31"/>
  <c r="C880" i="31"/>
  <c r="E880" i="31"/>
  <c r="G880" i="31"/>
  <c r="I880" i="31"/>
  <c r="K880" i="31"/>
  <c r="M880" i="31"/>
  <c r="O880" i="31"/>
  <c r="Q880" i="31"/>
  <c r="R880" i="31"/>
  <c r="S880" i="31" s="1"/>
  <c r="U880" i="31"/>
  <c r="V880" i="31"/>
  <c r="X880" i="31"/>
  <c r="Y880" i="31"/>
  <c r="C881" i="31"/>
  <c r="E881" i="31"/>
  <c r="G881" i="31"/>
  <c r="I881" i="31"/>
  <c r="K881" i="31"/>
  <c r="M881" i="31"/>
  <c r="O881" i="31"/>
  <c r="Q881" i="31"/>
  <c r="R881" i="31"/>
  <c r="S881" i="31" s="1"/>
  <c r="U881" i="31"/>
  <c r="V881" i="31"/>
  <c r="X881" i="31"/>
  <c r="Y881" i="31"/>
  <c r="C882" i="31"/>
  <c r="E882" i="31"/>
  <c r="G882" i="31"/>
  <c r="I882" i="31"/>
  <c r="K882" i="31"/>
  <c r="M882" i="31"/>
  <c r="O882" i="31"/>
  <c r="Q882" i="31"/>
  <c r="R882" i="31"/>
  <c r="U882" i="31"/>
  <c r="V882" i="31"/>
  <c r="X882" i="31"/>
  <c r="Y882" i="31"/>
  <c r="C883" i="31"/>
  <c r="E883" i="31"/>
  <c r="G883" i="31"/>
  <c r="I883" i="31"/>
  <c r="K883" i="31"/>
  <c r="M883" i="31"/>
  <c r="O883" i="31"/>
  <c r="Q883" i="31"/>
  <c r="R883" i="31"/>
  <c r="S883" i="31" s="1"/>
  <c r="U883" i="31"/>
  <c r="V883" i="31"/>
  <c r="X883" i="31"/>
  <c r="Y883" i="31"/>
  <c r="C884" i="31"/>
  <c r="E884" i="31"/>
  <c r="G884" i="31"/>
  <c r="I884" i="31"/>
  <c r="K884" i="31"/>
  <c r="M884" i="31"/>
  <c r="O884" i="31"/>
  <c r="Q884" i="31"/>
  <c r="R884" i="31"/>
  <c r="S884" i="31" s="1"/>
  <c r="U884" i="31"/>
  <c r="V884" i="31"/>
  <c r="X884" i="31"/>
  <c r="Y884" i="31"/>
  <c r="C885" i="31"/>
  <c r="E885" i="31"/>
  <c r="G885" i="31"/>
  <c r="I885" i="31"/>
  <c r="K885" i="31"/>
  <c r="M885" i="31"/>
  <c r="O885" i="31"/>
  <c r="Q885" i="31"/>
  <c r="R885" i="31"/>
  <c r="S885" i="31" s="1"/>
  <c r="U885" i="31"/>
  <c r="V885" i="31"/>
  <c r="X885" i="31"/>
  <c r="Y885" i="31"/>
  <c r="C886" i="31"/>
  <c r="E886" i="31"/>
  <c r="G886" i="31"/>
  <c r="I886" i="31"/>
  <c r="K886" i="31"/>
  <c r="M886" i="31"/>
  <c r="O886" i="31"/>
  <c r="Q886" i="31"/>
  <c r="R886" i="31"/>
  <c r="U886" i="31"/>
  <c r="V886" i="31"/>
  <c r="X886" i="31"/>
  <c r="Y886" i="31"/>
  <c r="C887" i="31"/>
  <c r="E887" i="31"/>
  <c r="G887" i="31"/>
  <c r="I887" i="31"/>
  <c r="K887" i="31"/>
  <c r="M887" i="31"/>
  <c r="O887" i="31"/>
  <c r="Q887" i="31"/>
  <c r="R887" i="31"/>
  <c r="S887" i="31" s="1"/>
  <c r="U887" i="31"/>
  <c r="V887" i="31"/>
  <c r="X887" i="31"/>
  <c r="Y887" i="31"/>
  <c r="C888" i="31"/>
  <c r="E888" i="31"/>
  <c r="G888" i="31"/>
  <c r="I888" i="31"/>
  <c r="K888" i="31"/>
  <c r="M888" i="31"/>
  <c r="O888" i="31"/>
  <c r="Q888" i="31"/>
  <c r="R888" i="31"/>
  <c r="S888" i="31" s="1"/>
  <c r="U888" i="31"/>
  <c r="V888" i="31"/>
  <c r="X888" i="31"/>
  <c r="Y888" i="31"/>
  <c r="C889" i="31"/>
  <c r="E889" i="31"/>
  <c r="G889" i="31"/>
  <c r="I889" i="31"/>
  <c r="K889" i="31"/>
  <c r="M889" i="31"/>
  <c r="O889" i="31"/>
  <c r="Q889" i="31"/>
  <c r="R889" i="31"/>
  <c r="S889" i="31" s="1"/>
  <c r="U889" i="31"/>
  <c r="V889" i="31"/>
  <c r="X889" i="31"/>
  <c r="Y889" i="31"/>
  <c r="C890" i="31"/>
  <c r="E890" i="31"/>
  <c r="G890" i="31"/>
  <c r="I890" i="31"/>
  <c r="K890" i="31"/>
  <c r="M890" i="31"/>
  <c r="O890" i="31"/>
  <c r="Q890" i="31"/>
  <c r="R890" i="31"/>
  <c r="U890" i="31"/>
  <c r="V890" i="31"/>
  <c r="X890" i="31"/>
  <c r="Y890" i="31"/>
  <c r="C891" i="31"/>
  <c r="E891" i="31"/>
  <c r="G891" i="31"/>
  <c r="I891" i="31"/>
  <c r="K891" i="31"/>
  <c r="M891" i="31"/>
  <c r="O891" i="31"/>
  <c r="Q891" i="31"/>
  <c r="R891" i="31"/>
  <c r="S891" i="31" s="1"/>
  <c r="U891" i="31"/>
  <c r="V891" i="31"/>
  <c r="X891" i="31"/>
  <c r="Y891" i="31"/>
  <c r="C892" i="31"/>
  <c r="E892" i="31"/>
  <c r="G892" i="31"/>
  <c r="I892" i="31"/>
  <c r="K892" i="31"/>
  <c r="M892" i="31"/>
  <c r="O892" i="31"/>
  <c r="Q892" i="31"/>
  <c r="R892" i="31"/>
  <c r="S892" i="31" s="1"/>
  <c r="U892" i="31"/>
  <c r="V892" i="31"/>
  <c r="X892" i="31"/>
  <c r="Y892" i="31"/>
  <c r="C893" i="31"/>
  <c r="E893" i="31"/>
  <c r="G893" i="31"/>
  <c r="I893" i="31"/>
  <c r="K893" i="31"/>
  <c r="M893" i="31"/>
  <c r="O893" i="31"/>
  <c r="Q893" i="31"/>
  <c r="R893" i="31"/>
  <c r="S893" i="31" s="1"/>
  <c r="U893" i="31"/>
  <c r="V893" i="31"/>
  <c r="X893" i="31"/>
  <c r="Y893" i="31"/>
  <c r="C894" i="31"/>
  <c r="E894" i="31"/>
  <c r="G894" i="31"/>
  <c r="I894" i="31"/>
  <c r="K894" i="31"/>
  <c r="M894" i="31"/>
  <c r="O894" i="31"/>
  <c r="Q894" i="31"/>
  <c r="R894" i="31"/>
  <c r="U894" i="31"/>
  <c r="V894" i="31"/>
  <c r="X894" i="31"/>
  <c r="Y894" i="31"/>
  <c r="C895" i="31"/>
  <c r="E895" i="31"/>
  <c r="G895" i="31"/>
  <c r="I895" i="31"/>
  <c r="K895" i="31"/>
  <c r="M895" i="31"/>
  <c r="O895" i="31"/>
  <c r="Q895" i="31"/>
  <c r="R895" i="31"/>
  <c r="S895" i="31" s="1"/>
  <c r="U895" i="31"/>
  <c r="V895" i="31"/>
  <c r="X895" i="31"/>
  <c r="Y895" i="31"/>
  <c r="C896" i="31"/>
  <c r="E896" i="31"/>
  <c r="G896" i="31"/>
  <c r="I896" i="31"/>
  <c r="K896" i="31"/>
  <c r="M896" i="31"/>
  <c r="O896" i="31"/>
  <c r="Q896" i="31"/>
  <c r="R896" i="31"/>
  <c r="S896" i="31" s="1"/>
  <c r="U896" i="31"/>
  <c r="V896" i="31"/>
  <c r="X896" i="31"/>
  <c r="Y896" i="31"/>
  <c r="C897" i="31"/>
  <c r="E897" i="31"/>
  <c r="G897" i="31"/>
  <c r="I897" i="31"/>
  <c r="K897" i="31"/>
  <c r="M897" i="31"/>
  <c r="O897" i="31"/>
  <c r="Q897" i="31"/>
  <c r="R897" i="31"/>
  <c r="S897" i="31" s="1"/>
  <c r="U897" i="31"/>
  <c r="V897" i="31"/>
  <c r="X897" i="31"/>
  <c r="Y897" i="31"/>
  <c r="C898" i="31"/>
  <c r="E898" i="31"/>
  <c r="G898" i="31"/>
  <c r="I898" i="31"/>
  <c r="K898" i="31"/>
  <c r="M898" i="31"/>
  <c r="O898" i="31"/>
  <c r="Q898" i="31"/>
  <c r="R898" i="31"/>
  <c r="U898" i="31"/>
  <c r="V898" i="31"/>
  <c r="X898" i="31"/>
  <c r="Y898" i="31"/>
  <c r="C899" i="31"/>
  <c r="E899" i="31"/>
  <c r="G899" i="31"/>
  <c r="I899" i="31"/>
  <c r="K899" i="31"/>
  <c r="M899" i="31"/>
  <c r="O899" i="31"/>
  <c r="Q899" i="31"/>
  <c r="R899" i="31"/>
  <c r="S899" i="31" s="1"/>
  <c r="U899" i="31"/>
  <c r="V899" i="31"/>
  <c r="X899" i="31"/>
  <c r="Y899" i="31"/>
  <c r="C900" i="31"/>
  <c r="E900" i="31"/>
  <c r="G900" i="31"/>
  <c r="I900" i="31"/>
  <c r="K900" i="31"/>
  <c r="M900" i="31"/>
  <c r="O900" i="31"/>
  <c r="Q900" i="31"/>
  <c r="R900" i="31"/>
  <c r="S900" i="31" s="1"/>
  <c r="U900" i="31"/>
  <c r="V900" i="31"/>
  <c r="X900" i="31"/>
  <c r="Y900" i="31"/>
  <c r="C901" i="31"/>
  <c r="E901" i="31"/>
  <c r="G901" i="31"/>
  <c r="I901" i="31"/>
  <c r="K901" i="31"/>
  <c r="M901" i="31"/>
  <c r="O901" i="31"/>
  <c r="Q901" i="31"/>
  <c r="R901" i="31"/>
  <c r="S901" i="31" s="1"/>
  <c r="U901" i="31"/>
  <c r="V901" i="31"/>
  <c r="X901" i="31"/>
  <c r="Y901" i="31"/>
  <c r="C902" i="31"/>
  <c r="E902" i="31"/>
  <c r="G902" i="31"/>
  <c r="I902" i="31"/>
  <c r="K902" i="31"/>
  <c r="M902" i="31"/>
  <c r="O902" i="31"/>
  <c r="Q902" i="31"/>
  <c r="R902" i="31"/>
  <c r="U902" i="31"/>
  <c r="V902" i="31"/>
  <c r="X902" i="31"/>
  <c r="Y902" i="31"/>
  <c r="C903" i="31"/>
  <c r="E903" i="31"/>
  <c r="G903" i="31"/>
  <c r="I903" i="31"/>
  <c r="K903" i="31"/>
  <c r="M903" i="31"/>
  <c r="O903" i="31"/>
  <c r="Q903" i="31"/>
  <c r="R903" i="31"/>
  <c r="S903" i="31" s="1"/>
  <c r="U903" i="31"/>
  <c r="V903" i="31"/>
  <c r="X903" i="31"/>
  <c r="Y903" i="31"/>
  <c r="C904" i="31"/>
  <c r="E904" i="31"/>
  <c r="G904" i="31"/>
  <c r="I904" i="31"/>
  <c r="K904" i="31"/>
  <c r="M904" i="31"/>
  <c r="O904" i="31"/>
  <c r="Q904" i="31"/>
  <c r="R904" i="31"/>
  <c r="S904" i="31" s="1"/>
  <c r="U904" i="31"/>
  <c r="V904" i="31"/>
  <c r="X904" i="31"/>
  <c r="Y904" i="31"/>
  <c r="C905" i="31"/>
  <c r="E905" i="31"/>
  <c r="G905" i="31"/>
  <c r="I905" i="31"/>
  <c r="K905" i="31"/>
  <c r="M905" i="31"/>
  <c r="O905" i="31"/>
  <c r="Q905" i="31"/>
  <c r="R905" i="31"/>
  <c r="S905" i="31" s="1"/>
  <c r="U905" i="31"/>
  <c r="V905" i="31"/>
  <c r="X905" i="31"/>
  <c r="Y905" i="31"/>
  <c r="C906" i="31"/>
  <c r="E906" i="31"/>
  <c r="G906" i="31"/>
  <c r="I906" i="31"/>
  <c r="K906" i="31"/>
  <c r="M906" i="31"/>
  <c r="O906" i="31"/>
  <c r="Q906" i="31"/>
  <c r="R906" i="31"/>
  <c r="U906" i="31"/>
  <c r="V906" i="31"/>
  <c r="X906" i="31"/>
  <c r="Y906" i="31"/>
  <c r="C907" i="31"/>
  <c r="E907" i="31"/>
  <c r="G907" i="31"/>
  <c r="I907" i="31"/>
  <c r="K907" i="31"/>
  <c r="M907" i="31"/>
  <c r="O907" i="31"/>
  <c r="Q907" i="31"/>
  <c r="R907" i="31"/>
  <c r="S907" i="31" s="1"/>
  <c r="U907" i="31"/>
  <c r="V907" i="31"/>
  <c r="X907" i="31"/>
  <c r="Y907" i="31"/>
  <c r="C908" i="31"/>
  <c r="E908" i="31"/>
  <c r="G908" i="31"/>
  <c r="I908" i="31"/>
  <c r="K908" i="31"/>
  <c r="M908" i="31"/>
  <c r="O908" i="31"/>
  <c r="Q908" i="31"/>
  <c r="R908" i="31"/>
  <c r="U908" i="31"/>
  <c r="V908" i="31"/>
  <c r="X908" i="31"/>
  <c r="Y908" i="31"/>
  <c r="C909" i="31"/>
  <c r="E909" i="31"/>
  <c r="G909" i="31"/>
  <c r="I909" i="31"/>
  <c r="K909" i="31"/>
  <c r="M909" i="31"/>
  <c r="O909" i="31"/>
  <c r="Q909" i="31"/>
  <c r="R909" i="31"/>
  <c r="S909" i="31" s="1"/>
  <c r="U909" i="31"/>
  <c r="V909" i="31"/>
  <c r="X909" i="31"/>
  <c r="Y909" i="31"/>
  <c r="C910" i="31"/>
  <c r="E910" i="31"/>
  <c r="G910" i="31"/>
  <c r="I910" i="31"/>
  <c r="K910" i="31"/>
  <c r="M910" i="31"/>
  <c r="O910" i="31"/>
  <c r="Q910" i="31"/>
  <c r="R910" i="31"/>
  <c r="U910" i="31"/>
  <c r="V910" i="31"/>
  <c r="X910" i="31"/>
  <c r="Y910" i="31"/>
  <c r="C911" i="31"/>
  <c r="E911" i="31"/>
  <c r="G911" i="31"/>
  <c r="I911" i="31"/>
  <c r="K911" i="31"/>
  <c r="M911" i="31"/>
  <c r="O911" i="31"/>
  <c r="Q911" i="31"/>
  <c r="R911" i="31"/>
  <c r="U911" i="31"/>
  <c r="V911" i="31"/>
  <c r="X911" i="31"/>
  <c r="Y911" i="31"/>
  <c r="C912" i="31"/>
  <c r="E912" i="31"/>
  <c r="G912" i="31"/>
  <c r="I912" i="31"/>
  <c r="K912" i="31"/>
  <c r="M912" i="31"/>
  <c r="O912" i="31"/>
  <c r="Q912" i="31"/>
  <c r="R912" i="31"/>
  <c r="U912" i="31"/>
  <c r="V912" i="31"/>
  <c r="X912" i="31"/>
  <c r="Y912" i="31"/>
  <c r="C913" i="31"/>
  <c r="E913" i="31"/>
  <c r="G913" i="31"/>
  <c r="I913" i="31"/>
  <c r="K913" i="31"/>
  <c r="M913" i="31"/>
  <c r="O913" i="31"/>
  <c r="Q913" i="31"/>
  <c r="R913" i="31"/>
  <c r="S913" i="31" s="1"/>
  <c r="U913" i="31"/>
  <c r="V913" i="31"/>
  <c r="X913" i="31"/>
  <c r="Y913" i="31"/>
  <c r="C914" i="31"/>
  <c r="E914" i="31"/>
  <c r="G914" i="31"/>
  <c r="I914" i="31"/>
  <c r="K914" i="31"/>
  <c r="M914" i="31"/>
  <c r="O914" i="31"/>
  <c r="Q914" i="31"/>
  <c r="R914" i="31"/>
  <c r="U914" i="31"/>
  <c r="V914" i="31"/>
  <c r="X914" i="31"/>
  <c r="Y914" i="31"/>
  <c r="C915" i="31"/>
  <c r="E915" i="31"/>
  <c r="G915" i="31"/>
  <c r="I915" i="31"/>
  <c r="K915" i="31"/>
  <c r="M915" i="31"/>
  <c r="O915" i="31"/>
  <c r="Q915" i="31"/>
  <c r="R915" i="31"/>
  <c r="U915" i="31"/>
  <c r="V915" i="31"/>
  <c r="X915" i="31"/>
  <c r="Y915" i="31"/>
  <c r="C916" i="31"/>
  <c r="E916" i="31"/>
  <c r="G916" i="31"/>
  <c r="I916" i="31"/>
  <c r="K916" i="31"/>
  <c r="M916" i="31"/>
  <c r="O916" i="31"/>
  <c r="Q916" i="31"/>
  <c r="R916" i="31"/>
  <c r="U916" i="31"/>
  <c r="V916" i="31"/>
  <c r="X916" i="31"/>
  <c r="Y916" i="31"/>
  <c r="C917" i="31"/>
  <c r="E917" i="31"/>
  <c r="G917" i="31"/>
  <c r="I917" i="31"/>
  <c r="K917" i="31"/>
  <c r="M917" i="31"/>
  <c r="O917" i="31"/>
  <c r="Q917" i="31"/>
  <c r="R917" i="31"/>
  <c r="S917" i="31" s="1"/>
  <c r="U917" i="31"/>
  <c r="V917" i="31"/>
  <c r="X917" i="31"/>
  <c r="Y917" i="31"/>
  <c r="C918" i="31"/>
  <c r="E918" i="31"/>
  <c r="G918" i="31"/>
  <c r="I918" i="31"/>
  <c r="K918" i="31"/>
  <c r="M918" i="31"/>
  <c r="O918" i="31"/>
  <c r="Q918" i="31"/>
  <c r="R918" i="31"/>
  <c r="U918" i="31"/>
  <c r="V918" i="31"/>
  <c r="X918" i="31"/>
  <c r="Y918" i="31"/>
  <c r="C919" i="31"/>
  <c r="E919" i="31"/>
  <c r="G919" i="31"/>
  <c r="I919" i="31"/>
  <c r="K919" i="31"/>
  <c r="M919" i="31"/>
  <c r="O919" i="31"/>
  <c r="Q919" i="31"/>
  <c r="R919" i="31"/>
  <c r="U919" i="31"/>
  <c r="V919" i="31"/>
  <c r="X919" i="31"/>
  <c r="Y919" i="31"/>
  <c r="C920" i="31"/>
  <c r="E920" i="31"/>
  <c r="G920" i="31"/>
  <c r="I920" i="31"/>
  <c r="K920" i="31"/>
  <c r="M920" i="31"/>
  <c r="O920" i="31"/>
  <c r="Q920" i="31"/>
  <c r="R920" i="31"/>
  <c r="U920" i="31"/>
  <c r="V920" i="31"/>
  <c r="X920" i="31"/>
  <c r="Y920" i="31"/>
  <c r="C921" i="31"/>
  <c r="E921" i="31"/>
  <c r="G921" i="31"/>
  <c r="I921" i="31"/>
  <c r="K921" i="31"/>
  <c r="M921" i="31"/>
  <c r="O921" i="31"/>
  <c r="Q921" i="31"/>
  <c r="R921" i="31"/>
  <c r="S921" i="31" s="1"/>
  <c r="U921" i="31"/>
  <c r="V921" i="31"/>
  <c r="X921" i="31"/>
  <c r="Y921" i="31"/>
  <c r="C922" i="31"/>
  <c r="E922" i="31"/>
  <c r="G922" i="31"/>
  <c r="I922" i="31"/>
  <c r="K922" i="31"/>
  <c r="M922" i="31"/>
  <c r="O922" i="31"/>
  <c r="Q922" i="31"/>
  <c r="R922" i="31"/>
  <c r="U922" i="31"/>
  <c r="V922" i="31"/>
  <c r="X922" i="31"/>
  <c r="Y922" i="31"/>
  <c r="C923" i="31"/>
  <c r="E923" i="31"/>
  <c r="G923" i="31"/>
  <c r="I923" i="31"/>
  <c r="K923" i="31"/>
  <c r="M923" i="31"/>
  <c r="O923" i="31"/>
  <c r="Q923" i="31"/>
  <c r="R923" i="31"/>
  <c r="U923" i="31"/>
  <c r="V923" i="31"/>
  <c r="X923" i="31"/>
  <c r="Y923" i="31"/>
  <c r="C924" i="31"/>
  <c r="E924" i="31"/>
  <c r="G924" i="31"/>
  <c r="I924" i="31"/>
  <c r="K924" i="31"/>
  <c r="M924" i="31"/>
  <c r="O924" i="31"/>
  <c r="Q924" i="31"/>
  <c r="R924" i="31"/>
  <c r="U924" i="31"/>
  <c r="V924" i="31"/>
  <c r="X924" i="31"/>
  <c r="Y924" i="31"/>
  <c r="C925" i="31"/>
  <c r="E925" i="31"/>
  <c r="G925" i="31"/>
  <c r="I925" i="31"/>
  <c r="K925" i="31"/>
  <c r="M925" i="31"/>
  <c r="O925" i="31"/>
  <c r="Q925" i="31"/>
  <c r="R925" i="31"/>
  <c r="S925" i="31" s="1"/>
  <c r="U925" i="31"/>
  <c r="V925" i="31"/>
  <c r="X925" i="31"/>
  <c r="Y925" i="31"/>
  <c r="C926" i="31"/>
  <c r="E926" i="31"/>
  <c r="G926" i="31"/>
  <c r="I926" i="31"/>
  <c r="K926" i="31"/>
  <c r="M926" i="31"/>
  <c r="O926" i="31"/>
  <c r="Q926" i="31"/>
  <c r="R926" i="31"/>
  <c r="U926" i="31"/>
  <c r="V926" i="31"/>
  <c r="X926" i="31"/>
  <c r="Y926" i="31"/>
  <c r="C927" i="31"/>
  <c r="E927" i="31"/>
  <c r="G927" i="31"/>
  <c r="I927" i="31"/>
  <c r="K927" i="31"/>
  <c r="M927" i="31"/>
  <c r="O927" i="31"/>
  <c r="Q927" i="31"/>
  <c r="R927" i="31"/>
  <c r="U927" i="31"/>
  <c r="V927" i="31"/>
  <c r="X927" i="31"/>
  <c r="Y927" i="31"/>
  <c r="C928" i="31"/>
  <c r="E928" i="31"/>
  <c r="G928" i="31"/>
  <c r="I928" i="31"/>
  <c r="K928" i="31"/>
  <c r="M928" i="31"/>
  <c r="O928" i="31"/>
  <c r="Q928" i="31"/>
  <c r="R928" i="31"/>
  <c r="U928" i="31"/>
  <c r="V928" i="31"/>
  <c r="X928" i="31"/>
  <c r="Y928" i="31"/>
  <c r="C929" i="31"/>
  <c r="E929" i="31"/>
  <c r="G929" i="31"/>
  <c r="I929" i="31"/>
  <c r="K929" i="31"/>
  <c r="M929" i="31"/>
  <c r="O929" i="31"/>
  <c r="Q929" i="31"/>
  <c r="R929" i="31"/>
  <c r="S929" i="31" s="1"/>
  <c r="U929" i="31"/>
  <c r="V929" i="31"/>
  <c r="X929" i="31"/>
  <c r="Y929" i="31"/>
  <c r="C930" i="31"/>
  <c r="E930" i="31"/>
  <c r="G930" i="31"/>
  <c r="I930" i="31"/>
  <c r="K930" i="31"/>
  <c r="M930" i="31"/>
  <c r="O930" i="31"/>
  <c r="Q930" i="31"/>
  <c r="R930" i="31"/>
  <c r="U930" i="31"/>
  <c r="V930" i="31"/>
  <c r="X930" i="31"/>
  <c r="Y930" i="31"/>
  <c r="C931" i="31"/>
  <c r="E931" i="31"/>
  <c r="G931" i="31"/>
  <c r="I931" i="31"/>
  <c r="K931" i="31"/>
  <c r="M931" i="31"/>
  <c r="O931" i="31"/>
  <c r="Q931" i="31"/>
  <c r="R931" i="31"/>
  <c r="U931" i="31"/>
  <c r="V931" i="31"/>
  <c r="X931" i="31"/>
  <c r="Y931" i="31"/>
  <c r="C932" i="31"/>
  <c r="E932" i="31"/>
  <c r="G932" i="31"/>
  <c r="I932" i="31"/>
  <c r="K932" i="31"/>
  <c r="M932" i="31"/>
  <c r="O932" i="31"/>
  <c r="Q932" i="31"/>
  <c r="R932" i="31"/>
  <c r="U932" i="31"/>
  <c r="V932" i="31"/>
  <c r="X932" i="31"/>
  <c r="Y932" i="31"/>
  <c r="C933" i="31"/>
  <c r="E933" i="31"/>
  <c r="G933" i="31"/>
  <c r="I933" i="31"/>
  <c r="K933" i="31"/>
  <c r="M933" i="31"/>
  <c r="O933" i="31"/>
  <c r="Q933" i="31"/>
  <c r="R933" i="31"/>
  <c r="S933" i="31" s="1"/>
  <c r="U933" i="31"/>
  <c r="V933" i="31"/>
  <c r="X933" i="31"/>
  <c r="Y933" i="31"/>
  <c r="C934" i="31"/>
  <c r="E934" i="31"/>
  <c r="G934" i="31"/>
  <c r="I934" i="31"/>
  <c r="K934" i="31"/>
  <c r="M934" i="31"/>
  <c r="O934" i="31"/>
  <c r="Q934" i="31"/>
  <c r="R934" i="31"/>
  <c r="U934" i="31"/>
  <c r="V934" i="31"/>
  <c r="X934" i="31"/>
  <c r="Y934" i="31"/>
  <c r="C935" i="31"/>
  <c r="E935" i="31"/>
  <c r="G935" i="31"/>
  <c r="I935" i="31"/>
  <c r="K935" i="31"/>
  <c r="M935" i="31"/>
  <c r="O935" i="31"/>
  <c r="Q935" i="31"/>
  <c r="R935" i="31"/>
  <c r="U935" i="31"/>
  <c r="V935" i="31"/>
  <c r="X935" i="31"/>
  <c r="Y935" i="31"/>
  <c r="C936" i="31"/>
  <c r="E936" i="31"/>
  <c r="G936" i="31"/>
  <c r="I936" i="31"/>
  <c r="K936" i="31"/>
  <c r="M936" i="31"/>
  <c r="O936" i="31"/>
  <c r="Q936" i="31"/>
  <c r="R936" i="31"/>
  <c r="U936" i="31"/>
  <c r="V936" i="31"/>
  <c r="X936" i="31"/>
  <c r="Y936" i="31"/>
  <c r="C937" i="31"/>
  <c r="E937" i="31"/>
  <c r="G937" i="31"/>
  <c r="I937" i="31"/>
  <c r="K937" i="31"/>
  <c r="M937" i="31"/>
  <c r="O937" i="31"/>
  <c r="Q937" i="31"/>
  <c r="R937" i="31"/>
  <c r="S937" i="31" s="1"/>
  <c r="U937" i="31"/>
  <c r="V937" i="31"/>
  <c r="X937" i="31"/>
  <c r="Y937" i="31"/>
  <c r="C938" i="31"/>
  <c r="E938" i="31"/>
  <c r="G938" i="31"/>
  <c r="I938" i="31"/>
  <c r="K938" i="31"/>
  <c r="M938" i="31"/>
  <c r="O938" i="31"/>
  <c r="Q938" i="31"/>
  <c r="R938" i="31"/>
  <c r="U938" i="31"/>
  <c r="V938" i="31"/>
  <c r="X938" i="31"/>
  <c r="Y938" i="31"/>
  <c r="C939" i="31"/>
  <c r="E939" i="31"/>
  <c r="G939" i="31"/>
  <c r="I939" i="31"/>
  <c r="K939" i="31"/>
  <c r="M939" i="31"/>
  <c r="O939" i="31"/>
  <c r="Q939" i="31"/>
  <c r="R939" i="31"/>
  <c r="U939" i="31"/>
  <c r="V939" i="31"/>
  <c r="X939" i="31"/>
  <c r="Y939" i="31"/>
  <c r="C940" i="31"/>
  <c r="E940" i="31"/>
  <c r="G940" i="31"/>
  <c r="I940" i="31"/>
  <c r="K940" i="31"/>
  <c r="M940" i="31"/>
  <c r="O940" i="31"/>
  <c r="Q940" i="31"/>
  <c r="R940" i="31"/>
  <c r="U940" i="31"/>
  <c r="V940" i="31"/>
  <c r="X940" i="31"/>
  <c r="Y940" i="31"/>
  <c r="C941" i="31"/>
  <c r="E941" i="31"/>
  <c r="G941" i="31"/>
  <c r="I941" i="31"/>
  <c r="K941" i="31"/>
  <c r="M941" i="31"/>
  <c r="O941" i="31"/>
  <c r="Q941" i="31"/>
  <c r="R941" i="31"/>
  <c r="S941" i="31" s="1"/>
  <c r="U941" i="31"/>
  <c r="V941" i="31"/>
  <c r="X941" i="31"/>
  <c r="Y941" i="31"/>
  <c r="C942" i="31"/>
  <c r="E942" i="31"/>
  <c r="G942" i="31"/>
  <c r="I942" i="31"/>
  <c r="K942" i="31"/>
  <c r="M942" i="31"/>
  <c r="O942" i="31"/>
  <c r="Q942" i="31"/>
  <c r="R942" i="31"/>
  <c r="U942" i="31"/>
  <c r="V942" i="31"/>
  <c r="X942" i="31"/>
  <c r="Y942" i="31"/>
  <c r="C943" i="31"/>
  <c r="E943" i="31"/>
  <c r="G943" i="31"/>
  <c r="I943" i="31"/>
  <c r="K943" i="31"/>
  <c r="M943" i="31"/>
  <c r="O943" i="31"/>
  <c r="Q943" i="31"/>
  <c r="R943" i="31"/>
  <c r="U943" i="31"/>
  <c r="V943" i="31"/>
  <c r="X943" i="31"/>
  <c r="Y943" i="31"/>
  <c r="C944" i="31"/>
  <c r="E944" i="31"/>
  <c r="G944" i="31"/>
  <c r="I944" i="31"/>
  <c r="K944" i="31"/>
  <c r="M944" i="31"/>
  <c r="O944" i="31"/>
  <c r="Q944" i="31"/>
  <c r="R944" i="31"/>
  <c r="U944" i="31"/>
  <c r="V944" i="31"/>
  <c r="X944" i="31"/>
  <c r="Y944" i="31"/>
  <c r="C945" i="31"/>
  <c r="E945" i="31"/>
  <c r="G945" i="31"/>
  <c r="I945" i="31"/>
  <c r="K945" i="31"/>
  <c r="M945" i="31"/>
  <c r="O945" i="31"/>
  <c r="Q945" i="31"/>
  <c r="R945" i="31"/>
  <c r="S945" i="31" s="1"/>
  <c r="U945" i="31"/>
  <c r="V945" i="31"/>
  <c r="X945" i="31"/>
  <c r="Y945" i="31"/>
  <c r="C946" i="31"/>
  <c r="E946" i="31"/>
  <c r="G946" i="31"/>
  <c r="I946" i="31"/>
  <c r="K946" i="31"/>
  <c r="M946" i="31"/>
  <c r="O946" i="31"/>
  <c r="Q946" i="31"/>
  <c r="R946" i="31"/>
  <c r="U946" i="31"/>
  <c r="V946" i="31"/>
  <c r="X946" i="31"/>
  <c r="Y946" i="31"/>
  <c r="C947" i="31"/>
  <c r="E947" i="31"/>
  <c r="G947" i="31"/>
  <c r="I947" i="31"/>
  <c r="K947" i="31"/>
  <c r="M947" i="31"/>
  <c r="O947" i="31"/>
  <c r="Q947" i="31"/>
  <c r="R947" i="31"/>
  <c r="U947" i="31"/>
  <c r="V947" i="31"/>
  <c r="X947" i="31"/>
  <c r="Y947" i="31"/>
  <c r="C948" i="31"/>
  <c r="E948" i="31"/>
  <c r="G948" i="31"/>
  <c r="I948" i="31"/>
  <c r="K948" i="31"/>
  <c r="M948" i="31"/>
  <c r="O948" i="31"/>
  <c r="Q948" i="31"/>
  <c r="R948" i="31"/>
  <c r="U948" i="31"/>
  <c r="V948" i="31"/>
  <c r="X948" i="31"/>
  <c r="Y948" i="31"/>
  <c r="C949" i="31"/>
  <c r="E949" i="31"/>
  <c r="G949" i="31"/>
  <c r="I949" i="31"/>
  <c r="K949" i="31"/>
  <c r="M949" i="31"/>
  <c r="O949" i="31"/>
  <c r="Q949" i="31"/>
  <c r="R949" i="31"/>
  <c r="S949" i="31" s="1"/>
  <c r="U949" i="31"/>
  <c r="V949" i="31"/>
  <c r="X949" i="31"/>
  <c r="Y949" i="31"/>
  <c r="C950" i="31"/>
  <c r="E950" i="31"/>
  <c r="G950" i="31"/>
  <c r="I950" i="31"/>
  <c r="K950" i="31"/>
  <c r="M950" i="31"/>
  <c r="O950" i="31"/>
  <c r="Q950" i="31"/>
  <c r="R950" i="31"/>
  <c r="U950" i="31"/>
  <c r="V950" i="31"/>
  <c r="X950" i="31"/>
  <c r="Y950" i="31"/>
  <c r="C951" i="31"/>
  <c r="E951" i="31"/>
  <c r="G951" i="31"/>
  <c r="I951" i="31"/>
  <c r="K951" i="31"/>
  <c r="M951" i="31"/>
  <c r="O951" i="31"/>
  <c r="Q951" i="31"/>
  <c r="R951" i="31"/>
  <c r="U951" i="31"/>
  <c r="V951" i="31"/>
  <c r="X951" i="31"/>
  <c r="Y951" i="31"/>
  <c r="C952" i="31"/>
  <c r="E952" i="31"/>
  <c r="G952" i="31"/>
  <c r="I952" i="31"/>
  <c r="K952" i="31"/>
  <c r="M952" i="31"/>
  <c r="O952" i="31"/>
  <c r="Q952" i="31"/>
  <c r="R952" i="31"/>
  <c r="U952" i="31"/>
  <c r="V952" i="31"/>
  <c r="X952" i="31"/>
  <c r="Y952" i="31"/>
  <c r="C953" i="31"/>
  <c r="E953" i="31"/>
  <c r="G953" i="31"/>
  <c r="I953" i="31"/>
  <c r="K953" i="31"/>
  <c r="M953" i="31"/>
  <c r="O953" i="31"/>
  <c r="Q953" i="31"/>
  <c r="R953" i="31"/>
  <c r="S953" i="31" s="1"/>
  <c r="U953" i="31"/>
  <c r="V953" i="31"/>
  <c r="X953" i="31"/>
  <c r="Y953" i="31"/>
  <c r="C954" i="31"/>
  <c r="E954" i="31"/>
  <c r="G954" i="31"/>
  <c r="I954" i="31"/>
  <c r="K954" i="31"/>
  <c r="M954" i="31"/>
  <c r="O954" i="31"/>
  <c r="Q954" i="31"/>
  <c r="R954" i="31"/>
  <c r="U954" i="31"/>
  <c r="V954" i="31"/>
  <c r="X954" i="31"/>
  <c r="Y954" i="31"/>
  <c r="C955" i="31"/>
  <c r="E955" i="31"/>
  <c r="G955" i="31"/>
  <c r="I955" i="31"/>
  <c r="K955" i="31"/>
  <c r="M955" i="31"/>
  <c r="O955" i="31"/>
  <c r="Q955" i="31"/>
  <c r="R955" i="31"/>
  <c r="U955" i="31"/>
  <c r="V955" i="31"/>
  <c r="X955" i="31"/>
  <c r="Y955" i="31"/>
  <c r="C956" i="31"/>
  <c r="E956" i="31"/>
  <c r="G956" i="31"/>
  <c r="I956" i="31"/>
  <c r="K956" i="31"/>
  <c r="M956" i="31"/>
  <c r="O956" i="31"/>
  <c r="Q956" i="31"/>
  <c r="R956" i="31"/>
  <c r="U956" i="31"/>
  <c r="V956" i="31"/>
  <c r="X956" i="31"/>
  <c r="Y956" i="31"/>
  <c r="C957" i="31"/>
  <c r="E957" i="31"/>
  <c r="G957" i="31"/>
  <c r="I957" i="31"/>
  <c r="K957" i="31"/>
  <c r="M957" i="31"/>
  <c r="O957" i="31"/>
  <c r="Q957" i="31"/>
  <c r="R957" i="31"/>
  <c r="S957" i="31" s="1"/>
  <c r="U957" i="31"/>
  <c r="V957" i="31"/>
  <c r="X957" i="31"/>
  <c r="Y957" i="31"/>
  <c r="C958" i="31"/>
  <c r="E958" i="31"/>
  <c r="G958" i="31"/>
  <c r="I958" i="31"/>
  <c r="K958" i="31"/>
  <c r="M958" i="31"/>
  <c r="O958" i="31"/>
  <c r="Q958" i="31"/>
  <c r="R958" i="31"/>
  <c r="U958" i="31"/>
  <c r="V958" i="31"/>
  <c r="X958" i="31"/>
  <c r="Y958" i="31"/>
  <c r="C959" i="31"/>
  <c r="E959" i="31"/>
  <c r="G959" i="31"/>
  <c r="I959" i="31"/>
  <c r="K959" i="31"/>
  <c r="M959" i="31"/>
  <c r="O959" i="31"/>
  <c r="Q959" i="31"/>
  <c r="R959" i="31"/>
  <c r="U959" i="31"/>
  <c r="V959" i="31"/>
  <c r="X959" i="31"/>
  <c r="Y959" i="31"/>
  <c r="C960" i="31"/>
  <c r="E960" i="31"/>
  <c r="G960" i="31"/>
  <c r="I960" i="31"/>
  <c r="K960" i="31"/>
  <c r="M960" i="31"/>
  <c r="O960" i="31"/>
  <c r="Q960" i="31"/>
  <c r="R960" i="31"/>
  <c r="U960" i="31"/>
  <c r="V960" i="31"/>
  <c r="X960" i="31"/>
  <c r="Y960" i="31"/>
  <c r="C961" i="31"/>
  <c r="E961" i="31"/>
  <c r="G961" i="31"/>
  <c r="I961" i="31"/>
  <c r="K961" i="31"/>
  <c r="M961" i="31"/>
  <c r="O961" i="31"/>
  <c r="Q961" i="31"/>
  <c r="R961" i="31"/>
  <c r="S961" i="31" s="1"/>
  <c r="U961" i="31"/>
  <c r="V961" i="31"/>
  <c r="X961" i="31"/>
  <c r="Y961" i="31"/>
  <c r="C962" i="31"/>
  <c r="E962" i="31"/>
  <c r="G962" i="31"/>
  <c r="I962" i="31"/>
  <c r="K962" i="31"/>
  <c r="M962" i="31"/>
  <c r="O962" i="31"/>
  <c r="Q962" i="31"/>
  <c r="R962" i="31"/>
  <c r="S962" i="31" s="1"/>
  <c r="U962" i="31"/>
  <c r="V962" i="31"/>
  <c r="X962" i="31"/>
  <c r="Y962" i="31"/>
  <c r="C963" i="31"/>
  <c r="E963" i="31"/>
  <c r="G963" i="31"/>
  <c r="I963" i="31"/>
  <c r="K963" i="31"/>
  <c r="M963" i="31"/>
  <c r="O963" i="31"/>
  <c r="Q963" i="31"/>
  <c r="R963" i="31"/>
  <c r="S963" i="31" s="1"/>
  <c r="U963" i="31"/>
  <c r="V963" i="31"/>
  <c r="X963" i="31"/>
  <c r="Y963" i="31"/>
  <c r="C964" i="31"/>
  <c r="E964" i="31"/>
  <c r="G964" i="31"/>
  <c r="I964" i="31"/>
  <c r="K964" i="31"/>
  <c r="M964" i="31"/>
  <c r="O964" i="31"/>
  <c r="Q964" i="31"/>
  <c r="R964" i="31"/>
  <c r="S964" i="31" s="1"/>
  <c r="U964" i="31"/>
  <c r="V964" i="31"/>
  <c r="X964" i="31"/>
  <c r="Y964" i="31"/>
  <c r="C965" i="31"/>
  <c r="E965" i="31"/>
  <c r="G965" i="31"/>
  <c r="I965" i="31"/>
  <c r="K965" i="31"/>
  <c r="M965" i="31"/>
  <c r="O965" i="31"/>
  <c r="Q965" i="31"/>
  <c r="R965" i="31"/>
  <c r="S965" i="31" s="1"/>
  <c r="U965" i="31"/>
  <c r="V965" i="31"/>
  <c r="X965" i="31"/>
  <c r="Y965" i="31"/>
  <c r="C966" i="31"/>
  <c r="E966" i="31"/>
  <c r="G966" i="31"/>
  <c r="I966" i="31"/>
  <c r="K966" i="31"/>
  <c r="M966" i="31"/>
  <c r="O966" i="31"/>
  <c r="Q966" i="31"/>
  <c r="R966" i="31"/>
  <c r="S966" i="31" s="1"/>
  <c r="U966" i="31"/>
  <c r="V966" i="31"/>
  <c r="X966" i="31"/>
  <c r="Y966" i="31"/>
  <c r="C967" i="31"/>
  <c r="E967" i="31"/>
  <c r="G967" i="31"/>
  <c r="I967" i="31"/>
  <c r="K967" i="31"/>
  <c r="M967" i="31"/>
  <c r="O967" i="31"/>
  <c r="Q967" i="31"/>
  <c r="R967" i="31"/>
  <c r="S967" i="31" s="1"/>
  <c r="U967" i="31"/>
  <c r="V967" i="31"/>
  <c r="X967" i="31"/>
  <c r="Y967" i="31"/>
  <c r="C968" i="31"/>
  <c r="E968" i="31"/>
  <c r="G968" i="31"/>
  <c r="I968" i="31"/>
  <c r="K968" i="31"/>
  <c r="M968" i="31"/>
  <c r="O968" i="31"/>
  <c r="Q968" i="31"/>
  <c r="R968" i="31"/>
  <c r="S968" i="31" s="1"/>
  <c r="U968" i="31"/>
  <c r="V968" i="31"/>
  <c r="X968" i="31"/>
  <c r="Y968" i="31"/>
  <c r="C969" i="31"/>
  <c r="E969" i="31"/>
  <c r="G969" i="31"/>
  <c r="I969" i="31"/>
  <c r="K969" i="31"/>
  <c r="M969" i="31"/>
  <c r="O969" i="31"/>
  <c r="Q969" i="31"/>
  <c r="R969" i="31"/>
  <c r="U969" i="31"/>
  <c r="V969" i="31"/>
  <c r="X969" i="31"/>
  <c r="Y969" i="31"/>
  <c r="C970" i="31"/>
  <c r="E970" i="31"/>
  <c r="G970" i="31"/>
  <c r="I970" i="31"/>
  <c r="K970" i="31"/>
  <c r="M970" i="31"/>
  <c r="O970" i="31"/>
  <c r="Q970" i="31"/>
  <c r="R970" i="31"/>
  <c r="S970" i="31" s="1"/>
  <c r="U970" i="31"/>
  <c r="V970" i="31"/>
  <c r="X970" i="31"/>
  <c r="Y970" i="31"/>
  <c r="C971" i="31"/>
  <c r="E971" i="31"/>
  <c r="G971" i="31"/>
  <c r="I971" i="31"/>
  <c r="K971" i="31"/>
  <c r="M971" i="31"/>
  <c r="O971" i="31"/>
  <c r="Q971" i="31"/>
  <c r="R971" i="31"/>
  <c r="S971" i="31" s="1"/>
  <c r="U971" i="31"/>
  <c r="V971" i="31"/>
  <c r="X971" i="31"/>
  <c r="Y971" i="31"/>
  <c r="C972" i="31"/>
  <c r="E972" i="31"/>
  <c r="G972" i="31"/>
  <c r="I972" i="31"/>
  <c r="K972" i="31"/>
  <c r="M972" i="31"/>
  <c r="O972" i="31"/>
  <c r="Q972" i="31"/>
  <c r="R972" i="31"/>
  <c r="S972" i="31" s="1"/>
  <c r="U972" i="31"/>
  <c r="V972" i="31"/>
  <c r="X972" i="31"/>
  <c r="Y972" i="31"/>
  <c r="C973" i="31"/>
  <c r="E973" i="31"/>
  <c r="G973" i="31"/>
  <c r="I973" i="31"/>
  <c r="K973" i="31"/>
  <c r="M973" i="31"/>
  <c r="O973" i="31"/>
  <c r="Q973" i="31"/>
  <c r="R973" i="31"/>
  <c r="S973" i="31" s="1"/>
  <c r="U973" i="31"/>
  <c r="V973" i="31"/>
  <c r="X973" i="31"/>
  <c r="Y973" i="31"/>
  <c r="C974" i="31"/>
  <c r="E974" i="31"/>
  <c r="G974" i="31"/>
  <c r="I974" i="31"/>
  <c r="K974" i="31"/>
  <c r="M974" i="31"/>
  <c r="O974" i="31"/>
  <c r="Q974" i="31"/>
  <c r="R974" i="31"/>
  <c r="S974" i="31" s="1"/>
  <c r="U974" i="31"/>
  <c r="V974" i="31"/>
  <c r="X974" i="31"/>
  <c r="Y974" i="31"/>
  <c r="C975" i="31"/>
  <c r="E975" i="31"/>
  <c r="G975" i="31"/>
  <c r="I975" i="31"/>
  <c r="K975" i="31"/>
  <c r="M975" i="31"/>
  <c r="O975" i="31"/>
  <c r="Q975" i="31"/>
  <c r="R975" i="31"/>
  <c r="U975" i="31"/>
  <c r="V975" i="31"/>
  <c r="X975" i="31"/>
  <c r="Y975" i="31"/>
  <c r="C976" i="31"/>
  <c r="E976" i="31"/>
  <c r="G976" i="31"/>
  <c r="I976" i="31"/>
  <c r="K976" i="31"/>
  <c r="M976" i="31"/>
  <c r="O976" i="31"/>
  <c r="Q976" i="31"/>
  <c r="R976" i="31"/>
  <c r="S976" i="31" s="1"/>
  <c r="U976" i="31"/>
  <c r="V976" i="31"/>
  <c r="X976" i="31"/>
  <c r="Y976" i="31"/>
  <c r="C977" i="31"/>
  <c r="E977" i="31"/>
  <c r="G977" i="31"/>
  <c r="I977" i="31"/>
  <c r="K977" i="31"/>
  <c r="M977" i="31"/>
  <c r="O977" i="31"/>
  <c r="Q977" i="31"/>
  <c r="R977" i="31"/>
  <c r="S977" i="31" s="1"/>
  <c r="U977" i="31"/>
  <c r="V977" i="31"/>
  <c r="X977" i="31"/>
  <c r="Y977" i="31"/>
  <c r="C978" i="31"/>
  <c r="E978" i="31"/>
  <c r="G978" i="31"/>
  <c r="I978" i="31"/>
  <c r="K978" i="31"/>
  <c r="M978" i="31"/>
  <c r="O978" i="31"/>
  <c r="Q978" i="31"/>
  <c r="R978" i="31"/>
  <c r="S978" i="31" s="1"/>
  <c r="U978" i="31"/>
  <c r="V978" i="31"/>
  <c r="X978" i="31"/>
  <c r="Y978" i="31"/>
  <c r="C979" i="31"/>
  <c r="E979" i="31"/>
  <c r="G979" i="31"/>
  <c r="I979" i="31"/>
  <c r="K979" i="31"/>
  <c r="M979" i="31"/>
  <c r="O979" i="31"/>
  <c r="Q979" i="31"/>
  <c r="R979" i="31"/>
  <c r="U979" i="31"/>
  <c r="V979" i="31"/>
  <c r="X979" i="31"/>
  <c r="Y979" i="31"/>
  <c r="C980" i="31"/>
  <c r="E980" i="31"/>
  <c r="G980" i="31"/>
  <c r="I980" i="31"/>
  <c r="K980" i="31"/>
  <c r="M980" i="31"/>
  <c r="O980" i="31"/>
  <c r="Q980" i="31"/>
  <c r="R980" i="31"/>
  <c r="S980" i="31" s="1"/>
  <c r="U980" i="31"/>
  <c r="V980" i="31"/>
  <c r="X980" i="31"/>
  <c r="Y980" i="31"/>
  <c r="C981" i="31"/>
  <c r="E981" i="31"/>
  <c r="G981" i="31"/>
  <c r="I981" i="31"/>
  <c r="K981" i="31"/>
  <c r="M981" i="31"/>
  <c r="O981" i="31"/>
  <c r="Q981" i="31"/>
  <c r="R981" i="31"/>
  <c r="S981" i="31" s="1"/>
  <c r="U981" i="31"/>
  <c r="V981" i="31"/>
  <c r="X981" i="31"/>
  <c r="Y981" i="31"/>
  <c r="C982" i="31"/>
  <c r="E982" i="31"/>
  <c r="G982" i="31"/>
  <c r="I982" i="31"/>
  <c r="K982" i="31"/>
  <c r="M982" i="31"/>
  <c r="O982" i="31"/>
  <c r="Q982" i="31"/>
  <c r="R982" i="31"/>
  <c r="S982" i="31" s="1"/>
  <c r="U982" i="31"/>
  <c r="V982" i="31"/>
  <c r="X982" i="31"/>
  <c r="Y982" i="31"/>
  <c r="C983" i="31"/>
  <c r="E983" i="31"/>
  <c r="G983" i="31"/>
  <c r="I983" i="31"/>
  <c r="K983" i="31"/>
  <c r="M983" i="31"/>
  <c r="O983" i="31"/>
  <c r="Q983" i="31"/>
  <c r="R983" i="31"/>
  <c r="S983" i="31" s="1"/>
  <c r="U983" i="31"/>
  <c r="V983" i="31"/>
  <c r="X983" i="31"/>
  <c r="Y983" i="31"/>
  <c r="C984" i="31"/>
  <c r="E984" i="31"/>
  <c r="G984" i="31"/>
  <c r="I984" i="31"/>
  <c r="K984" i="31"/>
  <c r="M984" i="31"/>
  <c r="O984" i="31"/>
  <c r="Q984" i="31"/>
  <c r="R984" i="31"/>
  <c r="S984" i="31" s="1"/>
  <c r="U984" i="31"/>
  <c r="V984" i="31"/>
  <c r="X984" i="31"/>
  <c r="Y984" i="31"/>
  <c r="C985" i="31"/>
  <c r="E985" i="31"/>
  <c r="G985" i="31"/>
  <c r="I985" i="31"/>
  <c r="K985" i="31"/>
  <c r="M985" i="31"/>
  <c r="O985" i="31"/>
  <c r="Q985" i="31"/>
  <c r="R985" i="31"/>
  <c r="S985" i="31" s="1"/>
  <c r="U985" i="31"/>
  <c r="V985" i="31"/>
  <c r="X985" i="31"/>
  <c r="Y985" i="31"/>
  <c r="C986" i="31"/>
  <c r="E986" i="31"/>
  <c r="G986" i="31"/>
  <c r="I986" i="31"/>
  <c r="K986" i="31"/>
  <c r="M986" i="31"/>
  <c r="O986" i="31"/>
  <c r="Q986" i="31"/>
  <c r="R986" i="31"/>
  <c r="S986" i="31" s="1"/>
  <c r="U986" i="31"/>
  <c r="V986" i="31"/>
  <c r="X986" i="31"/>
  <c r="Y986" i="31"/>
  <c r="C987" i="31"/>
  <c r="E987" i="31"/>
  <c r="G987" i="31"/>
  <c r="I987" i="31"/>
  <c r="K987" i="31"/>
  <c r="M987" i="31"/>
  <c r="O987" i="31"/>
  <c r="Q987" i="31"/>
  <c r="R987" i="31"/>
  <c r="S987" i="31" s="1"/>
  <c r="U987" i="31"/>
  <c r="V987" i="31"/>
  <c r="X987" i="31"/>
  <c r="Y987" i="31"/>
  <c r="C988" i="31"/>
  <c r="E988" i="31"/>
  <c r="G988" i="31"/>
  <c r="I988" i="31"/>
  <c r="K988" i="31"/>
  <c r="M988" i="31"/>
  <c r="O988" i="31"/>
  <c r="Q988" i="31"/>
  <c r="R988" i="31"/>
  <c r="S988" i="31" s="1"/>
  <c r="U988" i="31"/>
  <c r="V988" i="31"/>
  <c r="X988" i="31"/>
  <c r="Y988" i="31"/>
  <c r="C989" i="31"/>
  <c r="E989" i="31"/>
  <c r="G989" i="31"/>
  <c r="I989" i="31"/>
  <c r="K989" i="31"/>
  <c r="M989" i="31"/>
  <c r="O989" i="31"/>
  <c r="Q989" i="31"/>
  <c r="R989" i="31"/>
  <c r="S989" i="31" s="1"/>
  <c r="U989" i="31"/>
  <c r="V989" i="31"/>
  <c r="X989" i="31"/>
  <c r="Y989" i="31"/>
  <c r="C990" i="31"/>
  <c r="E990" i="31"/>
  <c r="G990" i="31"/>
  <c r="I990" i="31"/>
  <c r="K990" i="31"/>
  <c r="M990" i="31"/>
  <c r="O990" i="31"/>
  <c r="Q990" i="31"/>
  <c r="R990" i="31"/>
  <c r="S990" i="31" s="1"/>
  <c r="U990" i="31"/>
  <c r="V990" i="31"/>
  <c r="X990" i="31"/>
  <c r="Y990" i="31"/>
  <c r="C991" i="31"/>
  <c r="E991" i="31"/>
  <c r="G991" i="31"/>
  <c r="I991" i="31"/>
  <c r="K991" i="31"/>
  <c r="M991" i="31"/>
  <c r="O991" i="31"/>
  <c r="Q991" i="31"/>
  <c r="R991" i="31"/>
  <c r="S991" i="31" s="1"/>
  <c r="U991" i="31"/>
  <c r="V991" i="31"/>
  <c r="X991" i="31"/>
  <c r="Y991" i="31"/>
  <c r="C992" i="31"/>
  <c r="E992" i="31"/>
  <c r="G992" i="31"/>
  <c r="I992" i="31"/>
  <c r="K992" i="31"/>
  <c r="M992" i="31"/>
  <c r="O992" i="31"/>
  <c r="Q992" i="31"/>
  <c r="R992" i="31"/>
  <c r="S992" i="31" s="1"/>
  <c r="U992" i="31"/>
  <c r="V992" i="31"/>
  <c r="X992" i="31"/>
  <c r="Y992" i="31"/>
  <c r="C993" i="31"/>
  <c r="E993" i="31"/>
  <c r="G993" i="31"/>
  <c r="I993" i="31"/>
  <c r="K993" i="31"/>
  <c r="M993" i="31"/>
  <c r="O993" i="31"/>
  <c r="Q993" i="31"/>
  <c r="R993" i="31"/>
  <c r="S993" i="31" s="1"/>
  <c r="U993" i="31"/>
  <c r="V993" i="31"/>
  <c r="X993" i="31"/>
  <c r="Y993" i="31"/>
  <c r="C994" i="31"/>
  <c r="E994" i="31"/>
  <c r="G994" i="31"/>
  <c r="I994" i="31"/>
  <c r="K994" i="31"/>
  <c r="M994" i="31"/>
  <c r="O994" i="31"/>
  <c r="Q994" i="31"/>
  <c r="R994" i="31"/>
  <c r="S994" i="31" s="1"/>
  <c r="U994" i="31"/>
  <c r="V994" i="31"/>
  <c r="X994" i="31"/>
  <c r="Y994" i="31"/>
  <c r="C995" i="31"/>
  <c r="E995" i="31"/>
  <c r="G995" i="31"/>
  <c r="I995" i="31"/>
  <c r="K995" i="31"/>
  <c r="M995" i="31"/>
  <c r="O995" i="31"/>
  <c r="Q995" i="31"/>
  <c r="R995" i="31"/>
  <c r="S995" i="31" s="1"/>
  <c r="U995" i="31"/>
  <c r="V995" i="31"/>
  <c r="X995" i="31"/>
  <c r="Y995" i="31"/>
  <c r="C996" i="31"/>
  <c r="E996" i="31"/>
  <c r="G996" i="31"/>
  <c r="I996" i="31"/>
  <c r="K996" i="31"/>
  <c r="M996" i="31"/>
  <c r="O996" i="31"/>
  <c r="Q996" i="31"/>
  <c r="R996" i="31"/>
  <c r="S996" i="31" s="1"/>
  <c r="U996" i="31"/>
  <c r="V996" i="31"/>
  <c r="X996" i="31"/>
  <c r="Y996" i="31"/>
  <c r="C997" i="31"/>
  <c r="E997" i="31"/>
  <c r="G997" i="31"/>
  <c r="I997" i="31"/>
  <c r="K997" i="31"/>
  <c r="M997" i="31"/>
  <c r="O997" i="31"/>
  <c r="Q997" i="31"/>
  <c r="R997" i="31"/>
  <c r="S997" i="31" s="1"/>
  <c r="U997" i="31"/>
  <c r="V997" i="31"/>
  <c r="X997" i="31"/>
  <c r="Y997" i="31"/>
  <c r="C998" i="31"/>
  <c r="E998" i="31"/>
  <c r="G998" i="31"/>
  <c r="I998" i="31"/>
  <c r="K998" i="31"/>
  <c r="M998" i="31"/>
  <c r="O998" i="31"/>
  <c r="Q998" i="31"/>
  <c r="R998" i="31"/>
  <c r="S998" i="31" s="1"/>
  <c r="U998" i="31"/>
  <c r="V998" i="31"/>
  <c r="X998" i="31"/>
  <c r="Y998" i="31"/>
  <c r="C999" i="31"/>
  <c r="E999" i="31"/>
  <c r="G999" i="31"/>
  <c r="I999" i="31"/>
  <c r="K999" i="31"/>
  <c r="M999" i="31"/>
  <c r="O999" i="31"/>
  <c r="Q999" i="31"/>
  <c r="R999" i="31"/>
  <c r="S999" i="31" s="1"/>
  <c r="U999" i="31"/>
  <c r="V999" i="31"/>
  <c r="X999" i="31"/>
  <c r="Y999" i="31"/>
  <c r="C1000" i="31"/>
  <c r="E1000" i="31"/>
  <c r="G1000" i="31"/>
  <c r="I1000" i="31"/>
  <c r="K1000" i="31"/>
  <c r="M1000" i="31"/>
  <c r="O1000" i="31"/>
  <c r="Q1000" i="31"/>
  <c r="R1000" i="31"/>
  <c r="S1000" i="31" s="1"/>
  <c r="U1000" i="31"/>
  <c r="V1000" i="31"/>
  <c r="X1000" i="31"/>
  <c r="Y1000" i="31"/>
  <c r="C1001" i="31"/>
  <c r="E1001" i="31"/>
  <c r="G1001" i="31"/>
  <c r="I1001" i="31"/>
  <c r="K1001" i="31"/>
  <c r="M1001" i="31"/>
  <c r="O1001" i="31"/>
  <c r="Q1001" i="31"/>
  <c r="R1001" i="31"/>
  <c r="S1001" i="31" s="1"/>
  <c r="U1001" i="31"/>
  <c r="V1001" i="31"/>
  <c r="X1001" i="31"/>
  <c r="Y1001" i="31"/>
  <c r="C1002" i="31"/>
  <c r="E1002" i="31"/>
  <c r="G1002" i="31"/>
  <c r="I1002" i="31"/>
  <c r="K1002" i="31"/>
  <c r="M1002" i="31"/>
  <c r="O1002" i="31"/>
  <c r="Q1002" i="31"/>
  <c r="R1002" i="31"/>
  <c r="S1002" i="31" s="1"/>
  <c r="U1002" i="31"/>
  <c r="V1002" i="31"/>
  <c r="X1002" i="31"/>
  <c r="Y1002" i="31"/>
  <c r="C1003" i="31"/>
  <c r="E1003" i="31"/>
  <c r="G1003" i="31"/>
  <c r="I1003" i="31"/>
  <c r="K1003" i="31"/>
  <c r="M1003" i="31"/>
  <c r="O1003" i="31"/>
  <c r="Q1003" i="31"/>
  <c r="R1003" i="31"/>
  <c r="S1003" i="31" s="1"/>
  <c r="U1003" i="31"/>
  <c r="V1003" i="31"/>
  <c r="X1003" i="31"/>
  <c r="Y1003" i="31"/>
  <c r="C1004" i="31"/>
  <c r="E1004" i="31"/>
  <c r="G1004" i="31"/>
  <c r="I1004" i="31"/>
  <c r="K1004" i="31"/>
  <c r="M1004" i="31"/>
  <c r="O1004" i="31"/>
  <c r="Q1004" i="31"/>
  <c r="R1004" i="31"/>
  <c r="S1004" i="31" s="1"/>
  <c r="U1004" i="31"/>
  <c r="V1004" i="31"/>
  <c r="X1004" i="31"/>
  <c r="Y1004" i="31"/>
  <c r="C1005" i="31"/>
  <c r="E1005" i="31"/>
  <c r="G1005" i="31"/>
  <c r="I1005" i="31"/>
  <c r="K1005" i="31"/>
  <c r="M1005" i="31"/>
  <c r="O1005" i="31"/>
  <c r="Q1005" i="31"/>
  <c r="R1005" i="31"/>
  <c r="S1005" i="31" s="1"/>
  <c r="U1005" i="31"/>
  <c r="V1005" i="31"/>
  <c r="X1005" i="31"/>
  <c r="Y1005" i="31"/>
  <c r="C1006" i="31"/>
  <c r="E1006" i="31"/>
  <c r="G1006" i="31"/>
  <c r="I1006" i="31"/>
  <c r="K1006" i="31"/>
  <c r="M1006" i="31"/>
  <c r="O1006" i="31"/>
  <c r="Q1006" i="31"/>
  <c r="R1006" i="31"/>
  <c r="S1006" i="31" s="1"/>
  <c r="U1006" i="31"/>
  <c r="V1006" i="31"/>
  <c r="X1006" i="31"/>
  <c r="Y1006" i="31"/>
  <c r="C1007" i="31"/>
  <c r="E1007" i="31"/>
  <c r="G1007" i="31"/>
  <c r="I1007" i="31"/>
  <c r="K1007" i="31"/>
  <c r="M1007" i="31"/>
  <c r="O1007" i="31"/>
  <c r="Q1007" i="31"/>
  <c r="R1007" i="31"/>
  <c r="S1007" i="31" s="1"/>
  <c r="U1007" i="31"/>
  <c r="V1007" i="31"/>
  <c r="X1007" i="31"/>
  <c r="Y1007" i="31"/>
  <c r="C1008" i="31"/>
  <c r="E1008" i="31"/>
  <c r="G1008" i="31"/>
  <c r="I1008" i="31"/>
  <c r="K1008" i="31"/>
  <c r="M1008" i="31"/>
  <c r="O1008" i="31"/>
  <c r="Q1008" i="31"/>
  <c r="R1008" i="31"/>
  <c r="S1008" i="31" s="1"/>
  <c r="U1008" i="31"/>
  <c r="V1008" i="31"/>
  <c r="X1008" i="31"/>
  <c r="Y1008" i="31"/>
  <c r="C1009" i="31"/>
  <c r="E1009" i="31"/>
  <c r="G1009" i="31"/>
  <c r="I1009" i="31"/>
  <c r="K1009" i="31"/>
  <c r="M1009" i="31"/>
  <c r="O1009" i="31"/>
  <c r="Q1009" i="31"/>
  <c r="R1009" i="31"/>
  <c r="S1009" i="31" s="1"/>
  <c r="U1009" i="31"/>
  <c r="V1009" i="31"/>
  <c r="X1009" i="31"/>
  <c r="Y1009" i="31"/>
  <c r="C1010" i="31"/>
  <c r="E1010" i="31"/>
  <c r="G1010" i="31"/>
  <c r="I1010" i="31"/>
  <c r="K1010" i="31"/>
  <c r="M1010" i="31"/>
  <c r="O1010" i="31"/>
  <c r="Q1010" i="31"/>
  <c r="R1010" i="31"/>
  <c r="S1010" i="31" s="1"/>
  <c r="U1010" i="31"/>
  <c r="V1010" i="31"/>
  <c r="X1010" i="31"/>
  <c r="Y1010" i="31"/>
  <c r="C1011" i="31"/>
  <c r="E1011" i="31"/>
  <c r="G1011" i="31"/>
  <c r="I1011" i="31"/>
  <c r="K1011" i="31"/>
  <c r="M1011" i="31"/>
  <c r="O1011" i="31"/>
  <c r="Q1011" i="31"/>
  <c r="R1011" i="31"/>
  <c r="S1011" i="31" s="1"/>
  <c r="U1011" i="31"/>
  <c r="V1011" i="31"/>
  <c r="X1011" i="31"/>
  <c r="Y1011" i="31"/>
  <c r="C1012" i="31"/>
  <c r="E1012" i="31"/>
  <c r="G1012" i="31"/>
  <c r="I1012" i="31"/>
  <c r="K1012" i="31"/>
  <c r="M1012" i="31"/>
  <c r="O1012" i="31"/>
  <c r="Q1012" i="31"/>
  <c r="R1012" i="31"/>
  <c r="S1012" i="31" s="1"/>
  <c r="U1012" i="31"/>
  <c r="V1012" i="31"/>
  <c r="X1012" i="31"/>
  <c r="Y1012" i="31"/>
  <c r="C1013" i="31"/>
  <c r="E1013" i="31"/>
  <c r="G1013" i="31"/>
  <c r="I1013" i="31"/>
  <c r="K1013" i="31"/>
  <c r="M1013" i="31"/>
  <c r="O1013" i="31"/>
  <c r="Q1013" i="31"/>
  <c r="R1013" i="31"/>
  <c r="S1013" i="31" s="1"/>
  <c r="U1013" i="31"/>
  <c r="V1013" i="31"/>
  <c r="X1013" i="31"/>
  <c r="Y1013" i="31"/>
  <c r="T1010" i="31" l="1"/>
  <c r="T849" i="31"/>
  <c r="T978" i="31"/>
  <c r="T937" i="31"/>
  <c r="T994" i="31"/>
  <c r="T889" i="31"/>
  <c r="T1002" i="31"/>
  <c r="T986" i="31"/>
  <c r="T968" i="31"/>
  <c r="T965" i="31"/>
  <c r="T905" i="31"/>
  <c r="T873" i="31"/>
  <c r="T1006" i="31"/>
  <c r="T998" i="31"/>
  <c r="T990" i="31"/>
  <c r="T982" i="31"/>
  <c r="T974" i="31"/>
  <c r="T953" i="31"/>
  <c r="T921" i="31"/>
  <c r="T897" i="31"/>
  <c r="T881" i="31"/>
  <c r="T865" i="31"/>
  <c r="T1013" i="31"/>
  <c r="T1012" i="31"/>
  <c r="T1009" i="31"/>
  <c r="T1008" i="31"/>
  <c r="T1005" i="31"/>
  <c r="T1004" i="31"/>
  <c r="T1001" i="31"/>
  <c r="T1000" i="31"/>
  <c r="T997" i="31"/>
  <c r="T996" i="31"/>
  <c r="T993" i="31"/>
  <c r="T992" i="31"/>
  <c r="T989" i="31"/>
  <c r="T988" i="31"/>
  <c r="T985" i="31"/>
  <c r="T984" i="31"/>
  <c r="T981" i="31"/>
  <c r="T980" i="31"/>
  <c r="T977" i="31"/>
  <c r="T976" i="31"/>
  <c r="T973" i="31"/>
  <c r="T972" i="31"/>
  <c r="T967" i="31"/>
  <c r="T964" i="31"/>
  <c r="T961" i="31"/>
  <c r="T945" i="31"/>
  <c r="T929" i="31"/>
  <c r="T913" i="31"/>
  <c r="T901" i="31"/>
  <c r="T893" i="31"/>
  <c r="T885" i="31"/>
  <c r="T877" i="31"/>
  <c r="T869" i="31"/>
  <c r="T857" i="31"/>
  <c r="T845" i="31"/>
  <c r="S975" i="31"/>
  <c r="T975" i="31"/>
  <c r="T1011" i="31"/>
  <c r="T1007" i="31"/>
  <c r="T1003" i="31"/>
  <c r="T999" i="31"/>
  <c r="T995" i="31"/>
  <c r="T991" i="31"/>
  <c r="T987" i="31"/>
  <c r="T983" i="31"/>
  <c r="T970" i="31"/>
  <c r="S969" i="31"/>
  <c r="T969" i="31"/>
  <c r="T963" i="31"/>
  <c r="S959" i="31"/>
  <c r="T959" i="31"/>
  <c r="T957" i="31"/>
  <c r="S956" i="31"/>
  <c r="T956" i="31"/>
  <c r="S951" i="31"/>
  <c r="T951" i="31"/>
  <c r="T949" i="31"/>
  <c r="S948" i="31"/>
  <c r="T948" i="31"/>
  <c r="S943" i="31"/>
  <c r="T943" i="31"/>
  <c r="T941" i="31"/>
  <c r="S940" i="31"/>
  <c r="T940" i="31"/>
  <c r="S935" i="31"/>
  <c r="T935" i="31"/>
  <c r="T933" i="31"/>
  <c r="S932" i="31"/>
  <c r="T932" i="31"/>
  <c r="S927" i="31"/>
  <c r="T927" i="31"/>
  <c r="T925" i="31"/>
  <c r="S924" i="31"/>
  <c r="T924" i="31"/>
  <c r="S919" i="31"/>
  <c r="T919" i="31"/>
  <c r="T917" i="31"/>
  <c r="S916" i="31"/>
  <c r="T916" i="31"/>
  <c r="S911" i="31"/>
  <c r="T911" i="31"/>
  <c r="T909" i="31"/>
  <c r="S908" i="31"/>
  <c r="T908" i="31"/>
  <c r="S979" i="31"/>
  <c r="T979" i="31"/>
  <c r="S960" i="31"/>
  <c r="T960" i="31"/>
  <c r="S955" i="31"/>
  <c r="T955" i="31"/>
  <c r="S952" i="31"/>
  <c r="T952" i="31"/>
  <c r="S947" i="31"/>
  <c r="T947" i="31"/>
  <c r="S944" i="31"/>
  <c r="T944" i="31"/>
  <c r="S939" i="31"/>
  <c r="T939" i="31"/>
  <c r="S936" i="31"/>
  <c r="T936" i="31"/>
  <c r="S931" i="31"/>
  <c r="T931" i="31"/>
  <c r="S928" i="31"/>
  <c r="T928" i="31"/>
  <c r="S923" i="31"/>
  <c r="T923" i="31"/>
  <c r="S920" i="31"/>
  <c r="T920" i="31"/>
  <c r="S915" i="31"/>
  <c r="T915" i="31"/>
  <c r="S912" i="31"/>
  <c r="T912" i="31"/>
  <c r="T907" i="31"/>
  <c r="T904" i="31"/>
  <c r="T903" i="31"/>
  <c r="T900" i="31"/>
  <c r="T899" i="31"/>
  <c r="T896" i="31"/>
  <c r="T895" i="31"/>
  <c r="T892" i="31"/>
  <c r="T891" i="31"/>
  <c r="T888" i="31"/>
  <c r="T887" i="31"/>
  <c r="T884" i="31"/>
  <c r="T883" i="31"/>
  <c r="T880" i="31"/>
  <c r="T879" i="31"/>
  <c r="T876" i="31"/>
  <c r="T875" i="31"/>
  <c r="T872" i="31"/>
  <c r="T871" i="31"/>
  <c r="T868" i="31"/>
  <c r="T867" i="31"/>
  <c r="T864" i="31"/>
  <c r="S863" i="31"/>
  <c r="T863" i="31"/>
  <c r="T861" i="31"/>
  <c r="S860" i="31"/>
  <c r="T860" i="31"/>
  <c r="S855" i="31"/>
  <c r="T855" i="31"/>
  <c r="T853" i="31"/>
  <c r="S852" i="31"/>
  <c r="T852" i="31"/>
  <c r="S859" i="31"/>
  <c r="T859" i="31"/>
  <c r="S856" i="31"/>
  <c r="T856" i="31"/>
  <c r="T851" i="31"/>
  <c r="T848" i="31"/>
  <c r="T847" i="31"/>
  <c r="T971" i="31"/>
  <c r="T966" i="31"/>
  <c r="T962" i="31"/>
  <c r="S958" i="31"/>
  <c r="T958" i="31"/>
  <c r="S954" i="31"/>
  <c r="T954" i="31"/>
  <c r="S950" i="31"/>
  <c r="T950" i="31"/>
  <c r="S946" i="31"/>
  <c r="T946" i="31"/>
  <c r="S942" i="31"/>
  <c r="T942" i="31"/>
  <c r="S938" i="31"/>
  <c r="T938" i="31"/>
  <c r="S934" i="31"/>
  <c r="T934" i="31"/>
  <c r="S930" i="31"/>
  <c r="T930" i="31"/>
  <c r="S926" i="31"/>
  <c r="T926" i="31"/>
  <c r="S922" i="31"/>
  <c r="T922" i="31"/>
  <c r="S918" i="31"/>
  <c r="T918" i="31"/>
  <c r="S914" i="31"/>
  <c r="T914" i="31"/>
  <c r="S910" i="31"/>
  <c r="T910" i="31"/>
  <c r="S906" i="31"/>
  <c r="T906" i="31"/>
  <c r="S902" i="31"/>
  <c r="T902" i="31"/>
  <c r="S898" i="31"/>
  <c r="T898" i="31"/>
  <c r="S894" i="31"/>
  <c r="T894" i="31"/>
  <c r="S890" i="31"/>
  <c r="T890" i="31"/>
  <c r="S886" i="31"/>
  <c r="T886" i="31"/>
  <c r="S882" i="31"/>
  <c r="T882" i="31"/>
  <c r="S878" i="31"/>
  <c r="T878" i="31"/>
  <c r="S874" i="31"/>
  <c r="T874" i="31"/>
  <c r="S870" i="31"/>
  <c r="T870" i="31"/>
  <c r="S866" i="31"/>
  <c r="T866" i="31"/>
  <c r="S862" i="31"/>
  <c r="T862" i="31"/>
  <c r="S858" i="31"/>
  <c r="T858" i="31"/>
  <c r="S854" i="31"/>
  <c r="T854" i="31"/>
  <c r="S850" i="31"/>
  <c r="T850" i="31"/>
  <c r="S846" i="31"/>
  <c r="T846" i="31"/>
  <c r="E5" i="1"/>
  <c r="I37" i="21" l="1"/>
  <c r="G37" i="21"/>
  <c r="E37" i="21"/>
  <c r="E8" i="65"/>
  <c r="E823" i="64" l="1"/>
  <c r="G8" i="64"/>
  <c r="G9" i="64"/>
  <c r="G10" i="64"/>
  <c r="G11" i="64"/>
  <c r="G12" i="64"/>
  <c r="G13" i="64"/>
  <c r="G14" i="64"/>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179" i="64"/>
  <c r="G180" i="64"/>
  <c r="G181" i="64"/>
  <c r="G182" i="64"/>
  <c r="G183" i="64"/>
  <c r="G184" i="64"/>
  <c r="G185" i="64"/>
  <c r="G186" i="64"/>
  <c r="G187" i="64"/>
  <c r="G188" i="64"/>
  <c r="G189" i="64"/>
  <c r="G190" i="64"/>
  <c r="G191" i="64"/>
  <c r="G192" i="64"/>
  <c r="G193" i="64"/>
  <c r="G194" i="64"/>
  <c r="G195" i="64"/>
  <c r="G196" i="64"/>
  <c r="G197" i="64"/>
  <c r="G198" i="64"/>
  <c r="G199" i="64"/>
  <c r="G200" i="64"/>
  <c r="G201" i="64"/>
  <c r="G202" i="64"/>
  <c r="G203" i="64"/>
  <c r="G204" i="64"/>
  <c r="G205" i="64"/>
  <c r="G206" i="64"/>
  <c r="G207" i="64"/>
  <c r="G208" i="64"/>
  <c r="G209" i="64"/>
  <c r="G210" i="64"/>
  <c r="G211" i="64"/>
  <c r="G212" i="64"/>
  <c r="G213" i="64"/>
  <c r="G214" i="64"/>
  <c r="G215" i="64"/>
  <c r="G216" i="64"/>
  <c r="G217" i="64"/>
  <c r="G218" i="64"/>
  <c r="G219" i="64"/>
  <c r="G220" i="64"/>
  <c r="G221" i="64"/>
  <c r="G222" i="64"/>
  <c r="G223" i="64"/>
  <c r="G224" i="64"/>
  <c r="G225" i="64"/>
  <c r="G226" i="64"/>
  <c r="G227" i="64"/>
  <c r="G228" i="64"/>
  <c r="G229" i="64"/>
  <c r="G230" i="64"/>
  <c r="G231" i="64"/>
  <c r="G232" i="64"/>
  <c r="G233" i="64"/>
  <c r="G234" i="64"/>
  <c r="G235" i="64"/>
  <c r="G236" i="64"/>
  <c r="G237" i="64"/>
  <c r="G238" i="64"/>
  <c r="G239" i="64"/>
  <c r="G240" i="64"/>
  <c r="G241" i="64"/>
  <c r="G242" i="64"/>
  <c r="G243" i="64"/>
  <c r="G244" i="64"/>
  <c r="G245" i="64"/>
  <c r="G246" i="64"/>
  <c r="G247" i="64"/>
  <c r="G248" i="64"/>
  <c r="G249" i="64"/>
  <c r="G250" i="64"/>
  <c r="G251" i="64"/>
  <c r="G252" i="64"/>
  <c r="G253" i="64"/>
  <c r="G254" i="64"/>
  <c r="G255" i="64"/>
  <c r="G256" i="64"/>
  <c r="G257" i="64"/>
  <c r="G258" i="64"/>
  <c r="G259" i="64"/>
  <c r="G260" i="64"/>
  <c r="G261" i="64"/>
  <c r="G262" i="64"/>
  <c r="G263" i="64"/>
  <c r="G264" i="64"/>
  <c r="G265" i="64"/>
  <c r="G266" i="64"/>
  <c r="G267" i="64"/>
  <c r="G268" i="64"/>
  <c r="G269" i="64"/>
  <c r="G270" i="64"/>
  <c r="G271" i="64"/>
  <c r="G272" i="64"/>
  <c r="G273" i="64"/>
  <c r="G274" i="64"/>
  <c r="G275" i="64"/>
  <c r="G276" i="64"/>
  <c r="G277" i="64"/>
  <c r="G278" i="64"/>
  <c r="G279" i="64"/>
  <c r="G280" i="64"/>
  <c r="G281" i="64"/>
  <c r="G282" i="64"/>
  <c r="G283" i="64"/>
  <c r="G284" i="64"/>
  <c r="G285" i="64"/>
  <c r="G286" i="64"/>
  <c r="G287" i="64"/>
  <c r="G288" i="64"/>
  <c r="G289" i="64"/>
  <c r="G290" i="64"/>
  <c r="G291" i="64"/>
  <c r="G292" i="64"/>
  <c r="G293" i="64"/>
  <c r="G294" i="64"/>
  <c r="G295" i="64"/>
  <c r="G296" i="64"/>
  <c r="G297" i="64"/>
  <c r="G298" i="64"/>
  <c r="G299" i="64"/>
  <c r="G300" i="64"/>
  <c r="G301" i="64"/>
  <c r="G302" i="64"/>
  <c r="G303" i="64"/>
  <c r="G304" i="64"/>
  <c r="G305" i="64"/>
  <c r="G306" i="64"/>
  <c r="G307" i="64"/>
  <c r="G308" i="64"/>
  <c r="G309" i="64"/>
  <c r="G310" i="64"/>
  <c r="G311" i="64"/>
  <c r="G312" i="64"/>
  <c r="G313" i="64"/>
  <c r="G314" i="64"/>
  <c r="G315" i="64"/>
  <c r="G316" i="64"/>
  <c r="G317" i="64"/>
  <c r="G318" i="64"/>
  <c r="G319" i="64"/>
  <c r="G320" i="64"/>
  <c r="G321" i="64"/>
  <c r="G322" i="64"/>
  <c r="G323" i="64"/>
  <c r="G324" i="64"/>
  <c r="G325" i="64"/>
  <c r="G326" i="64"/>
  <c r="G327" i="64"/>
  <c r="G328" i="64"/>
  <c r="G329" i="64"/>
  <c r="G330" i="64"/>
  <c r="G331" i="64"/>
  <c r="G332" i="64"/>
  <c r="G333" i="64"/>
  <c r="G334" i="64"/>
  <c r="G335" i="64"/>
  <c r="G336" i="64"/>
  <c r="G337" i="64"/>
  <c r="G338" i="64"/>
  <c r="G339" i="64"/>
  <c r="G340" i="64"/>
  <c r="G341" i="64"/>
  <c r="G342" i="64"/>
  <c r="G343" i="64"/>
  <c r="G344" i="64"/>
  <c r="G345" i="64"/>
  <c r="G346" i="64"/>
  <c r="G347" i="64"/>
  <c r="G348" i="64"/>
  <c r="G349" i="64"/>
  <c r="G350" i="64"/>
  <c r="G351" i="64"/>
  <c r="G352" i="64"/>
  <c r="G353" i="64"/>
  <c r="G354" i="64"/>
  <c r="G355" i="64"/>
  <c r="G356" i="64"/>
  <c r="G357" i="64"/>
  <c r="G358" i="64"/>
  <c r="G359" i="64"/>
  <c r="G360" i="64"/>
  <c r="G361" i="64"/>
  <c r="G362" i="64"/>
  <c r="G363" i="64"/>
  <c r="G364" i="64"/>
  <c r="G365" i="64"/>
  <c r="G366" i="64"/>
  <c r="G367" i="64"/>
  <c r="G368" i="64"/>
  <c r="G369" i="64"/>
  <c r="G370" i="64"/>
  <c r="G371" i="64"/>
  <c r="G372" i="64"/>
  <c r="G373" i="64"/>
  <c r="G374" i="64"/>
  <c r="G375" i="64"/>
  <c r="G376" i="64"/>
  <c r="G377" i="64"/>
  <c r="G378" i="64"/>
  <c r="G379" i="64"/>
  <c r="G380" i="64"/>
  <c r="G381" i="64"/>
  <c r="G382" i="64"/>
  <c r="G383" i="64"/>
  <c r="G384" i="64"/>
  <c r="G385" i="64"/>
  <c r="G386" i="64"/>
  <c r="G387" i="64"/>
  <c r="G388" i="64"/>
  <c r="G389" i="64"/>
  <c r="G390" i="64"/>
  <c r="G391" i="64"/>
  <c r="G392" i="64"/>
  <c r="G393" i="64"/>
  <c r="G394" i="64"/>
  <c r="G395" i="64"/>
  <c r="G396" i="64"/>
  <c r="G397" i="64"/>
  <c r="G398" i="64"/>
  <c r="G399" i="64"/>
  <c r="G400" i="64"/>
  <c r="G401" i="64"/>
  <c r="G402" i="64"/>
  <c r="G403" i="64"/>
  <c r="G404" i="64"/>
  <c r="G405" i="64"/>
  <c r="G406" i="64"/>
  <c r="G407" i="64"/>
  <c r="G408" i="64"/>
  <c r="G409" i="64"/>
  <c r="G410" i="64"/>
  <c r="G411" i="64"/>
  <c r="G412" i="64"/>
  <c r="G413" i="64"/>
  <c r="G414" i="64"/>
  <c r="G415" i="64"/>
  <c r="G416" i="64"/>
  <c r="G417" i="64"/>
  <c r="G418" i="64"/>
  <c r="G419" i="64"/>
  <c r="G420" i="64"/>
  <c r="G421" i="64"/>
  <c r="G422" i="64"/>
  <c r="G423" i="64"/>
  <c r="G424" i="64"/>
  <c r="G425" i="64"/>
  <c r="G426" i="64"/>
  <c r="G427" i="64"/>
  <c r="G428" i="64"/>
  <c r="G429" i="64"/>
  <c r="G430" i="64"/>
  <c r="G431" i="64"/>
  <c r="G432" i="64"/>
  <c r="G433" i="64"/>
  <c r="G434" i="64"/>
  <c r="G435" i="64"/>
  <c r="G436" i="64"/>
  <c r="G437" i="64"/>
  <c r="G438" i="64"/>
  <c r="G439" i="64"/>
  <c r="G440" i="64"/>
  <c r="G441" i="64"/>
  <c r="G442" i="64"/>
  <c r="G443" i="64"/>
  <c r="G444" i="64"/>
  <c r="G445" i="64"/>
  <c r="G446" i="64"/>
  <c r="G447" i="64"/>
  <c r="G448" i="64"/>
  <c r="G449" i="64"/>
  <c r="G450" i="64"/>
  <c r="G451" i="64"/>
  <c r="G452" i="64"/>
  <c r="G453" i="64"/>
  <c r="G454" i="64"/>
  <c r="G455" i="64"/>
  <c r="G456" i="64"/>
  <c r="G457" i="64"/>
  <c r="G458" i="64"/>
  <c r="G459" i="64"/>
  <c r="G460" i="64"/>
  <c r="G461" i="64"/>
  <c r="G462" i="64"/>
  <c r="G463" i="64"/>
  <c r="G464" i="64"/>
  <c r="G465" i="64"/>
  <c r="G466" i="64"/>
  <c r="G467" i="64"/>
  <c r="G468" i="64"/>
  <c r="G469" i="64"/>
  <c r="G470" i="64"/>
  <c r="G471" i="64"/>
  <c r="G472" i="64"/>
  <c r="G473" i="64"/>
  <c r="G474" i="64"/>
  <c r="G475" i="64"/>
  <c r="G476" i="64"/>
  <c r="G477" i="64"/>
  <c r="G478" i="64"/>
  <c r="G479" i="64"/>
  <c r="G480" i="64"/>
  <c r="G481" i="64"/>
  <c r="G482" i="64"/>
  <c r="G483" i="64"/>
  <c r="G484" i="64"/>
  <c r="G485" i="64"/>
  <c r="G486" i="64"/>
  <c r="G487" i="64"/>
  <c r="G488" i="64"/>
  <c r="G489" i="64"/>
  <c r="G490" i="64"/>
  <c r="G491" i="64"/>
  <c r="G492" i="64"/>
  <c r="G493" i="64"/>
  <c r="G494" i="64"/>
  <c r="G495" i="64"/>
  <c r="G496" i="64"/>
  <c r="G497" i="64"/>
  <c r="G498" i="64"/>
  <c r="G499" i="64"/>
  <c r="G500" i="64"/>
  <c r="G501" i="64"/>
  <c r="G502" i="64"/>
  <c r="G503" i="64"/>
  <c r="G504" i="64"/>
  <c r="G505" i="64"/>
  <c r="G506" i="64"/>
  <c r="G507" i="64"/>
  <c r="G508" i="64"/>
  <c r="G509" i="64"/>
  <c r="G510" i="64"/>
  <c r="G511" i="64"/>
  <c r="G512" i="64"/>
  <c r="G513" i="64"/>
  <c r="G514" i="64"/>
  <c r="G515" i="64"/>
  <c r="G516" i="64"/>
  <c r="G517" i="64"/>
  <c r="G518" i="64"/>
  <c r="G519" i="64"/>
  <c r="G520" i="64"/>
  <c r="G521" i="64"/>
  <c r="G522" i="64"/>
  <c r="G523" i="64"/>
  <c r="G524" i="64"/>
  <c r="G525" i="64"/>
  <c r="G526" i="64"/>
  <c r="G527" i="64"/>
  <c r="G528" i="64"/>
  <c r="G529" i="64"/>
  <c r="G530" i="64"/>
  <c r="G531" i="64"/>
  <c r="G532" i="64"/>
  <c r="G533" i="64"/>
  <c r="G534" i="64"/>
  <c r="G535" i="64"/>
  <c r="G536" i="64"/>
  <c r="G537" i="64"/>
  <c r="G538" i="64"/>
  <c r="G539" i="64"/>
  <c r="G540" i="64"/>
  <c r="G541" i="64"/>
  <c r="G542" i="64"/>
  <c r="G543" i="64"/>
  <c r="G544" i="64"/>
  <c r="G545" i="64"/>
  <c r="G546" i="64"/>
  <c r="G547" i="64"/>
  <c r="G548" i="64"/>
  <c r="G549" i="64"/>
  <c r="G550" i="64"/>
  <c r="G551" i="64"/>
  <c r="G552" i="64"/>
  <c r="G553" i="64"/>
  <c r="G554" i="64"/>
  <c r="G555" i="64"/>
  <c r="G556" i="64"/>
  <c r="G557" i="64"/>
  <c r="G558" i="64"/>
  <c r="G559" i="64"/>
  <c r="G560" i="64"/>
  <c r="G561" i="64"/>
  <c r="G562" i="64"/>
  <c r="G563" i="64"/>
  <c r="G564" i="64"/>
  <c r="G565" i="64"/>
  <c r="G566" i="64"/>
  <c r="G567" i="64"/>
  <c r="G568" i="64"/>
  <c r="G569" i="64"/>
  <c r="G570" i="64"/>
  <c r="G571" i="64"/>
  <c r="G572" i="64"/>
  <c r="G573" i="64"/>
  <c r="G574" i="64"/>
  <c r="G575" i="64"/>
  <c r="G576" i="64"/>
  <c r="G577" i="64"/>
  <c r="G578" i="64"/>
  <c r="G579" i="64"/>
  <c r="G580" i="64"/>
  <c r="G581" i="64"/>
  <c r="G582" i="64"/>
  <c r="G583" i="64"/>
  <c r="G584" i="64"/>
  <c r="G585" i="64"/>
  <c r="G586" i="64"/>
  <c r="G587" i="64"/>
  <c r="G588" i="64"/>
  <c r="G589" i="64"/>
  <c r="G590" i="64"/>
  <c r="G591" i="64"/>
  <c r="G592" i="64"/>
  <c r="G593" i="64"/>
  <c r="G594" i="64"/>
  <c r="G595" i="64"/>
  <c r="G596" i="64"/>
  <c r="G597" i="64"/>
  <c r="G598" i="64"/>
  <c r="G599" i="64"/>
  <c r="G600" i="64"/>
  <c r="G601" i="64"/>
  <c r="G602" i="64"/>
  <c r="G603" i="64"/>
  <c r="G604" i="64"/>
  <c r="G605" i="64"/>
  <c r="G606" i="64"/>
  <c r="G607" i="64"/>
  <c r="G608" i="64"/>
  <c r="G609" i="64"/>
  <c r="G610" i="64"/>
  <c r="G611" i="64"/>
  <c r="G612" i="64"/>
  <c r="G613" i="64"/>
  <c r="G614" i="64"/>
  <c r="G615" i="64"/>
  <c r="G616" i="64"/>
  <c r="G617" i="64"/>
  <c r="G618" i="64"/>
  <c r="G619" i="64"/>
  <c r="G620" i="64"/>
  <c r="G621" i="64"/>
  <c r="G622" i="64"/>
  <c r="G623" i="64"/>
  <c r="G624" i="64"/>
  <c r="G625" i="64"/>
  <c r="G626" i="64"/>
  <c r="G627" i="64"/>
  <c r="G628" i="64"/>
  <c r="G629" i="64"/>
  <c r="G630" i="64"/>
  <c r="G631" i="64"/>
  <c r="G632" i="64"/>
  <c r="G633" i="64"/>
  <c r="G634" i="64"/>
  <c r="G635" i="64"/>
  <c r="G636" i="64"/>
  <c r="G637" i="64"/>
  <c r="G638" i="64"/>
  <c r="G639" i="64"/>
  <c r="G640" i="64"/>
  <c r="G641" i="64"/>
  <c r="G642" i="64"/>
  <c r="G643" i="64"/>
  <c r="G644" i="64"/>
  <c r="G645" i="64"/>
  <c r="G646" i="64"/>
  <c r="G647" i="64"/>
  <c r="G648" i="64"/>
  <c r="G649" i="64"/>
  <c r="G650" i="64"/>
  <c r="G651" i="64"/>
  <c r="G652" i="64"/>
  <c r="G653" i="64"/>
  <c r="G654" i="64"/>
  <c r="G655" i="64"/>
  <c r="G656" i="64"/>
  <c r="G657" i="64"/>
  <c r="G658" i="64"/>
  <c r="G659" i="64"/>
  <c r="G660" i="64"/>
  <c r="G661" i="64"/>
  <c r="G662" i="64"/>
  <c r="G663" i="64"/>
  <c r="G664" i="64"/>
  <c r="G665" i="64"/>
  <c r="G666" i="64"/>
  <c r="G667" i="64"/>
  <c r="G668" i="64"/>
  <c r="G669" i="64"/>
  <c r="G670" i="64"/>
  <c r="G671" i="64"/>
  <c r="G672" i="64"/>
  <c r="G673" i="64"/>
  <c r="G674" i="64"/>
  <c r="G675" i="64"/>
  <c r="G676" i="64"/>
  <c r="G677" i="64"/>
  <c r="G678" i="64"/>
  <c r="G679" i="64"/>
  <c r="G680" i="64"/>
  <c r="G681" i="64"/>
  <c r="G682" i="64"/>
  <c r="G683" i="64"/>
  <c r="G684" i="64"/>
  <c r="G685" i="64"/>
  <c r="G686" i="64"/>
  <c r="G687" i="64"/>
  <c r="G688" i="64"/>
  <c r="G689" i="64"/>
  <c r="G690" i="64"/>
  <c r="G691" i="64"/>
  <c r="G692" i="64"/>
  <c r="G693" i="64"/>
  <c r="G694" i="64"/>
  <c r="G695" i="64"/>
  <c r="G696" i="64"/>
  <c r="G697" i="64"/>
  <c r="G698" i="64"/>
  <c r="G699" i="64"/>
  <c r="G700" i="64"/>
  <c r="G701" i="64"/>
  <c r="G702" i="64"/>
  <c r="G703" i="64"/>
  <c r="G704" i="64"/>
  <c r="G705" i="64"/>
  <c r="G706" i="64"/>
  <c r="G707" i="64"/>
  <c r="G708" i="64"/>
  <c r="G709" i="64"/>
  <c r="G710" i="64"/>
  <c r="G711" i="64"/>
  <c r="G712" i="64"/>
  <c r="G713" i="64"/>
  <c r="G714" i="64"/>
  <c r="G715" i="64"/>
  <c r="G716" i="64"/>
  <c r="G717" i="64"/>
  <c r="G718" i="64"/>
  <c r="G719" i="64"/>
  <c r="G720" i="64"/>
  <c r="G721" i="64"/>
  <c r="G722" i="64"/>
  <c r="G723" i="64"/>
  <c r="G724" i="64"/>
  <c r="G725" i="64"/>
  <c r="G726" i="64"/>
  <c r="G727" i="64"/>
  <c r="G728" i="64"/>
  <c r="G729" i="64"/>
  <c r="G730" i="64"/>
  <c r="G731" i="64"/>
  <c r="G732" i="64"/>
  <c r="G733" i="64"/>
  <c r="G734" i="64"/>
  <c r="G735" i="64"/>
  <c r="G736" i="64"/>
  <c r="G737" i="64"/>
  <c r="G738" i="64"/>
  <c r="G739" i="64"/>
  <c r="G740" i="64"/>
  <c r="G741" i="64"/>
  <c r="G742" i="64"/>
  <c r="G743" i="64"/>
  <c r="G744" i="64"/>
  <c r="G745" i="64"/>
  <c r="G746" i="64"/>
  <c r="G747" i="64"/>
  <c r="G748" i="64"/>
  <c r="G749" i="64"/>
  <c r="G750" i="64"/>
  <c r="G751" i="64"/>
  <c r="G752" i="64"/>
  <c r="G753" i="64"/>
  <c r="G754" i="64"/>
  <c r="G755" i="64"/>
  <c r="G756" i="64"/>
  <c r="G757" i="64"/>
  <c r="G758" i="64"/>
  <c r="G759" i="64"/>
  <c r="G760" i="64"/>
  <c r="G761" i="64"/>
  <c r="G762" i="64"/>
  <c r="G763" i="64"/>
  <c r="G764" i="64"/>
  <c r="G765" i="64"/>
  <c r="G766" i="64"/>
  <c r="G767" i="64"/>
  <c r="G768" i="64"/>
  <c r="G769" i="64"/>
  <c r="G770" i="64"/>
  <c r="G771" i="64"/>
  <c r="G772" i="64"/>
  <c r="G773" i="64"/>
  <c r="G774" i="64"/>
  <c r="G775" i="64"/>
  <c r="G776" i="64"/>
  <c r="G777" i="64"/>
  <c r="G778" i="64"/>
  <c r="G779" i="64"/>
  <c r="G780" i="64"/>
  <c r="G781" i="64"/>
  <c r="G782" i="64"/>
  <c r="G783" i="64"/>
  <c r="G784" i="64"/>
  <c r="G785" i="64"/>
  <c r="G786" i="64"/>
  <c r="G787" i="64"/>
  <c r="G788" i="64"/>
  <c r="G789" i="64"/>
  <c r="G790" i="64"/>
  <c r="G791" i="64"/>
  <c r="G792" i="64"/>
  <c r="G793" i="64"/>
  <c r="G794" i="64"/>
  <c r="G795" i="64"/>
  <c r="G796" i="64"/>
  <c r="G797" i="64"/>
  <c r="G798" i="64"/>
  <c r="G799" i="64"/>
  <c r="G800" i="64"/>
  <c r="G801" i="64"/>
  <c r="G802" i="64"/>
  <c r="G803" i="64"/>
  <c r="G804" i="64"/>
  <c r="G805" i="64"/>
  <c r="G806" i="64"/>
  <c r="G807" i="64"/>
  <c r="G808" i="64"/>
  <c r="G809" i="64"/>
  <c r="G810" i="64"/>
  <c r="G811" i="64"/>
  <c r="G812" i="64"/>
  <c r="G813" i="64"/>
  <c r="G814" i="64"/>
  <c r="G815" i="64"/>
  <c r="G816" i="64"/>
  <c r="G817" i="64"/>
  <c r="G818" i="64"/>
  <c r="G819" i="64"/>
  <c r="G820" i="64"/>
  <c r="G821" i="64"/>
  <c r="G822" i="64"/>
  <c r="G6" i="64"/>
  <c r="G7" i="64"/>
  <c r="G5" i="64"/>
  <c r="G823" i="64" s="1"/>
  <c r="J823" i="63" l="1"/>
  <c r="K823" i="63"/>
  <c r="C1370" i="63"/>
  <c r="D1370" i="63"/>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F6" i="61"/>
  <c r="D3" i="61"/>
  <c r="F5" i="61"/>
  <c r="D6" i="61"/>
  <c r="D5" i="61"/>
  <c r="D4" i="61"/>
  <c r="D7" i="61"/>
  <c r="F3" i="61"/>
  <c r="E20" i="43" l="1"/>
  <c r="I1" i="61"/>
  <c r="B30" i="1" s="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B6" i="1"/>
  <c r="M21" i="15" s="1"/>
  <c r="B5" i="1"/>
  <c r="F7" i="15" s="1"/>
  <c r="F3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A126" i="57"/>
  <c r="A6" i="52" s="1"/>
  <c r="B64" i="60"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510" i="31"/>
  <c r="G524" i="31"/>
  <c r="G525" i="31"/>
  <c r="G526" i="31"/>
  <c r="G527" i="31"/>
  <c r="G29" i="31"/>
  <c r="G30" i="31"/>
  <c r="G31" i="31"/>
  <c r="E33" i="31"/>
  <c r="E34" i="31"/>
  <c r="E35" i="31"/>
  <c r="E36" i="31"/>
  <c r="E39" i="31"/>
  <c r="E40" i="31"/>
  <c r="E41" i="31"/>
  <c r="E42" i="31"/>
  <c r="E43" i="31"/>
  <c r="E44" i="31"/>
  <c r="E45" i="31"/>
  <c r="E46" i="31"/>
  <c r="E47" i="31"/>
  <c r="E48" i="31"/>
  <c r="E49" i="31"/>
  <c r="E56" i="31"/>
  <c r="E57" i="31"/>
  <c r="E58" i="31"/>
  <c r="E59" i="31"/>
  <c r="E60" i="31"/>
  <c r="E61" i="31"/>
  <c r="E62" i="31"/>
  <c r="E63" i="31"/>
  <c r="E64" i="31"/>
  <c r="E65" i="31"/>
  <c r="E72" i="31"/>
  <c r="E73" i="31"/>
  <c r="E74" i="31"/>
  <c r="E75" i="31"/>
  <c r="E76" i="31"/>
  <c r="E77" i="31"/>
  <c r="E78" i="31"/>
  <c r="E79" i="31"/>
  <c r="E80" i="31"/>
  <c r="E81" i="31"/>
  <c r="E88" i="31"/>
  <c r="E89" i="31"/>
  <c r="E90" i="31"/>
  <c r="E91" i="31"/>
  <c r="E92" i="31"/>
  <c r="E93" i="31"/>
  <c r="E94" i="31"/>
  <c r="E95" i="31"/>
  <c r="E96" i="31"/>
  <c r="E97" i="31"/>
  <c r="E104" i="31"/>
  <c r="E105" i="31"/>
  <c r="E106" i="31"/>
  <c r="E107" i="31"/>
  <c r="E108" i="31"/>
  <c r="E109" i="31"/>
  <c r="E110" i="31"/>
  <c r="E111" i="31"/>
  <c r="E112" i="31"/>
  <c r="E113" i="31"/>
  <c r="E120" i="31"/>
  <c r="E121" i="31"/>
  <c r="E122" i="31"/>
  <c r="E123" i="31"/>
  <c r="E124" i="31"/>
  <c r="E125" i="31"/>
  <c r="E126" i="31"/>
  <c r="E127" i="31"/>
  <c r="E128" i="31"/>
  <c r="E129" i="31"/>
  <c r="E136" i="31"/>
  <c r="E137" i="31"/>
  <c r="E138" i="31"/>
  <c r="E139" i="31"/>
  <c r="E140" i="31"/>
  <c r="E141" i="31"/>
  <c r="E142" i="31"/>
  <c r="E143" i="31"/>
  <c r="E144" i="31"/>
  <c r="E145" i="31"/>
  <c r="E152" i="31"/>
  <c r="E153" i="31"/>
  <c r="E154" i="31"/>
  <c r="E155" i="31"/>
  <c r="E156" i="31"/>
  <c r="E157" i="31"/>
  <c r="E158" i="31"/>
  <c r="E159" i="31"/>
  <c r="E160" i="31"/>
  <c r="E161" i="31"/>
  <c r="E168" i="31"/>
  <c r="E169" i="31"/>
  <c r="E170" i="31"/>
  <c r="E171" i="31"/>
  <c r="E172" i="31"/>
  <c r="E173" i="31"/>
  <c r="E174" i="31"/>
  <c r="E175" i="31"/>
  <c r="E176" i="31"/>
  <c r="E177" i="31"/>
  <c r="E184" i="31"/>
  <c r="E185" i="31"/>
  <c r="E186" i="31"/>
  <c r="E187" i="31"/>
  <c r="E188" i="31"/>
  <c r="E189" i="31"/>
  <c r="E190" i="31"/>
  <c r="E191" i="31"/>
  <c r="E192" i="31"/>
  <c r="E193" i="31"/>
  <c r="E200" i="31"/>
  <c r="E201" i="31"/>
  <c r="E202" i="31"/>
  <c r="E203" i="31"/>
  <c r="E204" i="31"/>
  <c r="E205" i="31"/>
  <c r="E206" i="31"/>
  <c r="E207" i="31"/>
  <c r="E208" i="31"/>
  <c r="E209" i="31"/>
  <c r="E210" i="31"/>
  <c r="E211" i="31"/>
  <c r="E212" i="31"/>
  <c r="E213" i="31"/>
  <c r="E214" i="31"/>
  <c r="E235" i="31"/>
  <c r="E236" i="31"/>
  <c r="E237" i="31"/>
  <c r="E238" i="31"/>
  <c r="E239" i="31"/>
  <c r="E240" i="31"/>
  <c r="E241" i="31"/>
  <c r="E242" i="31"/>
  <c r="E243" i="31"/>
  <c r="E264" i="31"/>
  <c r="E265" i="31"/>
  <c r="E266" i="31"/>
  <c r="E267" i="31"/>
  <c r="E268" i="31"/>
  <c r="E269" i="31"/>
  <c r="E270" i="31"/>
  <c r="E271" i="31"/>
  <c r="E272" i="31"/>
  <c r="E293" i="31"/>
  <c r="E294" i="31"/>
  <c r="E295" i="31"/>
  <c r="E296" i="31"/>
  <c r="E297" i="31"/>
  <c r="E298" i="31"/>
  <c r="E299" i="31"/>
  <c r="E300" i="31"/>
  <c r="E301" i="31"/>
  <c r="E322" i="31"/>
  <c r="E323" i="31"/>
  <c r="E324" i="31"/>
  <c r="E325" i="31"/>
  <c r="E326" i="31"/>
  <c r="E327" i="31"/>
  <c r="E328" i="31"/>
  <c r="E329" i="31"/>
  <c r="E330" i="31"/>
  <c r="E351" i="31"/>
  <c r="E352" i="31"/>
  <c r="E353" i="31"/>
  <c r="E354" i="31"/>
  <c r="E355" i="31"/>
  <c r="E356" i="31"/>
  <c r="E357" i="31"/>
  <c r="E358" i="31"/>
  <c r="E359" i="31"/>
  <c r="E380" i="31"/>
  <c r="E381" i="31"/>
  <c r="E382" i="31"/>
  <c r="E383" i="31"/>
  <c r="E384" i="31"/>
  <c r="E385" i="31"/>
  <c r="E386" i="31"/>
  <c r="E387" i="31"/>
  <c r="E388" i="31"/>
  <c r="E409" i="31"/>
  <c r="E410" i="31"/>
  <c r="E411" i="31"/>
  <c r="E412" i="31"/>
  <c r="E413" i="31"/>
  <c r="E414" i="31"/>
  <c r="E415" i="31"/>
  <c r="E416" i="31"/>
  <c r="E417" i="31"/>
  <c r="E438" i="31"/>
  <c r="E439" i="31"/>
  <c r="E440" i="31"/>
  <c r="E441" i="31"/>
  <c r="E442" i="31"/>
  <c r="E443" i="31"/>
  <c r="E444" i="31"/>
  <c r="E445" i="31"/>
  <c r="E446" i="31"/>
  <c r="E467" i="31"/>
  <c r="E468" i="31"/>
  <c r="E469" i="31"/>
  <c r="E470" i="31"/>
  <c r="E471" i="31"/>
  <c r="E472" i="31"/>
  <c r="E473" i="31"/>
  <c r="E474" i="31"/>
  <c r="E475" i="31"/>
  <c r="E496" i="31"/>
  <c r="E497" i="31"/>
  <c r="E498" i="31"/>
  <c r="E499" i="31"/>
  <c r="E500" i="31"/>
  <c r="E511" i="31"/>
  <c r="E512" i="31"/>
  <c r="E513" i="31"/>
  <c r="E514" i="31"/>
  <c r="E515" i="31"/>
  <c r="E526" i="31"/>
  <c r="E527"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G496" i="31" s="1"/>
  <c r="G28" i="31"/>
  <c r="L5" i="31"/>
  <c r="K5" i="31"/>
  <c r="J5" i="31"/>
  <c r="I5" i="31"/>
  <c r="H5" i="31"/>
  <c r="G5" i="31"/>
  <c r="F5" i="31"/>
  <c r="E5" i="31"/>
  <c r="D5" i="31"/>
  <c r="C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B112" i="39"/>
  <c r="F36" i="39" s="1"/>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c r="Q32" i="39"/>
  <c r="Z32" i="39"/>
  <c r="Q31" i="39"/>
  <c r="Z31" i="39"/>
  <c r="Q29" i="39"/>
  <c r="Z29" i="39" s="1"/>
  <c r="Q25" i="39"/>
  <c r="Z25" i="39"/>
  <c r="Q23" i="39"/>
  <c r="Z23" i="39"/>
  <c r="Q21" i="39"/>
  <c r="Z21" i="39"/>
  <c r="Q19" i="39"/>
  <c r="Z19" i="39"/>
  <c r="Q17" i="39"/>
  <c r="Z17" i="39"/>
  <c r="Q15" i="39"/>
  <c r="Z15" i="39"/>
  <c r="Q14" i="39"/>
  <c r="Z14" i="39" s="1"/>
  <c r="Q13" i="39"/>
  <c r="Z13" i="39" s="1"/>
  <c r="Q12" i="39"/>
  <c r="Z12" i="39" s="1"/>
  <c r="H12" i="39"/>
  <c r="AB12" i="39" s="1"/>
  <c r="Q11" i="39"/>
  <c r="Z11" i="39" s="1"/>
  <c r="Q10" i="39"/>
  <c r="Z10" i="39" s="1"/>
  <c r="Q9" i="39"/>
  <c r="Z9" i="39" s="1"/>
  <c r="J9" i="39"/>
  <c r="AC9" i="39" s="1"/>
  <c r="H9" i="39"/>
  <c r="AB9" i="39" s="1"/>
  <c r="F9" i="39"/>
  <c r="S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J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F14" i="21"/>
  <c r="S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S46" i="33"/>
  <c r="AC13" i="36"/>
  <c r="AC11" i="36"/>
  <c r="U32" i="36"/>
  <c r="AB45" i="33"/>
  <c r="U31" i="33"/>
  <c r="AC29" i="33"/>
  <c r="W29" i="33"/>
  <c r="AB28" i="33"/>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A131" i="9"/>
  <c r="A132" i="57"/>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C113" i="57"/>
  <c r="H108" i="57" s="1"/>
  <c r="C18" i="57"/>
  <c r="D18" i="57" s="1"/>
  <c r="AB12" i="37"/>
  <c r="J37" i="37"/>
  <c r="W37" i="37" s="1"/>
  <c r="AB40" i="37"/>
  <c r="U40" i="37"/>
  <c r="AA16" i="35"/>
  <c r="AB29" i="35"/>
  <c r="U29" i="35"/>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U12" i="39"/>
  <c r="F12" i="39"/>
  <c r="S12" i="39"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AB8" i="39"/>
  <c r="J29" i="35"/>
  <c r="AC29" i="35" s="1"/>
  <c r="AC30" i="36"/>
  <c r="W30" i="36"/>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D93" i="9"/>
  <c r="M29" i="15"/>
  <c r="P51" i="15"/>
  <c r="G1" i="61"/>
  <c r="G522" i="31" l="1"/>
  <c r="G520" i="31"/>
  <c r="G518" i="31"/>
  <c r="G516" i="31"/>
  <c r="G514" i="31"/>
  <c r="G512" i="31"/>
  <c r="G508" i="31"/>
  <c r="G506" i="31"/>
  <c r="G504" i="31"/>
  <c r="G502" i="31"/>
  <c r="G500" i="31"/>
  <c r="G498" i="31"/>
  <c r="E11" i="31"/>
  <c r="F11" i="31" s="1"/>
  <c r="G11" i="31" s="1"/>
  <c r="H11" i="31" s="1"/>
  <c r="I11" i="31" s="1"/>
  <c r="J11" i="31" s="1"/>
  <c r="K11" i="31" s="1"/>
  <c r="L11" i="31" s="1"/>
  <c r="M11" i="31" s="1"/>
  <c r="N11" i="31" s="1"/>
  <c r="O11" i="31" s="1"/>
  <c r="P11" i="31" s="1"/>
  <c r="Q11" i="31" s="1"/>
  <c r="R11" i="31" s="1"/>
  <c r="S11" i="31" s="1"/>
  <c r="G586" i="31"/>
  <c r="G588" i="31"/>
  <c r="G728" i="31"/>
  <c r="G730" i="31"/>
  <c r="G732" i="31"/>
  <c r="G733" i="31"/>
  <c r="G734" i="31"/>
  <c r="G735" i="31"/>
  <c r="G736" i="31"/>
  <c r="G737" i="31"/>
  <c r="G738" i="31"/>
  <c r="G739" i="31"/>
  <c r="G740" i="31"/>
  <c r="G741" i="31"/>
  <c r="G744" i="31"/>
  <c r="G746" i="31"/>
  <c r="G587" i="31"/>
  <c r="G729" i="31"/>
  <c r="G731" i="31"/>
  <c r="G743" i="31"/>
  <c r="G745" i="31"/>
  <c r="G747" i="31"/>
  <c r="G748" i="31"/>
  <c r="G749" i="31"/>
  <c r="G750" i="31"/>
  <c r="G751" i="31"/>
  <c r="G752" i="31"/>
  <c r="G753" i="31"/>
  <c r="G754" i="31"/>
  <c r="G755" i="31"/>
  <c r="G756" i="31"/>
  <c r="G523" i="31"/>
  <c r="G521" i="31"/>
  <c r="G519" i="31"/>
  <c r="G517" i="31"/>
  <c r="G515" i="31"/>
  <c r="G513" i="31"/>
  <c r="G511" i="31"/>
  <c r="G509" i="31"/>
  <c r="G507" i="31"/>
  <c r="G505" i="31"/>
  <c r="G503" i="31"/>
  <c r="G501" i="31"/>
  <c r="G499" i="31"/>
  <c r="G497" i="31"/>
  <c r="U25" i="31"/>
  <c r="B25" i="31"/>
  <c r="C528" i="31"/>
  <c r="C529" i="31"/>
  <c r="C530" i="31"/>
  <c r="C531" i="31"/>
  <c r="C532" i="31"/>
  <c r="C533" i="31"/>
  <c r="C534" i="31"/>
  <c r="C535" i="31"/>
  <c r="C537" i="31"/>
  <c r="C539" i="31"/>
  <c r="C541" i="31"/>
  <c r="C543" i="31"/>
  <c r="C545" i="31"/>
  <c r="C547" i="31"/>
  <c r="C549" i="31"/>
  <c r="C551" i="31"/>
  <c r="C553" i="31"/>
  <c r="C555" i="31"/>
  <c r="C556" i="31"/>
  <c r="C557" i="31"/>
  <c r="C558" i="31"/>
  <c r="C559" i="31"/>
  <c r="C560" i="31"/>
  <c r="C561" i="31"/>
  <c r="C562" i="31"/>
  <c r="C563" i="31"/>
  <c r="C564" i="31"/>
  <c r="C566" i="31"/>
  <c r="C568" i="31"/>
  <c r="C570" i="31"/>
  <c r="C572" i="31"/>
  <c r="C574" i="31"/>
  <c r="C576" i="31"/>
  <c r="C578" i="31"/>
  <c r="C580" i="31"/>
  <c r="C582" i="31"/>
  <c r="C584" i="31"/>
  <c r="C585" i="31"/>
  <c r="C591" i="31"/>
  <c r="C592" i="31"/>
  <c r="C593" i="31"/>
  <c r="C594" i="31"/>
  <c r="C595" i="31"/>
  <c r="C596" i="31"/>
  <c r="C597" i="31"/>
  <c r="C598" i="31"/>
  <c r="C599" i="31"/>
  <c r="C600" i="31"/>
  <c r="C602" i="31"/>
  <c r="C604" i="31"/>
  <c r="C606" i="31"/>
  <c r="C608" i="31"/>
  <c r="C610" i="31"/>
  <c r="C612" i="31"/>
  <c r="C614" i="31"/>
  <c r="C616" i="31"/>
  <c r="C618" i="31"/>
  <c r="C629" i="31"/>
  <c r="C631" i="31"/>
  <c r="C633" i="31"/>
  <c r="C635" i="31"/>
  <c r="C637" i="31"/>
  <c r="C639" i="31"/>
  <c r="C651" i="31"/>
  <c r="C653" i="31"/>
  <c r="C655" i="31"/>
  <c r="C657" i="31"/>
  <c r="C659" i="31"/>
  <c r="C661" i="31"/>
  <c r="C663" i="31"/>
  <c r="C665" i="31"/>
  <c r="C667" i="31"/>
  <c r="C669" i="31"/>
  <c r="C680" i="31"/>
  <c r="C682" i="31"/>
  <c r="C684" i="31"/>
  <c r="C686" i="31"/>
  <c r="C688" i="31"/>
  <c r="C690" i="31"/>
  <c r="C692" i="31"/>
  <c r="C536" i="31"/>
  <c r="C538" i="31"/>
  <c r="C540" i="31"/>
  <c r="C542" i="31"/>
  <c r="C544" i="31"/>
  <c r="C546" i="31"/>
  <c r="C548" i="31"/>
  <c r="C550" i="31"/>
  <c r="C552" i="31"/>
  <c r="C554" i="31"/>
  <c r="C565" i="31"/>
  <c r="C567" i="31"/>
  <c r="C569" i="31"/>
  <c r="C571" i="31"/>
  <c r="C573" i="31"/>
  <c r="C575" i="31"/>
  <c r="C577" i="31"/>
  <c r="C579" i="31"/>
  <c r="C581" i="31"/>
  <c r="C583" i="31"/>
  <c r="C586" i="31"/>
  <c r="C587" i="31"/>
  <c r="C588" i="31"/>
  <c r="C589" i="31"/>
  <c r="C590" i="31"/>
  <c r="C601" i="31"/>
  <c r="C603" i="31"/>
  <c r="C605" i="31"/>
  <c r="C607" i="31"/>
  <c r="C609" i="31"/>
  <c r="C611" i="31"/>
  <c r="C613" i="31"/>
  <c r="C615" i="31"/>
  <c r="C617" i="31"/>
  <c r="C619" i="31"/>
  <c r="C620" i="31"/>
  <c r="C621" i="31"/>
  <c r="C622" i="31"/>
  <c r="C623" i="31"/>
  <c r="C624" i="31"/>
  <c r="C625" i="31"/>
  <c r="C626" i="31"/>
  <c r="C627" i="31"/>
  <c r="C628" i="31"/>
  <c r="C630" i="31"/>
  <c r="C632" i="31"/>
  <c r="C634" i="31"/>
  <c r="C636" i="31"/>
  <c r="C638" i="31"/>
  <c r="C640" i="31"/>
  <c r="C641" i="31"/>
  <c r="C642" i="31"/>
  <c r="C643" i="31"/>
  <c r="C644" i="31"/>
  <c r="C645" i="31"/>
  <c r="C646" i="31"/>
  <c r="C647" i="31"/>
  <c r="C648" i="31"/>
  <c r="C649" i="31"/>
  <c r="C650" i="31"/>
  <c r="C652" i="31"/>
  <c r="C654" i="31"/>
  <c r="C656" i="31"/>
  <c r="C658" i="31"/>
  <c r="C660" i="31"/>
  <c r="C662" i="31"/>
  <c r="C664" i="31"/>
  <c r="C666" i="31"/>
  <c r="C668" i="31"/>
  <c r="C670" i="31"/>
  <c r="C671" i="31"/>
  <c r="C672" i="31"/>
  <c r="C673" i="31"/>
  <c r="C674" i="31"/>
  <c r="C675" i="31"/>
  <c r="C676" i="31"/>
  <c r="C677" i="31"/>
  <c r="C678" i="31"/>
  <c r="C679" i="31"/>
  <c r="C681" i="31"/>
  <c r="C683" i="31"/>
  <c r="C685" i="31"/>
  <c r="C687" i="31"/>
  <c r="C689" i="31"/>
  <c r="C691" i="31"/>
  <c r="C693" i="31"/>
  <c r="C695" i="31"/>
  <c r="C697" i="31"/>
  <c r="C699" i="31"/>
  <c r="C700" i="31"/>
  <c r="C701" i="31"/>
  <c r="C702" i="31"/>
  <c r="C703" i="31"/>
  <c r="C704" i="31"/>
  <c r="C705" i="31"/>
  <c r="C706" i="31"/>
  <c r="C707" i="31"/>
  <c r="C708" i="31"/>
  <c r="C710" i="31"/>
  <c r="C712" i="31"/>
  <c r="C714" i="31"/>
  <c r="C716" i="31"/>
  <c r="C718" i="31"/>
  <c r="C720" i="31"/>
  <c r="C722" i="31"/>
  <c r="C724" i="31"/>
  <c r="C726" i="31"/>
  <c r="C728" i="31"/>
  <c r="C729" i="31"/>
  <c r="C730" i="31"/>
  <c r="C731" i="31"/>
  <c r="C732" i="31"/>
  <c r="C733" i="31"/>
  <c r="C735" i="31"/>
  <c r="C737" i="31"/>
  <c r="C739" i="31"/>
  <c r="C741" i="31"/>
  <c r="C743" i="31"/>
  <c r="C744" i="31"/>
  <c r="C745" i="31"/>
  <c r="C746" i="31"/>
  <c r="C747" i="31"/>
  <c r="C748" i="31"/>
  <c r="C750" i="31"/>
  <c r="C752" i="31"/>
  <c r="C754" i="31"/>
  <c r="C756" i="31"/>
  <c r="C758" i="31"/>
  <c r="C759" i="31"/>
  <c r="C760" i="31"/>
  <c r="C761" i="31"/>
  <c r="C762" i="31"/>
  <c r="C763" i="31"/>
  <c r="C764" i="31"/>
  <c r="C765" i="31"/>
  <c r="C766" i="31"/>
  <c r="C767" i="31"/>
  <c r="C769" i="31"/>
  <c r="C771" i="31"/>
  <c r="C773" i="31"/>
  <c r="C775" i="31"/>
  <c r="C777" i="31"/>
  <c r="C779" i="31"/>
  <c r="C781" i="31"/>
  <c r="C783" i="31"/>
  <c r="C785" i="31"/>
  <c r="C787" i="31"/>
  <c r="C788" i="31"/>
  <c r="C789" i="31"/>
  <c r="C790" i="31"/>
  <c r="C791" i="31"/>
  <c r="C792" i="31"/>
  <c r="C793" i="31"/>
  <c r="C794" i="31"/>
  <c r="C795" i="31"/>
  <c r="C796" i="31"/>
  <c r="C798" i="31"/>
  <c r="C800" i="31"/>
  <c r="C802" i="31"/>
  <c r="C804" i="31"/>
  <c r="C806" i="31"/>
  <c r="C808" i="31"/>
  <c r="C810" i="31"/>
  <c r="C812" i="31"/>
  <c r="C814" i="31"/>
  <c r="C816" i="31"/>
  <c r="C817" i="31"/>
  <c r="C818" i="31"/>
  <c r="C819" i="31"/>
  <c r="C820" i="31"/>
  <c r="C694" i="31"/>
  <c r="C696" i="31"/>
  <c r="C698" i="31"/>
  <c r="C709" i="31"/>
  <c r="C711" i="31"/>
  <c r="C713" i="31"/>
  <c r="C715" i="31"/>
  <c r="C717" i="31"/>
  <c r="C719" i="31"/>
  <c r="C721" i="31"/>
  <c r="C723" i="31"/>
  <c r="C725" i="31"/>
  <c r="C727" i="31"/>
  <c r="C734" i="31"/>
  <c r="C736" i="31"/>
  <c r="C738" i="31"/>
  <c r="C740" i="31"/>
  <c r="C742" i="31"/>
  <c r="C749" i="31"/>
  <c r="C751" i="31"/>
  <c r="C753" i="31"/>
  <c r="C755" i="31"/>
  <c r="C757" i="31"/>
  <c r="C768" i="31"/>
  <c r="C770" i="31"/>
  <c r="C772" i="31"/>
  <c r="C774" i="31"/>
  <c r="C776" i="31"/>
  <c r="C778" i="31"/>
  <c r="C780" i="31"/>
  <c r="C782" i="31"/>
  <c r="C784" i="31"/>
  <c r="C786" i="31"/>
  <c r="C797" i="31"/>
  <c r="C799" i="31"/>
  <c r="C801" i="31"/>
  <c r="C803" i="31"/>
  <c r="C805" i="31"/>
  <c r="C807" i="31"/>
  <c r="C809" i="31"/>
  <c r="C811" i="31"/>
  <c r="C813" i="31"/>
  <c r="C815" i="31"/>
  <c r="C826" i="31"/>
  <c r="C821" i="31"/>
  <c r="C822" i="31"/>
  <c r="C823" i="31"/>
  <c r="C824" i="31"/>
  <c r="C825" i="31"/>
  <c r="C828" i="31"/>
  <c r="C830" i="31"/>
  <c r="C832" i="31"/>
  <c r="C834" i="31"/>
  <c r="C836" i="31"/>
  <c r="C838" i="31"/>
  <c r="C840" i="31"/>
  <c r="C842" i="31"/>
  <c r="C844" i="31"/>
  <c r="C827" i="31"/>
  <c r="C829" i="31"/>
  <c r="C831" i="31"/>
  <c r="C833" i="31"/>
  <c r="C835" i="31"/>
  <c r="C837" i="31"/>
  <c r="C839" i="31"/>
  <c r="C841" i="31"/>
  <c r="C843" i="31"/>
  <c r="E9" i="31"/>
  <c r="E535" i="31"/>
  <c r="E536" i="31"/>
  <c r="E537" i="31"/>
  <c r="E538" i="31"/>
  <c r="E539" i="31"/>
  <c r="E540" i="31"/>
  <c r="E541" i="31"/>
  <c r="E542" i="31"/>
  <c r="E543" i="31"/>
  <c r="E544" i="31"/>
  <c r="E564" i="31"/>
  <c r="E565" i="31"/>
  <c r="E566" i="31"/>
  <c r="E567" i="31"/>
  <c r="E568" i="31"/>
  <c r="E569" i="31"/>
  <c r="E570" i="31"/>
  <c r="E571" i="31"/>
  <c r="E572" i="31"/>
  <c r="E573" i="31"/>
  <c r="E590" i="31"/>
  <c r="E600" i="31"/>
  <c r="E601" i="31"/>
  <c r="E602" i="31"/>
  <c r="E603" i="31"/>
  <c r="E604" i="31"/>
  <c r="E605" i="31"/>
  <c r="E606" i="31"/>
  <c r="E607" i="31"/>
  <c r="E608" i="31"/>
  <c r="E609" i="31"/>
  <c r="E628" i="31"/>
  <c r="E629" i="31"/>
  <c r="E630" i="31"/>
  <c r="E631" i="31"/>
  <c r="E632" i="31"/>
  <c r="E650" i="31"/>
  <c r="E651" i="31"/>
  <c r="E652" i="31"/>
  <c r="E653" i="31"/>
  <c r="E654" i="31"/>
  <c r="E655" i="31"/>
  <c r="E656" i="31"/>
  <c r="E657" i="31"/>
  <c r="E658" i="31"/>
  <c r="E659" i="31"/>
  <c r="E679" i="31"/>
  <c r="E680" i="31"/>
  <c r="E681" i="31"/>
  <c r="E682" i="31"/>
  <c r="E683" i="31"/>
  <c r="E684" i="31"/>
  <c r="E685" i="31"/>
  <c r="E686" i="31"/>
  <c r="E687" i="31"/>
  <c r="E688" i="31"/>
  <c r="E708" i="31"/>
  <c r="E709" i="31"/>
  <c r="E710" i="31"/>
  <c r="E711" i="31"/>
  <c r="E712" i="31"/>
  <c r="E713" i="31"/>
  <c r="E714" i="31"/>
  <c r="E715" i="31"/>
  <c r="E716" i="31"/>
  <c r="E717" i="31"/>
  <c r="E733" i="31"/>
  <c r="E734" i="31"/>
  <c r="E735" i="31"/>
  <c r="E736" i="31"/>
  <c r="E737" i="31"/>
  <c r="E748" i="31"/>
  <c r="E749" i="31"/>
  <c r="E750" i="31"/>
  <c r="E751" i="31"/>
  <c r="E752" i="31"/>
  <c r="E767" i="31"/>
  <c r="E768" i="31"/>
  <c r="E769" i="31"/>
  <c r="E770" i="31"/>
  <c r="E771" i="31"/>
  <c r="E772" i="31"/>
  <c r="E773" i="31"/>
  <c r="E774" i="31"/>
  <c r="E775" i="31"/>
  <c r="E776" i="31"/>
  <c r="E826" i="31"/>
  <c r="E829" i="31"/>
  <c r="E831" i="31"/>
  <c r="E833" i="31"/>
  <c r="E796" i="31"/>
  <c r="E797" i="31"/>
  <c r="E798" i="31"/>
  <c r="E799" i="31"/>
  <c r="E800" i="31"/>
  <c r="E801" i="31"/>
  <c r="E802" i="31"/>
  <c r="E803" i="31"/>
  <c r="E804" i="31"/>
  <c r="E805" i="31"/>
  <c r="E825" i="31"/>
  <c r="E827" i="31"/>
  <c r="E828" i="31"/>
  <c r="E830" i="31"/>
  <c r="E832" i="31"/>
  <c r="E834" i="31"/>
  <c r="U28" i="21"/>
  <c r="W17" i="21"/>
  <c r="U15" i="21"/>
  <c r="AC15" i="21"/>
  <c r="W43" i="21"/>
  <c r="U33" i="21"/>
  <c r="AC27" i="21"/>
  <c r="AA38" i="21"/>
  <c r="AC38" i="21"/>
  <c r="AB38" i="21"/>
  <c r="AB37" i="21"/>
  <c r="AB34" i="21"/>
  <c r="S40" i="21"/>
  <c r="U42" i="21"/>
  <c r="W25" i="21"/>
  <c r="S23" i="21"/>
  <c r="S10" i="21"/>
  <c r="W8" i="21"/>
  <c r="AC9" i="21"/>
  <c r="B74" i="43"/>
  <c r="C27" i="39"/>
  <c r="U31" i="39"/>
  <c r="AC31" i="39"/>
  <c r="S35" i="39"/>
  <c r="AA35" i="39"/>
  <c r="S36" i="39"/>
  <c r="AA36" i="39"/>
  <c r="H35" i="39"/>
  <c r="J36" i="39"/>
  <c r="AC36" i="39" s="1"/>
  <c r="AB39" i="39"/>
  <c r="AA12" i="21"/>
  <c r="S12" i="21"/>
  <c r="W14" i="21"/>
  <c r="AC14" i="21"/>
  <c r="H14" i="21"/>
  <c r="H12" i="21"/>
  <c r="AB12" i="21" s="1"/>
  <c r="W12" i="39"/>
  <c r="AC12" i="39"/>
  <c r="AA14" i="39"/>
  <c r="S14" i="39"/>
  <c r="W13" i="39"/>
  <c r="AC13" i="39"/>
  <c r="J14" i="39"/>
  <c r="C115" i="57"/>
  <c r="H111" i="57" s="1"/>
  <c r="C106" i="9"/>
  <c r="H102" i="9" s="1"/>
  <c r="B103" i="9"/>
  <c r="D47" i="15"/>
  <c r="D37" i="11"/>
  <c r="C37" i="11" s="1"/>
  <c r="F43" i="15"/>
  <c r="F72" i="15" s="1"/>
  <c r="D10" i="11"/>
  <c r="C10" i="1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C116" i="9"/>
  <c r="H114" i="9" s="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37" i="31" l="1"/>
  <c r="E51" i="31"/>
  <c r="E53" i="31"/>
  <c r="E55" i="31"/>
  <c r="E67" i="31"/>
  <c r="E69" i="31"/>
  <c r="E71" i="31"/>
  <c r="E83" i="31"/>
  <c r="E85" i="31"/>
  <c r="E87" i="31"/>
  <c r="E99" i="31"/>
  <c r="E101" i="31"/>
  <c r="E103" i="31"/>
  <c r="E115" i="31"/>
  <c r="E117" i="31"/>
  <c r="E119" i="31"/>
  <c r="E131" i="31"/>
  <c r="E133" i="31"/>
  <c r="E135" i="31"/>
  <c r="E147" i="31"/>
  <c r="E149" i="31"/>
  <c r="E151" i="31"/>
  <c r="E163" i="31"/>
  <c r="E165" i="31"/>
  <c r="E167" i="31"/>
  <c r="E179" i="31"/>
  <c r="E181" i="31"/>
  <c r="E183" i="31"/>
  <c r="E195" i="31"/>
  <c r="E197" i="31"/>
  <c r="E199" i="31"/>
  <c r="E215" i="31"/>
  <c r="E217" i="31"/>
  <c r="E219" i="31"/>
  <c r="E221" i="31"/>
  <c r="E223" i="31"/>
  <c r="E245" i="31"/>
  <c r="E247" i="31"/>
  <c r="E249" i="31"/>
  <c r="E251" i="31"/>
  <c r="E253" i="31"/>
  <c r="E273" i="31"/>
  <c r="E275" i="31"/>
  <c r="E277" i="31"/>
  <c r="E279" i="31"/>
  <c r="E281" i="31"/>
  <c r="E303" i="31"/>
  <c r="E305" i="31"/>
  <c r="E307" i="31"/>
  <c r="E309" i="31"/>
  <c r="E311" i="31"/>
  <c r="E331" i="31"/>
  <c r="E333" i="31"/>
  <c r="E335" i="31"/>
  <c r="E337" i="31"/>
  <c r="E339" i="31"/>
  <c r="E361" i="31"/>
  <c r="E363" i="31"/>
  <c r="E365" i="31"/>
  <c r="E367" i="31"/>
  <c r="E369" i="31"/>
  <c r="E389" i="31"/>
  <c r="E391" i="31"/>
  <c r="E393" i="31"/>
  <c r="E395" i="31"/>
  <c r="E397" i="31"/>
  <c r="E419" i="31"/>
  <c r="E421" i="31"/>
  <c r="E423" i="31"/>
  <c r="E425" i="31"/>
  <c r="E427" i="31"/>
  <c r="E447" i="31"/>
  <c r="E449" i="31"/>
  <c r="E451" i="31"/>
  <c r="E453" i="31"/>
  <c r="E455" i="31"/>
  <c r="E477" i="31"/>
  <c r="E479" i="31"/>
  <c r="E481" i="31"/>
  <c r="E483" i="31"/>
  <c r="E485" i="31"/>
  <c r="E501" i="31"/>
  <c r="E503" i="31"/>
  <c r="E505" i="31"/>
  <c r="E516" i="31"/>
  <c r="E32" i="31"/>
  <c r="E38" i="31"/>
  <c r="E50" i="31"/>
  <c r="E52" i="31"/>
  <c r="E54" i="31"/>
  <c r="E66" i="31"/>
  <c r="E68" i="31"/>
  <c r="E70" i="31"/>
  <c r="E82" i="31"/>
  <c r="E84" i="31"/>
  <c r="E86" i="31"/>
  <c r="E98" i="31"/>
  <c r="E100" i="31"/>
  <c r="E102" i="31"/>
  <c r="E114" i="31"/>
  <c r="E116" i="31"/>
  <c r="E118" i="31"/>
  <c r="E130" i="31"/>
  <c r="E132" i="31"/>
  <c r="E134" i="31"/>
  <c r="E146" i="31"/>
  <c r="E148" i="31"/>
  <c r="E150" i="31"/>
  <c r="E162" i="31"/>
  <c r="E164" i="31"/>
  <c r="E166" i="31"/>
  <c r="E178" i="31"/>
  <c r="E180" i="31"/>
  <c r="E182" i="31"/>
  <c r="E194" i="31"/>
  <c r="E196" i="31"/>
  <c r="E198" i="31"/>
  <c r="E216" i="31"/>
  <c r="E218" i="31"/>
  <c r="E220" i="31"/>
  <c r="E222" i="31"/>
  <c r="E224" i="31"/>
  <c r="E244" i="31"/>
  <c r="E246" i="31"/>
  <c r="E248" i="31"/>
  <c r="E250" i="31"/>
  <c r="E252" i="31"/>
  <c r="E274" i="31"/>
  <c r="E276" i="31"/>
  <c r="E278" i="31"/>
  <c r="E280" i="31"/>
  <c r="E282" i="31"/>
  <c r="E302" i="31"/>
  <c r="E304" i="31"/>
  <c r="E306" i="31"/>
  <c r="E308" i="31"/>
  <c r="E310" i="31"/>
  <c r="E332" i="31"/>
  <c r="E334" i="31"/>
  <c r="E336" i="31"/>
  <c r="E338" i="31"/>
  <c r="E340" i="31"/>
  <c r="E360" i="31"/>
  <c r="E362" i="31"/>
  <c r="E364" i="31"/>
  <c r="E366" i="31"/>
  <c r="E368" i="31"/>
  <c r="E390" i="31"/>
  <c r="E392" i="31"/>
  <c r="E394" i="31"/>
  <c r="E396" i="31"/>
  <c r="E398" i="31"/>
  <c r="E418" i="31"/>
  <c r="E420" i="31"/>
  <c r="E422" i="31"/>
  <c r="E424" i="31"/>
  <c r="E426" i="31"/>
  <c r="E448" i="31"/>
  <c r="E450" i="31"/>
  <c r="E452" i="31"/>
  <c r="E454" i="31"/>
  <c r="E456" i="31"/>
  <c r="E476" i="31"/>
  <c r="E478" i="31"/>
  <c r="E480" i="31"/>
  <c r="E482" i="31"/>
  <c r="E484" i="31"/>
  <c r="E502" i="31"/>
  <c r="E504" i="31"/>
  <c r="E517" i="31"/>
  <c r="E518" i="31"/>
  <c r="E520" i="31"/>
  <c r="E519" i="31"/>
  <c r="B124" i="57"/>
  <c r="G124" i="57" s="1"/>
  <c r="H102" i="57"/>
  <c r="F9" i="31"/>
  <c r="G9" i="31" s="1"/>
  <c r="H9" i="31" s="1"/>
  <c r="I9" i="31" s="1"/>
  <c r="J9" i="31" s="1"/>
  <c r="K9" i="31" s="1"/>
  <c r="L9" i="31" s="1"/>
  <c r="M9" i="31" s="1"/>
  <c r="N9" i="31" s="1"/>
  <c r="O9" i="31" s="1"/>
  <c r="P9" i="31" s="1"/>
  <c r="Q9" i="31" s="1"/>
  <c r="R9" i="31" s="1"/>
  <c r="S9" i="31" s="1"/>
  <c r="E545" i="31"/>
  <c r="E546" i="31"/>
  <c r="E547" i="31"/>
  <c r="E548" i="31"/>
  <c r="E549" i="31"/>
  <c r="E550" i="31"/>
  <c r="E551" i="31"/>
  <c r="E552" i="31"/>
  <c r="E553" i="31"/>
  <c r="E554" i="31"/>
  <c r="E574" i="31"/>
  <c r="E575" i="31"/>
  <c r="E576" i="31"/>
  <c r="E577" i="31"/>
  <c r="E578" i="31"/>
  <c r="E579" i="31"/>
  <c r="E580" i="31"/>
  <c r="E581" i="31"/>
  <c r="E582" i="31"/>
  <c r="E583" i="31"/>
  <c r="E585" i="31"/>
  <c r="E610" i="31"/>
  <c r="E611" i="31"/>
  <c r="E612" i="31"/>
  <c r="E613" i="31"/>
  <c r="E614" i="31"/>
  <c r="E615" i="31"/>
  <c r="E616" i="31"/>
  <c r="E617" i="31"/>
  <c r="E618" i="31"/>
  <c r="E633" i="31"/>
  <c r="E634" i="31"/>
  <c r="E635" i="31"/>
  <c r="E636" i="31"/>
  <c r="E637" i="31"/>
  <c r="E638" i="31"/>
  <c r="E639" i="31"/>
  <c r="E660" i="31"/>
  <c r="E661" i="31"/>
  <c r="E662" i="31"/>
  <c r="E663" i="31"/>
  <c r="E664" i="31"/>
  <c r="E665" i="31"/>
  <c r="E666" i="31"/>
  <c r="E667" i="31"/>
  <c r="E668" i="31"/>
  <c r="E669" i="31"/>
  <c r="E689" i="31"/>
  <c r="E690" i="31"/>
  <c r="E691" i="31"/>
  <c r="E692" i="31"/>
  <c r="E693" i="31"/>
  <c r="E694" i="31"/>
  <c r="E695" i="31"/>
  <c r="E696" i="31"/>
  <c r="E697" i="31"/>
  <c r="E698" i="31"/>
  <c r="E718" i="31"/>
  <c r="E719" i="31"/>
  <c r="E720" i="31"/>
  <c r="E721" i="31"/>
  <c r="E722" i="31"/>
  <c r="E723" i="31"/>
  <c r="E724" i="31"/>
  <c r="E725" i="31"/>
  <c r="E726" i="31"/>
  <c r="E727" i="31"/>
  <c r="E738" i="31"/>
  <c r="E739" i="31"/>
  <c r="E740" i="31"/>
  <c r="E741" i="31"/>
  <c r="E742" i="31"/>
  <c r="E753" i="31"/>
  <c r="E754" i="31"/>
  <c r="E755" i="31"/>
  <c r="E756" i="31"/>
  <c r="E757" i="31"/>
  <c r="E777" i="31"/>
  <c r="E778" i="31"/>
  <c r="E779" i="31"/>
  <c r="E780" i="31"/>
  <c r="E781" i="31"/>
  <c r="E782" i="31"/>
  <c r="E783" i="31"/>
  <c r="E835" i="31"/>
  <c r="E837" i="31"/>
  <c r="E839" i="31"/>
  <c r="E841" i="31"/>
  <c r="E843" i="31"/>
  <c r="E784" i="31"/>
  <c r="E785" i="31"/>
  <c r="E786" i="31"/>
  <c r="E806" i="31"/>
  <c r="E807" i="31"/>
  <c r="E808" i="31"/>
  <c r="E809" i="31"/>
  <c r="E810" i="31"/>
  <c r="E811" i="31"/>
  <c r="E812" i="31"/>
  <c r="E813" i="31"/>
  <c r="E814" i="31"/>
  <c r="E815" i="31"/>
  <c r="E836" i="31"/>
  <c r="E838" i="31"/>
  <c r="E840" i="31"/>
  <c r="E842" i="31"/>
  <c r="E844" i="31"/>
  <c r="E226" i="31"/>
  <c r="E228" i="31"/>
  <c r="E230" i="31"/>
  <c r="E232" i="31"/>
  <c r="E234" i="31"/>
  <c r="E254" i="31"/>
  <c r="E256" i="31"/>
  <c r="E258" i="31"/>
  <c r="E260" i="31"/>
  <c r="E262" i="31"/>
  <c r="E284" i="31"/>
  <c r="E286" i="31"/>
  <c r="E288" i="31"/>
  <c r="E290" i="31"/>
  <c r="E292" i="31"/>
  <c r="E312" i="31"/>
  <c r="E314" i="31"/>
  <c r="E316" i="31"/>
  <c r="E318" i="31"/>
  <c r="E320" i="31"/>
  <c r="E342" i="31"/>
  <c r="E344" i="31"/>
  <c r="E346" i="31"/>
  <c r="E348" i="31"/>
  <c r="E350" i="31"/>
  <c r="E370" i="31"/>
  <c r="E372" i="31"/>
  <c r="E374" i="31"/>
  <c r="E376" i="31"/>
  <c r="E378" i="31"/>
  <c r="E400" i="31"/>
  <c r="E402" i="31"/>
  <c r="E404" i="31"/>
  <c r="E406" i="31"/>
  <c r="E408" i="31"/>
  <c r="E428" i="31"/>
  <c r="E430" i="31"/>
  <c r="E432" i="31"/>
  <c r="E434" i="31"/>
  <c r="E436" i="31"/>
  <c r="E458" i="31"/>
  <c r="E460" i="31"/>
  <c r="E462" i="31"/>
  <c r="E464" i="31"/>
  <c r="E466" i="31"/>
  <c r="E486" i="31"/>
  <c r="E488" i="31"/>
  <c r="E490" i="31"/>
  <c r="E492" i="31"/>
  <c r="E494" i="31"/>
  <c r="E506" i="31"/>
  <c r="E508" i="31"/>
  <c r="E510" i="31"/>
  <c r="E522" i="31"/>
  <c r="E524" i="31"/>
  <c r="E29" i="31"/>
  <c r="E28" i="31"/>
  <c r="E225" i="31"/>
  <c r="E227" i="31"/>
  <c r="E229" i="31"/>
  <c r="E231" i="31"/>
  <c r="E233" i="31"/>
  <c r="E255" i="31"/>
  <c r="E257" i="31"/>
  <c r="E259" i="31"/>
  <c r="E261" i="31"/>
  <c r="E263" i="31"/>
  <c r="E283" i="31"/>
  <c r="E285" i="31"/>
  <c r="E287" i="31"/>
  <c r="E289" i="31"/>
  <c r="E291" i="31"/>
  <c r="E313" i="31"/>
  <c r="E315" i="31"/>
  <c r="E317" i="31"/>
  <c r="E319" i="31"/>
  <c r="E321" i="31"/>
  <c r="E341" i="31"/>
  <c r="E343" i="31"/>
  <c r="E345" i="31"/>
  <c r="E347" i="31"/>
  <c r="E349" i="31"/>
  <c r="E371" i="31"/>
  <c r="E373" i="31"/>
  <c r="E375" i="31"/>
  <c r="E377" i="31"/>
  <c r="E379" i="31"/>
  <c r="E399" i="31"/>
  <c r="E401" i="31"/>
  <c r="E403" i="31"/>
  <c r="E405" i="31"/>
  <c r="E407" i="31"/>
  <c r="E429" i="31"/>
  <c r="E431" i="31"/>
  <c r="E433" i="31"/>
  <c r="E435" i="31"/>
  <c r="E437" i="31"/>
  <c r="E457" i="31"/>
  <c r="E459" i="31"/>
  <c r="E461" i="31"/>
  <c r="E463" i="31"/>
  <c r="E465" i="31"/>
  <c r="E487" i="31"/>
  <c r="E489" i="31"/>
  <c r="E491" i="31"/>
  <c r="E493" i="31"/>
  <c r="E495" i="31"/>
  <c r="E507" i="31"/>
  <c r="E509" i="31"/>
  <c r="E521" i="31"/>
  <c r="E523" i="31"/>
  <c r="E525" i="31"/>
  <c r="E30" i="31"/>
  <c r="C34" i="15"/>
  <c r="U35" i="39"/>
  <c r="AB35" i="39"/>
  <c r="AB14" i="21"/>
  <c r="U14" i="21"/>
  <c r="W14" i="39"/>
  <c r="AC14"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E124" i="57" l="1"/>
  <c r="J7" i="36"/>
  <c r="G43" i="35"/>
  <c r="H43" i="35" s="1"/>
  <c r="Q59" i="15"/>
  <c r="K54" i="15"/>
  <c r="J54"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L47" i="15"/>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5"/>
  <c r="E2" i="33"/>
  <c r="E2" i="34"/>
  <c r="D20" i="57"/>
  <c r="E2" i="11"/>
  <c r="D19" i="9"/>
  <c r="E2" i="21"/>
  <c r="E2" i="36"/>
  <c r="D20" i="9"/>
  <c r="D103" i="57" l="1"/>
  <c r="B2" i="36"/>
  <c r="B3" i="36" s="1"/>
  <c r="B2" i="34"/>
  <c r="B3" i="34" s="1"/>
  <c r="B2" i="35"/>
  <c r="B2" i="37"/>
  <c r="B3" i="37" s="1"/>
  <c r="B2" i="33"/>
  <c r="B3" i="33" s="1"/>
  <c r="B2" i="21"/>
  <c r="D101" i="9"/>
  <c r="B2" i="11"/>
  <c r="G20" i="9"/>
  <c r="D102" i="9"/>
  <c r="Q65" i="15"/>
  <c r="L58" i="15"/>
  <c r="L61" i="15" s="1"/>
  <c r="O68" i="39"/>
  <c r="O70" i="39" s="1"/>
  <c r="N70" i="39"/>
  <c r="O63" i="40"/>
  <c r="O65" i="40" s="1"/>
  <c r="N65" i="40"/>
  <c r="D19" i="57"/>
  <c r="C19" i="9"/>
  <c r="C19" i="57"/>
  <c r="C102" i="57" l="1"/>
  <c r="B3" i="21"/>
  <c r="Q64" i="15"/>
  <c r="Q73" i="15" s="1"/>
  <c r="Q55" i="15"/>
  <c r="Q60" i="15" s="1"/>
  <c r="D22" i="57"/>
  <c r="D102" i="57"/>
  <c r="G19" i="57"/>
  <c r="C105" i="57" s="1"/>
  <c r="C101" i="9"/>
  <c r="D22" i="9"/>
  <c r="G19" i="9"/>
  <c r="C32" i="9" s="1"/>
  <c r="H7" i="40"/>
  <c r="F7" i="40"/>
  <c r="J7" i="40"/>
  <c r="H7" i="39"/>
  <c r="F7" i="39"/>
  <c r="J7" i="39"/>
  <c r="C20" i="57"/>
  <c r="C103" i="57" l="1"/>
  <c r="G20" i="57"/>
  <c r="R27" i="31"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R529" i="31" l="1"/>
  <c r="R533" i="31"/>
  <c r="R537" i="31"/>
  <c r="R541" i="31"/>
  <c r="R545" i="31"/>
  <c r="R549" i="31"/>
  <c r="R553" i="31"/>
  <c r="R557" i="31"/>
  <c r="R561" i="31"/>
  <c r="R565" i="31"/>
  <c r="R569" i="31"/>
  <c r="R573" i="31"/>
  <c r="R577" i="31"/>
  <c r="R581" i="31"/>
  <c r="R586" i="31"/>
  <c r="R590" i="31"/>
  <c r="R594" i="31"/>
  <c r="R598" i="31"/>
  <c r="R602" i="31"/>
  <c r="R606" i="31"/>
  <c r="R610" i="31"/>
  <c r="R614" i="31"/>
  <c r="R618" i="31"/>
  <c r="R622" i="31"/>
  <c r="R626" i="31"/>
  <c r="R630" i="31"/>
  <c r="R634" i="31"/>
  <c r="R638" i="31"/>
  <c r="R642" i="31"/>
  <c r="R646" i="31"/>
  <c r="R650" i="31"/>
  <c r="R680" i="31"/>
  <c r="R684" i="31"/>
  <c r="R688" i="31"/>
  <c r="R692" i="31"/>
  <c r="R696" i="31"/>
  <c r="R700" i="31"/>
  <c r="R704" i="31"/>
  <c r="R708" i="31"/>
  <c r="R712" i="31"/>
  <c r="R716" i="31"/>
  <c r="R722" i="31"/>
  <c r="R728" i="31"/>
  <c r="R732" i="31"/>
  <c r="R736" i="31"/>
  <c r="R741" i="31"/>
  <c r="R745" i="31"/>
  <c r="R749" i="31"/>
  <c r="R753" i="31"/>
  <c r="R757" i="31"/>
  <c r="R761" i="31"/>
  <c r="R765" i="31"/>
  <c r="R769" i="31"/>
  <c r="R773" i="31"/>
  <c r="R777" i="31"/>
  <c r="R781" i="31"/>
  <c r="R785" i="31"/>
  <c r="R789" i="31"/>
  <c r="R793" i="31"/>
  <c r="R797" i="31"/>
  <c r="R801" i="31"/>
  <c r="R805" i="31"/>
  <c r="R809" i="31"/>
  <c r="R813" i="31"/>
  <c r="R817" i="31"/>
  <c r="R821" i="31"/>
  <c r="R825" i="31"/>
  <c r="R829" i="31"/>
  <c r="R832" i="31"/>
  <c r="R836" i="31"/>
  <c r="R531" i="31"/>
  <c r="R535" i="31"/>
  <c r="R539" i="31"/>
  <c r="R543" i="31"/>
  <c r="R547" i="31"/>
  <c r="R551" i="31"/>
  <c r="R555" i="31"/>
  <c r="R559" i="31"/>
  <c r="R563" i="31"/>
  <c r="R567" i="31"/>
  <c r="R571" i="31"/>
  <c r="R575" i="31"/>
  <c r="R579" i="31"/>
  <c r="R583" i="31"/>
  <c r="R588" i="31"/>
  <c r="R592" i="31"/>
  <c r="R596" i="31"/>
  <c r="R600" i="31"/>
  <c r="R604" i="31"/>
  <c r="R608" i="31"/>
  <c r="R612" i="31"/>
  <c r="R616" i="31"/>
  <c r="R620" i="31"/>
  <c r="R624" i="31"/>
  <c r="R628" i="31"/>
  <c r="R632" i="31"/>
  <c r="R636" i="31"/>
  <c r="R640" i="31"/>
  <c r="R644" i="31"/>
  <c r="R648" i="31"/>
  <c r="R652" i="31"/>
  <c r="R682" i="31"/>
  <c r="R686" i="31"/>
  <c r="R690" i="31"/>
  <c r="R694" i="31"/>
  <c r="R698" i="31"/>
  <c r="R702" i="31"/>
  <c r="R706" i="31"/>
  <c r="R710" i="31"/>
  <c r="R714" i="31"/>
  <c r="R718" i="31"/>
  <c r="R726" i="31"/>
  <c r="R730" i="31"/>
  <c r="R734" i="31"/>
  <c r="R739" i="31"/>
  <c r="R743" i="31"/>
  <c r="R747" i="31"/>
  <c r="R751" i="31"/>
  <c r="R755" i="31"/>
  <c r="R759" i="31"/>
  <c r="R763" i="31"/>
  <c r="R767" i="31"/>
  <c r="R771" i="31"/>
  <c r="R775" i="31"/>
  <c r="R779" i="31"/>
  <c r="R783" i="31"/>
  <c r="R787" i="31"/>
  <c r="R791" i="31"/>
  <c r="R795" i="31"/>
  <c r="R799" i="31"/>
  <c r="R803" i="31"/>
  <c r="R807" i="31"/>
  <c r="R811" i="31"/>
  <c r="R815" i="31"/>
  <c r="R819" i="31"/>
  <c r="R823" i="31"/>
  <c r="R827" i="31"/>
  <c r="R831" i="31"/>
  <c r="R834" i="31"/>
  <c r="R844" i="31"/>
  <c r="R840" i="31"/>
  <c r="R544" i="31"/>
  <c r="R542" i="31"/>
  <c r="R540" i="31"/>
  <c r="R538" i="31"/>
  <c r="R536" i="31"/>
  <c r="R534" i="31"/>
  <c r="R532" i="31"/>
  <c r="R841" i="31"/>
  <c r="R838" i="31"/>
  <c r="R826" i="31"/>
  <c r="R737" i="31"/>
  <c r="R735" i="31"/>
  <c r="R733" i="31"/>
  <c r="R731" i="31"/>
  <c r="R729" i="31"/>
  <c r="R727" i="31"/>
  <c r="R725" i="31"/>
  <c r="R723" i="31"/>
  <c r="R719" i="31"/>
  <c r="R715" i="31"/>
  <c r="R711" i="31"/>
  <c r="R707" i="31"/>
  <c r="R703" i="31"/>
  <c r="R699" i="31"/>
  <c r="R695" i="31"/>
  <c r="R691" i="31"/>
  <c r="R687" i="31"/>
  <c r="R683" i="31"/>
  <c r="R679" i="31"/>
  <c r="R724" i="31"/>
  <c r="R720" i="31"/>
  <c r="R842" i="31"/>
  <c r="R643" i="31"/>
  <c r="R641" i="31"/>
  <c r="R639" i="31"/>
  <c r="R637" i="31"/>
  <c r="R635" i="31"/>
  <c r="R633" i="31"/>
  <c r="R631" i="31"/>
  <c r="R530" i="31"/>
  <c r="R528" i="31"/>
  <c r="R843" i="31"/>
  <c r="R839" i="31"/>
  <c r="R837" i="31"/>
  <c r="R835" i="31"/>
  <c r="R833" i="31"/>
  <c r="R828" i="31"/>
  <c r="R824" i="31"/>
  <c r="R822" i="31"/>
  <c r="R820" i="31"/>
  <c r="R818" i="31"/>
  <c r="R816" i="31"/>
  <c r="R814" i="31"/>
  <c r="R812" i="31"/>
  <c r="R810" i="31"/>
  <c r="R808" i="31"/>
  <c r="R806" i="31"/>
  <c r="R804" i="31"/>
  <c r="R802" i="31"/>
  <c r="R800" i="31"/>
  <c r="R798" i="31"/>
  <c r="R796" i="31"/>
  <c r="R794" i="31"/>
  <c r="R792" i="31"/>
  <c r="R790" i="31"/>
  <c r="R788" i="31"/>
  <c r="R786" i="31"/>
  <c r="R784" i="31"/>
  <c r="R782" i="31"/>
  <c r="R780" i="31"/>
  <c r="R778" i="31"/>
  <c r="R776" i="31"/>
  <c r="R774" i="31"/>
  <c r="R772" i="31"/>
  <c r="R770" i="31"/>
  <c r="R768" i="31"/>
  <c r="R766" i="31"/>
  <c r="R764" i="31"/>
  <c r="R762" i="31"/>
  <c r="R760" i="31"/>
  <c r="R758" i="31"/>
  <c r="R756" i="31"/>
  <c r="R754" i="31"/>
  <c r="R752" i="31"/>
  <c r="R750" i="31"/>
  <c r="R748" i="31"/>
  <c r="R746" i="31"/>
  <c r="R744" i="31"/>
  <c r="R742" i="31"/>
  <c r="R740" i="31"/>
  <c r="R738" i="31"/>
  <c r="R721" i="31"/>
  <c r="R717" i="31"/>
  <c r="R713" i="31"/>
  <c r="R709" i="31"/>
  <c r="R705" i="31"/>
  <c r="R701" i="31"/>
  <c r="R697" i="31"/>
  <c r="R693" i="31"/>
  <c r="R689" i="31"/>
  <c r="R685" i="31"/>
  <c r="R681" i="31"/>
  <c r="R678" i="31"/>
  <c r="R676" i="31"/>
  <c r="R674" i="31"/>
  <c r="R672" i="31"/>
  <c r="R670" i="31"/>
  <c r="R668" i="31"/>
  <c r="R666" i="31"/>
  <c r="R664" i="31"/>
  <c r="R662" i="31"/>
  <c r="R660" i="31"/>
  <c r="R658" i="31"/>
  <c r="R656" i="31"/>
  <c r="R654" i="31"/>
  <c r="R629" i="31"/>
  <c r="R625" i="31"/>
  <c r="R621" i="31"/>
  <c r="R617" i="31"/>
  <c r="R675" i="31"/>
  <c r="R671" i="31"/>
  <c r="R667" i="31"/>
  <c r="R663" i="31"/>
  <c r="R659" i="31"/>
  <c r="R655" i="31"/>
  <c r="R651" i="31"/>
  <c r="R647" i="31"/>
  <c r="R627" i="31"/>
  <c r="R619" i="31"/>
  <c r="R609" i="31"/>
  <c r="R601" i="31"/>
  <c r="R593" i="31"/>
  <c r="R580" i="31"/>
  <c r="R568" i="31"/>
  <c r="R556" i="31"/>
  <c r="R550" i="31"/>
  <c r="R830" i="31"/>
  <c r="R677" i="31"/>
  <c r="R673" i="31"/>
  <c r="R669" i="31"/>
  <c r="R665" i="31"/>
  <c r="R661" i="31"/>
  <c r="R657" i="31"/>
  <c r="R653" i="31"/>
  <c r="R649" i="31"/>
  <c r="R645" i="31"/>
  <c r="R623" i="31"/>
  <c r="R615" i="31"/>
  <c r="R611" i="31"/>
  <c r="R607" i="31"/>
  <c r="R603" i="31"/>
  <c r="R599" i="31"/>
  <c r="R595" i="31"/>
  <c r="R591" i="31"/>
  <c r="R587" i="31"/>
  <c r="R582" i="31"/>
  <c r="R578" i="31"/>
  <c r="R574" i="31"/>
  <c r="R570" i="31"/>
  <c r="R566" i="31"/>
  <c r="R562" i="31"/>
  <c r="R584" i="31"/>
  <c r="R613" i="31"/>
  <c r="R605" i="31"/>
  <c r="R597" i="31"/>
  <c r="R589" i="31"/>
  <c r="R585" i="31"/>
  <c r="R576" i="31"/>
  <c r="R572" i="31"/>
  <c r="R564" i="31"/>
  <c r="R560" i="31"/>
  <c r="R558" i="31"/>
  <c r="R554" i="31"/>
  <c r="R552" i="31"/>
  <c r="R548" i="31"/>
  <c r="R546" i="31"/>
  <c r="S27" i="31"/>
  <c r="C32" i="57"/>
  <c r="T27" i="31"/>
  <c r="J5" i="67" s="1"/>
  <c r="R28" i="31"/>
  <c r="R38" i="31"/>
  <c r="R34" i="31"/>
  <c r="R527" i="31"/>
  <c r="R41" i="31"/>
  <c r="R37" i="31"/>
  <c r="R33" i="31"/>
  <c r="R31"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380" i="31"/>
  <c r="R376" i="31"/>
  <c r="R372" i="31"/>
  <c r="R368"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9" i="31"/>
  <c r="R205" i="31"/>
  <c r="R201" i="31"/>
  <c r="R197" i="31"/>
  <c r="R193" i="31"/>
  <c r="R29" i="31"/>
  <c r="R40" i="31"/>
  <c r="R36" i="31"/>
  <c r="R32" i="31"/>
  <c r="R525" i="31"/>
  <c r="R39" i="31"/>
  <c r="R35" i="31"/>
  <c r="R30" i="31"/>
  <c r="R526"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378" i="31"/>
  <c r="R374" i="31"/>
  <c r="R370" i="31"/>
  <c r="R366"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208" i="31"/>
  <c r="R204" i="31"/>
  <c r="R200" i="31"/>
  <c r="R196"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185" i="31"/>
  <c r="R177" i="31"/>
  <c r="R169" i="31"/>
  <c r="R161" i="31"/>
  <c r="R153" i="31"/>
  <c r="R145" i="31"/>
  <c r="R137" i="31"/>
  <c r="R129" i="31"/>
  <c r="R121" i="31"/>
  <c r="R113" i="31"/>
  <c r="R105" i="31"/>
  <c r="R97" i="31"/>
  <c r="R89" i="31"/>
  <c r="R81" i="31"/>
  <c r="R73" i="31"/>
  <c r="R65" i="31"/>
  <c r="R57" i="31"/>
  <c r="R49" i="31"/>
  <c r="R210" i="31"/>
  <c r="R202" i="31"/>
  <c r="R194" i="31"/>
  <c r="R186" i="31"/>
  <c r="R178" i="31"/>
  <c r="R170" i="31"/>
  <c r="R162" i="31"/>
  <c r="R154" i="31"/>
  <c r="R146" i="31"/>
  <c r="R138" i="31"/>
  <c r="R130" i="31"/>
  <c r="R122" i="31"/>
  <c r="R114" i="31"/>
  <c r="R106" i="31"/>
  <c r="R98" i="31"/>
  <c r="R90" i="31"/>
  <c r="R82" i="31"/>
  <c r="R74" i="31"/>
  <c r="R66" i="31"/>
  <c r="R58" i="31"/>
  <c r="R50" i="31"/>
  <c r="R42" i="31"/>
  <c r="R189" i="31"/>
  <c r="R181" i="31"/>
  <c r="R173" i="31"/>
  <c r="R165" i="31"/>
  <c r="R157" i="31"/>
  <c r="R149" i="31"/>
  <c r="R141" i="31"/>
  <c r="R133" i="31"/>
  <c r="R125" i="31"/>
  <c r="R117" i="31"/>
  <c r="R109" i="31"/>
  <c r="R101" i="31"/>
  <c r="R93" i="31"/>
  <c r="R85" i="31"/>
  <c r="R77" i="31"/>
  <c r="R69" i="31"/>
  <c r="R61" i="31"/>
  <c r="R53" i="31"/>
  <c r="R45" i="31"/>
  <c r="R206" i="31"/>
  <c r="R198" i="31"/>
  <c r="R190" i="31"/>
  <c r="R182" i="31"/>
  <c r="R174" i="31"/>
  <c r="R166" i="31"/>
  <c r="R158" i="31"/>
  <c r="R150" i="31"/>
  <c r="R142" i="31"/>
  <c r="R134" i="31"/>
  <c r="R126" i="31"/>
  <c r="R118" i="31"/>
  <c r="R110" i="31"/>
  <c r="R102" i="31"/>
  <c r="R94" i="31"/>
  <c r="R86" i="31"/>
  <c r="R78" i="31"/>
  <c r="R70" i="31"/>
  <c r="R62" i="31"/>
  <c r="R54" i="31"/>
  <c r="R46" i="31"/>
  <c r="G47" i="40"/>
  <c r="H47" i="40" s="1"/>
  <c r="G46" i="40"/>
  <c r="H46" i="40" s="1"/>
  <c r="I46" i="40"/>
  <c r="J46" i="40" s="1"/>
  <c r="R48" i="39"/>
  <c r="E47" i="39"/>
  <c r="R43" i="40"/>
  <c r="E42" i="40"/>
  <c r="G51" i="39"/>
  <c r="H51" i="39" s="1"/>
  <c r="G52" i="39"/>
  <c r="H52" i="39" s="1"/>
  <c r="T54" i="31" l="1"/>
  <c r="J32" i="67" s="1"/>
  <c r="S54" i="31"/>
  <c r="T86" i="31"/>
  <c r="J64" i="67" s="1"/>
  <c r="S86" i="31"/>
  <c r="T118" i="31"/>
  <c r="J96" i="67" s="1"/>
  <c r="S118" i="31"/>
  <c r="T150" i="31"/>
  <c r="J128" i="67" s="1"/>
  <c r="S150" i="31"/>
  <c r="T166" i="31"/>
  <c r="J144" i="67" s="1"/>
  <c r="S166" i="31"/>
  <c r="T198" i="31"/>
  <c r="J176" i="67" s="1"/>
  <c r="S198" i="31"/>
  <c r="S61" i="31"/>
  <c r="T61" i="31"/>
  <c r="J39" i="67" s="1"/>
  <c r="T93" i="31"/>
  <c r="J71" i="67" s="1"/>
  <c r="S93" i="31"/>
  <c r="T125" i="31"/>
  <c r="J103" i="67" s="1"/>
  <c r="S125" i="31"/>
  <c r="T141" i="31"/>
  <c r="J119" i="67" s="1"/>
  <c r="S141" i="31"/>
  <c r="T173" i="31"/>
  <c r="J151" i="67" s="1"/>
  <c r="S173" i="31"/>
  <c r="T50" i="31"/>
  <c r="J28" i="67" s="1"/>
  <c r="S50" i="31"/>
  <c r="T82" i="31"/>
  <c r="J60" i="67" s="1"/>
  <c r="S82" i="31"/>
  <c r="T46" i="31"/>
  <c r="J24" i="67" s="1"/>
  <c r="S46" i="31"/>
  <c r="T62" i="31"/>
  <c r="J40" i="67" s="1"/>
  <c r="S62" i="31"/>
  <c r="T78" i="31"/>
  <c r="J56" i="67" s="1"/>
  <c r="S78" i="31"/>
  <c r="T94" i="31"/>
  <c r="J72" i="67" s="1"/>
  <c r="S94" i="31"/>
  <c r="T110" i="31"/>
  <c r="J88" i="67" s="1"/>
  <c r="S110" i="31"/>
  <c r="T126" i="31"/>
  <c r="J104" i="67" s="1"/>
  <c r="S126" i="31"/>
  <c r="T142" i="31"/>
  <c r="J120" i="67" s="1"/>
  <c r="S142" i="31"/>
  <c r="T158" i="31"/>
  <c r="J136" i="67" s="1"/>
  <c r="S158" i="31"/>
  <c r="T174" i="31"/>
  <c r="J152" i="67" s="1"/>
  <c r="S174" i="31"/>
  <c r="T190" i="31"/>
  <c r="J168" i="67" s="1"/>
  <c r="S190" i="31"/>
  <c r="T206" i="31"/>
  <c r="J184" i="67" s="1"/>
  <c r="S206" i="31"/>
  <c r="S53" i="31"/>
  <c r="T53" i="31"/>
  <c r="J31" i="67" s="1"/>
  <c r="S69" i="31"/>
  <c r="T69" i="31"/>
  <c r="J47" i="67" s="1"/>
  <c r="T85" i="31"/>
  <c r="J63" i="67" s="1"/>
  <c r="S85" i="31"/>
  <c r="T101" i="31"/>
  <c r="J79" i="67" s="1"/>
  <c r="S101" i="31"/>
  <c r="T117" i="31"/>
  <c r="J95" i="67" s="1"/>
  <c r="S117" i="31"/>
  <c r="T133" i="31"/>
  <c r="J111" i="67" s="1"/>
  <c r="S133" i="31"/>
  <c r="T149" i="31"/>
  <c r="J127" i="67" s="1"/>
  <c r="S149" i="31"/>
  <c r="T165" i="31"/>
  <c r="J143" i="67" s="1"/>
  <c r="S165" i="31"/>
  <c r="T181" i="31"/>
  <c r="J159" i="67" s="1"/>
  <c r="S181" i="31"/>
  <c r="T42" i="31"/>
  <c r="J20" i="67" s="1"/>
  <c r="S42" i="31"/>
  <c r="T58" i="31"/>
  <c r="J36" i="67" s="1"/>
  <c r="S58" i="31"/>
  <c r="T74" i="31"/>
  <c r="J52" i="67" s="1"/>
  <c r="S74" i="31"/>
  <c r="T90" i="31"/>
  <c r="J68" i="67" s="1"/>
  <c r="S90" i="31"/>
  <c r="T106" i="31"/>
  <c r="J84" i="67" s="1"/>
  <c r="S106" i="31"/>
  <c r="T122" i="31"/>
  <c r="J100" i="67" s="1"/>
  <c r="S122" i="31"/>
  <c r="T138" i="31"/>
  <c r="J116" i="67" s="1"/>
  <c r="S138" i="31"/>
  <c r="T154" i="31"/>
  <c r="J132" i="67" s="1"/>
  <c r="S154" i="31"/>
  <c r="T170" i="31"/>
  <c r="J148" i="67" s="1"/>
  <c r="S170" i="31"/>
  <c r="T186" i="31"/>
  <c r="J164" i="67" s="1"/>
  <c r="S186" i="31"/>
  <c r="T202" i="31"/>
  <c r="J180" i="67" s="1"/>
  <c r="S202" i="31"/>
  <c r="S49" i="31"/>
  <c r="T49" i="31"/>
  <c r="J27" i="67" s="1"/>
  <c r="S65" i="31"/>
  <c r="T65" i="31"/>
  <c r="J43" i="67" s="1"/>
  <c r="T81" i="31"/>
  <c r="J59" i="67" s="1"/>
  <c r="S81" i="31"/>
  <c r="T97" i="31"/>
  <c r="J75" i="67" s="1"/>
  <c r="S97" i="31"/>
  <c r="T113" i="31"/>
  <c r="J91" i="67" s="1"/>
  <c r="S113" i="31"/>
  <c r="T129" i="31"/>
  <c r="J107" i="67" s="1"/>
  <c r="S129" i="31"/>
  <c r="T145" i="31"/>
  <c r="J123" i="67" s="1"/>
  <c r="S145" i="31"/>
  <c r="T161" i="31"/>
  <c r="J139" i="67" s="1"/>
  <c r="S161" i="31"/>
  <c r="T177" i="31"/>
  <c r="J155" i="67" s="1"/>
  <c r="S177" i="31"/>
  <c r="S44" i="31"/>
  <c r="T44" i="31"/>
  <c r="J22" i="67" s="1"/>
  <c r="S52" i="31"/>
  <c r="T52" i="31"/>
  <c r="J30" i="67" s="1"/>
  <c r="T60" i="31"/>
  <c r="J38" i="67" s="1"/>
  <c r="S60" i="31"/>
  <c r="T68" i="31"/>
  <c r="J46" i="67" s="1"/>
  <c r="S68" i="31"/>
  <c r="S76" i="31"/>
  <c r="T76" i="31"/>
  <c r="J54" i="67" s="1"/>
  <c r="T84" i="31"/>
  <c r="J62" i="67" s="1"/>
  <c r="S84" i="31"/>
  <c r="T92" i="31"/>
  <c r="J70" i="67" s="1"/>
  <c r="S92" i="31"/>
  <c r="T100" i="31"/>
  <c r="J78" i="67" s="1"/>
  <c r="S100" i="31"/>
  <c r="T108" i="31"/>
  <c r="J86" i="67" s="1"/>
  <c r="S108" i="31"/>
  <c r="T116" i="31"/>
  <c r="J94" i="67" s="1"/>
  <c r="S116" i="31"/>
  <c r="T124" i="31"/>
  <c r="J102" i="67" s="1"/>
  <c r="S124" i="31"/>
  <c r="T132" i="31"/>
  <c r="J110" i="67" s="1"/>
  <c r="S132" i="31"/>
  <c r="T140" i="31"/>
  <c r="J118" i="67" s="1"/>
  <c r="S140" i="31"/>
  <c r="T148" i="31"/>
  <c r="J126" i="67" s="1"/>
  <c r="S148" i="31"/>
  <c r="T156" i="31"/>
  <c r="J134" i="67" s="1"/>
  <c r="S156" i="31"/>
  <c r="T164" i="31"/>
  <c r="J142" i="67" s="1"/>
  <c r="S164" i="31"/>
  <c r="T172" i="31"/>
  <c r="J150" i="67" s="1"/>
  <c r="S172" i="31"/>
  <c r="T180" i="31"/>
  <c r="J158" i="67" s="1"/>
  <c r="S180" i="31"/>
  <c r="T188" i="31"/>
  <c r="J166" i="67" s="1"/>
  <c r="S188" i="31"/>
  <c r="T196" i="31"/>
  <c r="J174" i="67" s="1"/>
  <c r="S196" i="31"/>
  <c r="T204" i="31"/>
  <c r="J182" i="67" s="1"/>
  <c r="S204" i="31"/>
  <c r="T43" i="31"/>
  <c r="J21" i="67" s="1"/>
  <c r="S43" i="31"/>
  <c r="T51" i="31"/>
  <c r="J29" i="67" s="1"/>
  <c r="S51" i="31"/>
  <c r="S59" i="31"/>
  <c r="T59" i="31"/>
  <c r="J37" i="67" s="1"/>
  <c r="S67" i="31"/>
  <c r="T67" i="31"/>
  <c r="J45" i="67" s="1"/>
  <c r="S75" i="31"/>
  <c r="T75" i="31"/>
  <c r="J53" i="67" s="1"/>
  <c r="T83" i="31"/>
  <c r="J61" i="67" s="1"/>
  <c r="S83" i="31"/>
  <c r="T91" i="31"/>
  <c r="J69" i="67" s="1"/>
  <c r="S91" i="31"/>
  <c r="T99" i="31"/>
  <c r="J77" i="67" s="1"/>
  <c r="S99" i="31"/>
  <c r="T107" i="31"/>
  <c r="J85" i="67" s="1"/>
  <c r="S107" i="31"/>
  <c r="T115" i="31"/>
  <c r="J93" i="67" s="1"/>
  <c r="S115" i="31"/>
  <c r="T123" i="31"/>
  <c r="J101" i="67" s="1"/>
  <c r="S123" i="31"/>
  <c r="T131" i="31"/>
  <c r="J109" i="67" s="1"/>
  <c r="S131" i="31"/>
  <c r="T139" i="31"/>
  <c r="J117" i="67" s="1"/>
  <c r="S139" i="31"/>
  <c r="T147" i="31"/>
  <c r="J125" i="67" s="1"/>
  <c r="S147" i="31"/>
  <c r="T155" i="31"/>
  <c r="J133" i="67" s="1"/>
  <c r="S155" i="31"/>
  <c r="T163" i="31"/>
  <c r="J141" i="67" s="1"/>
  <c r="S163" i="31"/>
  <c r="T171" i="31"/>
  <c r="J149" i="67" s="1"/>
  <c r="S171" i="31"/>
  <c r="T179" i="31"/>
  <c r="J157" i="67" s="1"/>
  <c r="S179" i="31"/>
  <c r="T187" i="31"/>
  <c r="J165" i="67" s="1"/>
  <c r="S187" i="31"/>
  <c r="T195" i="31"/>
  <c r="J173" i="67" s="1"/>
  <c r="S195" i="31"/>
  <c r="T203" i="31"/>
  <c r="J181" i="67" s="1"/>
  <c r="S203" i="31"/>
  <c r="T211" i="31"/>
  <c r="J189" i="67" s="1"/>
  <c r="S211" i="31"/>
  <c r="T218" i="31"/>
  <c r="J196" i="67" s="1"/>
  <c r="S218" i="31"/>
  <c r="T226" i="31"/>
  <c r="J204" i="67" s="1"/>
  <c r="S226" i="31"/>
  <c r="T234" i="31"/>
  <c r="J212" i="67" s="1"/>
  <c r="S234" i="31"/>
  <c r="T242" i="31"/>
  <c r="J220" i="67" s="1"/>
  <c r="S242" i="31"/>
  <c r="T250" i="31"/>
  <c r="J228" i="67" s="1"/>
  <c r="S250" i="31"/>
  <c r="T258" i="31"/>
  <c r="J236" i="67" s="1"/>
  <c r="S258" i="31"/>
  <c r="T266" i="31"/>
  <c r="J244" i="67" s="1"/>
  <c r="S266" i="31"/>
  <c r="T274" i="31"/>
  <c r="J252" i="67" s="1"/>
  <c r="S274" i="31"/>
  <c r="T282" i="31"/>
  <c r="J260" i="67" s="1"/>
  <c r="S282" i="31"/>
  <c r="T290" i="31"/>
  <c r="J268" i="67" s="1"/>
  <c r="S290" i="31"/>
  <c r="T298" i="31"/>
  <c r="J276" i="67" s="1"/>
  <c r="S298" i="31"/>
  <c r="T306" i="31"/>
  <c r="J284" i="67" s="1"/>
  <c r="S306" i="31"/>
  <c r="T314" i="31"/>
  <c r="J292" i="67" s="1"/>
  <c r="S314" i="31"/>
  <c r="T322" i="31"/>
  <c r="J300" i="67" s="1"/>
  <c r="S322" i="31"/>
  <c r="T330" i="31"/>
  <c r="J308" i="67" s="1"/>
  <c r="S330" i="31"/>
  <c r="T338" i="31"/>
  <c r="J316" i="67" s="1"/>
  <c r="S338" i="31"/>
  <c r="T346" i="31"/>
  <c r="J324" i="67" s="1"/>
  <c r="S346" i="31"/>
  <c r="T354" i="31"/>
  <c r="J332" i="67" s="1"/>
  <c r="S354" i="31"/>
  <c r="T362" i="31"/>
  <c r="J340" i="67" s="1"/>
  <c r="S362" i="31"/>
  <c r="T370" i="31"/>
  <c r="J348" i="67" s="1"/>
  <c r="S370" i="31"/>
  <c r="T378" i="31"/>
  <c r="J356" i="67" s="1"/>
  <c r="S378" i="31"/>
  <c r="T217" i="31"/>
  <c r="J195" i="67" s="1"/>
  <c r="S217" i="31"/>
  <c r="T225" i="31"/>
  <c r="J203" i="67" s="1"/>
  <c r="S225" i="31"/>
  <c r="T233" i="31"/>
  <c r="J211" i="67" s="1"/>
  <c r="S233" i="31"/>
  <c r="T241" i="31"/>
  <c r="J219" i="67" s="1"/>
  <c r="S241" i="31"/>
  <c r="S249" i="31"/>
  <c r="T249" i="31"/>
  <c r="J227" i="67" s="1"/>
  <c r="S257" i="31"/>
  <c r="T257" i="31"/>
  <c r="J235" i="67" s="1"/>
  <c r="T265" i="31"/>
  <c r="J243" i="67" s="1"/>
  <c r="S265" i="31"/>
  <c r="T273" i="31"/>
  <c r="J251" i="67" s="1"/>
  <c r="S273" i="31"/>
  <c r="T281" i="31"/>
  <c r="J259" i="67" s="1"/>
  <c r="S281" i="31"/>
  <c r="T289" i="31"/>
  <c r="J267" i="67" s="1"/>
  <c r="S289" i="31"/>
  <c r="T297" i="31"/>
  <c r="J275" i="67" s="1"/>
  <c r="S297" i="31"/>
  <c r="T305" i="31"/>
  <c r="J283" i="67" s="1"/>
  <c r="S305" i="31"/>
  <c r="T313" i="31"/>
  <c r="J291" i="67" s="1"/>
  <c r="S313" i="31"/>
  <c r="T321" i="31"/>
  <c r="J299" i="67" s="1"/>
  <c r="S321" i="31"/>
  <c r="T329" i="31"/>
  <c r="J307" i="67" s="1"/>
  <c r="S329" i="31"/>
  <c r="T337" i="31"/>
  <c r="J315" i="67" s="1"/>
  <c r="S337" i="31"/>
  <c r="T345" i="31"/>
  <c r="J323" i="67" s="1"/>
  <c r="S345" i="31"/>
  <c r="T353" i="31"/>
  <c r="J331" i="67" s="1"/>
  <c r="S353" i="31"/>
  <c r="T361" i="31"/>
  <c r="J339" i="67" s="1"/>
  <c r="S361" i="31"/>
  <c r="T369" i="31"/>
  <c r="J347" i="67" s="1"/>
  <c r="S369" i="31"/>
  <c r="T377" i="31"/>
  <c r="J355" i="67" s="1"/>
  <c r="S377" i="31"/>
  <c r="T385" i="31"/>
  <c r="J363" i="67" s="1"/>
  <c r="S385" i="31"/>
  <c r="T393" i="31"/>
  <c r="J371" i="67" s="1"/>
  <c r="S393" i="31"/>
  <c r="T401" i="31"/>
  <c r="J379" i="67" s="1"/>
  <c r="S401" i="31"/>
  <c r="T409" i="31"/>
  <c r="J387" i="67" s="1"/>
  <c r="S409" i="31"/>
  <c r="T417" i="31"/>
  <c r="J395" i="67" s="1"/>
  <c r="S417" i="31"/>
  <c r="T425" i="31"/>
  <c r="J403" i="67" s="1"/>
  <c r="S425" i="31"/>
  <c r="S433" i="31"/>
  <c r="T433" i="31"/>
  <c r="J411" i="67" s="1"/>
  <c r="S441" i="31"/>
  <c r="T441" i="31"/>
  <c r="J419" i="67" s="1"/>
  <c r="S449" i="31"/>
  <c r="T449" i="31"/>
  <c r="J427" i="67" s="1"/>
  <c r="S457" i="31"/>
  <c r="T457" i="31"/>
  <c r="J435" i="67" s="1"/>
  <c r="S465" i="31"/>
  <c r="T465" i="31"/>
  <c r="J443" i="67" s="1"/>
  <c r="S473" i="31"/>
  <c r="T473" i="31"/>
  <c r="J451" i="67" s="1"/>
  <c r="S481" i="31"/>
  <c r="T481" i="31"/>
  <c r="J459" i="67" s="1"/>
  <c r="S489" i="31"/>
  <c r="T489" i="31"/>
  <c r="J467" i="67" s="1"/>
  <c r="S497" i="31"/>
  <c r="T497" i="31"/>
  <c r="J475" i="67" s="1"/>
  <c r="S505" i="31"/>
  <c r="T505" i="31"/>
  <c r="J483" i="67" s="1"/>
  <c r="S513" i="31"/>
  <c r="T513" i="31"/>
  <c r="J491" i="67" s="1"/>
  <c r="S521" i="31"/>
  <c r="T521" i="31"/>
  <c r="J499" i="67" s="1"/>
  <c r="S386" i="31"/>
  <c r="T386" i="31"/>
  <c r="J364" i="67" s="1"/>
  <c r="T394" i="31"/>
  <c r="J372" i="67" s="1"/>
  <c r="S394" i="31"/>
  <c r="S402" i="31"/>
  <c r="T402" i="31"/>
  <c r="J380" i="67" s="1"/>
  <c r="T410" i="31"/>
  <c r="J388" i="67" s="1"/>
  <c r="S410" i="31"/>
  <c r="S418" i="31"/>
  <c r="T418" i="31"/>
  <c r="J396" i="67" s="1"/>
  <c r="T426" i="31"/>
  <c r="J404" i="67" s="1"/>
  <c r="S426" i="31"/>
  <c r="T434" i="31"/>
  <c r="J412" i="67" s="1"/>
  <c r="S434" i="31"/>
  <c r="T442" i="31"/>
  <c r="J420" i="67" s="1"/>
  <c r="S442" i="31"/>
  <c r="T450" i="31"/>
  <c r="J428" i="67" s="1"/>
  <c r="S450" i="31"/>
  <c r="T458" i="31"/>
  <c r="J436" i="67" s="1"/>
  <c r="S458" i="31"/>
  <c r="T466" i="31"/>
  <c r="J444" i="67" s="1"/>
  <c r="S466" i="31"/>
  <c r="T474" i="31"/>
  <c r="J452" i="67" s="1"/>
  <c r="S474" i="31"/>
  <c r="T482" i="31"/>
  <c r="J460" i="67" s="1"/>
  <c r="S482" i="31"/>
  <c r="T490" i="31"/>
  <c r="J468" i="67" s="1"/>
  <c r="S490" i="31"/>
  <c r="T498" i="31"/>
  <c r="J476" i="67" s="1"/>
  <c r="S498" i="31"/>
  <c r="T506" i="31"/>
  <c r="J484" i="67" s="1"/>
  <c r="S506" i="31"/>
  <c r="T514" i="31"/>
  <c r="J492" i="67" s="1"/>
  <c r="S514" i="31"/>
  <c r="T522" i="31"/>
  <c r="J500" i="67" s="1"/>
  <c r="S522" i="31"/>
  <c r="S30" i="31"/>
  <c r="T30" i="31"/>
  <c r="J8" i="67" s="1"/>
  <c r="T39" i="31"/>
  <c r="J17" i="67" s="1"/>
  <c r="S39" i="31"/>
  <c r="T32" i="31"/>
  <c r="J10" i="67" s="1"/>
  <c r="S32" i="31"/>
  <c r="S40" i="31"/>
  <c r="T40" i="31"/>
  <c r="J18" i="67" s="1"/>
  <c r="T193" i="31"/>
  <c r="J171" i="67" s="1"/>
  <c r="S193" i="31"/>
  <c r="T201" i="31"/>
  <c r="J179" i="67" s="1"/>
  <c r="S201" i="31"/>
  <c r="T209" i="31"/>
  <c r="J187" i="67" s="1"/>
  <c r="S209" i="31"/>
  <c r="T216" i="31"/>
  <c r="J194" i="67" s="1"/>
  <c r="S216" i="31"/>
  <c r="T224" i="31"/>
  <c r="J202" i="67" s="1"/>
  <c r="S224" i="31"/>
  <c r="T232" i="31"/>
  <c r="J210" i="67" s="1"/>
  <c r="S232" i="31"/>
  <c r="T240" i="31"/>
  <c r="J218" i="67" s="1"/>
  <c r="S240" i="31"/>
  <c r="T248" i="31"/>
  <c r="J226" i="67" s="1"/>
  <c r="S248" i="31"/>
  <c r="T256" i="31"/>
  <c r="J234" i="67" s="1"/>
  <c r="S256" i="31"/>
  <c r="T264" i="31"/>
  <c r="J242" i="67" s="1"/>
  <c r="S264" i="31"/>
  <c r="T272" i="31"/>
  <c r="J250" i="67" s="1"/>
  <c r="S272" i="31"/>
  <c r="T280" i="31"/>
  <c r="J258" i="67" s="1"/>
  <c r="S280" i="31"/>
  <c r="T288" i="31"/>
  <c r="J266" i="67" s="1"/>
  <c r="S288" i="31"/>
  <c r="T296" i="31"/>
  <c r="J274" i="67" s="1"/>
  <c r="S296" i="31"/>
  <c r="T304" i="31"/>
  <c r="J282" i="67" s="1"/>
  <c r="S304" i="31"/>
  <c r="T312" i="31"/>
  <c r="J290" i="67" s="1"/>
  <c r="S312" i="31"/>
  <c r="T320" i="31"/>
  <c r="J298" i="67" s="1"/>
  <c r="S320" i="31"/>
  <c r="T328" i="31"/>
  <c r="J306" i="67" s="1"/>
  <c r="S328" i="31"/>
  <c r="T336" i="31"/>
  <c r="J314" i="67" s="1"/>
  <c r="S336" i="31"/>
  <c r="T344" i="31"/>
  <c r="J322" i="67" s="1"/>
  <c r="S344" i="31"/>
  <c r="T352" i="31"/>
  <c r="J330" i="67" s="1"/>
  <c r="S352" i="31"/>
  <c r="T360" i="31"/>
  <c r="J338" i="67" s="1"/>
  <c r="S360" i="31"/>
  <c r="T368" i="31"/>
  <c r="J346" i="67" s="1"/>
  <c r="S368" i="31"/>
  <c r="T376" i="31"/>
  <c r="J354" i="67" s="1"/>
  <c r="S376" i="31"/>
  <c r="T215" i="31"/>
  <c r="J193" i="67" s="1"/>
  <c r="S215" i="31"/>
  <c r="T223" i="31"/>
  <c r="J201" i="67" s="1"/>
  <c r="S223" i="31"/>
  <c r="T231" i="31"/>
  <c r="J209" i="67" s="1"/>
  <c r="S231" i="31"/>
  <c r="T239" i="31"/>
  <c r="J217" i="67" s="1"/>
  <c r="S239" i="31"/>
  <c r="T247" i="31"/>
  <c r="J225" i="67" s="1"/>
  <c r="S247" i="31"/>
  <c r="T255" i="31"/>
  <c r="J233" i="67" s="1"/>
  <c r="S255" i="31"/>
  <c r="S263" i="31"/>
  <c r="T263" i="31"/>
  <c r="J241" i="67" s="1"/>
  <c r="S271" i="31"/>
  <c r="T271" i="31"/>
  <c r="J249" i="67" s="1"/>
  <c r="S279" i="31"/>
  <c r="T279" i="31"/>
  <c r="J257" i="67" s="1"/>
  <c r="S287" i="31"/>
  <c r="T287" i="31"/>
  <c r="J265" i="67" s="1"/>
  <c r="S295" i="31"/>
  <c r="T295" i="31"/>
  <c r="J273" i="67" s="1"/>
  <c r="S303" i="31"/>
  <c r="T303" i="31"/>
  <c r="J281" i="67" s="1"/>
  <c r="S311" i="31"/>
  <c r="T311" i="31"/>
  <c r="J289" i="67" s="1"/>
  <c r="S319" i="31"/>
  <c r="T319" i="31"/>
  <c r="J297" i="67" s="1"/>
  <c r="T327" i="31"/>
  <c r="J305" i="67" s="1"/>
  <c r="S327" i="31"/>
  <c r="T335" i="31"/>
  <c r="J313" i="67" s="1"/>
  <c r="S335" i="31"/>
  <c r="T343" i="31"/>
  <c r="J321" i="67" s="1"/>
  <c r="S343" i="31"/>
  <c r="T351" i="31"/>
  <c r="J329" i="67" s="1"/>
  <c r="S351" i="31"/>
  <c r="T359" i="31"/>
  <c r="J337" i="67" s="1"/>
  <c r="S359" i="31"/>
  <c r="T367" i="31"/>
  <c r="J345" i="67" s="1"/>
  <c r="S367" i="31"/>
  <c r="T375" i="31"/>
  <c r="J353" i="67" s="1"/>
  <c r="S375" i="31"/>
  <c r="T383" i="31"/>
  <c r="J361" i="67" s="1"/>
  <c r="S383" i="31"/>
  <c r="T391" i="31"/>
  <c r="J369" i="67" s="1"/>
  <c r="S391" i="31"/>
  <c r="T399" i="31"/>
  <c r="J377" i="67" s="1"/>
  <c r="S399" i="31"/>
  <c r="T407" i="31"/>
  <c r="J385" i="67" s="1"/>
  <c r="S407" i="31"/>
  <c r="T415" i="31"/>
  <c r="J393" i="67" s="1"/>
  <c r="S415" i="31"/>
  <c r="T423" i="31"/>
  <c r="J401" i="67" s="1"/>
  <c r="S423" i="31"/>
  <c r="T431" i="31"/>
  <c r="J409" i="67" s="1"/>
  <c r="S431" i="31"/>
  <c r="T439" i="31"/>
  <c r="J417" i="67" s="1"/>
  <c r="S439" i="31"/>
  <c r="T447" i="31"/>
  <c r="J425" i="67" s="1"/>
  <c r="S447" i="31"/>
  <c r="T455" i="31"/>
  <c r="J433" i="67" s="1"/>
  <c r="S455" i="31"/>
  <c r="T463" i="31"/>
  <c r="J441" i="67" s="1"/>
  <c r="S463" i="31"/>
  <c r="T471" i="31"/>
  <c r="J449" i="67" s="1"/>
  <c r="S471" i="31"/>
  <c r="T479" i="31"/>
  <c r="J457" i="67" s="1"/>
  <c r="S479" i="31"/>
  <c r="T487" i="31"/>
  <c r="J465" i="67" s="1"/>
  <c r="S487" i="31"/>
  <c r="T495" i="31"/>
  <c r="J473" i="67" s="1"/>
  <c r="S495" i="31"/>
  <c r="T503" i="31"/>
  <c r="J481" i="67" s="1"/>
  <c r="S503" i="31"/>
  <c r="T511" i="31"/>
  <c r="J489" i="67" s="1"/>
  <c r="S511" i="31"/>
  <c r="T519" i="31"/>
  <c r="J497" i="67" s="1"/>
  <c r="S519" i="31"/>
  <c r="T384" i="31"/>
  <c r="J362" i="67" s="1"/>
  <c r="S384" i="31"/>
  <c r="T392" i="31"/>
  <c r="J370" i="67" s="1"/>
  <c r="S392" i="31"/>
  <c r="T400" i="31"/>
  <c r="J378" i="67" s="1"/>
  <c r="S400" i="31"/>
  <c r="T408" i="31"/>
  <c r="J386" i="67" s="1"/>
  <c r="S408" i="31"/>
  <c r="T416" i="31"/>
  <c r="J394" i="67" s="1"/>
  <c r="S416" i="31"/>
  <c r="S424" i="31"/>
  <c r="T424" i="31"/>
  <c r="J402" i="67" s="1"/>
  <c r="T432" i="31"/>
  <c r="J410" i="67" s="1"/>
  <c r="S432" i="31"/>
  <c r="T440" i="31"/>
  <c r="J418" i="67" s="1"/>
  <c r="S440" i="31"/>
  <c r="T448" i="31"/>
  <c r="J426" i="67" s="1"/>
  <c r="S448" i="31"/>
  <c r="T456" i="31"/>
  <c r="J434" i="67" s="1"/>
  <c r="S456" i="31"/>
  <c r="T464" i="31"/>
  <c r="J442" i="67" s="1"/>
  <c r="S464" i="31"/>
  <c r="T472" i="31"/>
  <c r="J450" i="67" s="1"/>
  <c r="S472" i="31"/>
  <c r="T480" i="31"/>
  <c r="J458" i="67" s="1"/>
  <c r="S480" i="31"/>
  <c r="S488" i="31"/>
  <c r="T488" i="31"/>
  <c r="J466" i="67" s="1"/>
  <c r="S496" i="31"/>
  <c r="T496" i="31"/>
  <c r="J474" i="67" s="1"/>
  <c r="T504" i="31"/>
  <c r="J482" i="67" s="1"/>
  <c r="S504" i="31"/>
  <c r="T512" i="31"/>
  <c r="J490" i="67" s="1"/>
  <c r="S512" i="31"/>
  <c r="T520" i="31"/>
  <c r="J498" i="67" s="1"/>
  <c r="S520" i="31"/>
  <c r="T31" i="31"/>
  <c r="J9" i="67" s="1"/>
  <c r="S31" i="31"/>
  <c r="T37" i="31"/>
  <c r="J15" i="67" s="1"/>
  <c r="S37" i="31"/>
  <c r="T527" i="31"/>
  <c r="J505" i="67" s="1"/>
  <c r="S527" i="31"/>
  <c r="S38" i="31"/>
  <c r="T38" i="31"/>
  <c r="J16" i="67" s="1"/>
  <c r="T548" i="31"/>
  <c r="J526" i="67" s="1"/>
  <c r="S548" i="31"/>
  <c r="T554" i="31"/>
  <c r="J532" i="67" s="1"/>
  <c r="S554" i="31"/>
  <c r="S560" i="31"/>
  <c r="T560" i="31"/>
  <c r="J538" i="67" s="1"/>
  <c r="T572" i="31"/>
  <c r="J550" i="67" s="1"/>
  <c r="S572" i="31"/>
  <c r="T585" i="31"/>
  <c r="J563" i="67" s="1"/>
  <c r="S585" i="31"/>
  <c r="T597" i="31"/>
  <c r="J575" i="67" s="1"/>
  <c r="S597" i="31"/>
  <c r="T613" i="31"/>
  <c r="J591" i="67" s="1"/>
  <c r="S613" i="31"/>
  <c r="S562" i="31"/>
  <c r="T562" i="31"/>
  <c r="J540" i="67" s="1"/>
  <c r="S570" i="31"/>
  <c r="T570" i="31"/>
  <c r="J548" i="67" s="1"/>
  <c r="S578" i="31"/>
  <c r="T578" i="31"/>
  <c r="J556" i="67" s="1"/>
  <c r="T587" i="31"/>
  <c r="J565" i="67" s="1"/>
  <c r="S587" i="31"/>
  <c r="S595" i="31"/>
  <c r="T595" i="31"/>
  <c r="J573" i="67" s="1"/>
  <c r="T603" i="31"/>
  <c r="J581" i="67" s="1"/>
  <c r="S603" i="31"/>
  <c r="S611" i="31"/>
  <c r="T611" i="31"/>
  <c r="J589" i="67" s="1"/>
  <c r="T623" i="31"/>
  <c r="J601" i="67" s="1"/>
  <c r="S623" i="31"/>
  <c r="S649" i="31"/>
  <c r="T649" i="31"/>
  <c r="J627" i="67" s="1"/>
  <c r="T657" i="31"/>
  <c r="J635" i="67" s="1"/>
  <c r="S657" i="31"/>
  <c r="S665" i="31"/>
  <c r="T665" i="31"/>
  <c r="J643" i="67" s="1"/>
  <c r="T673" i="31"/>
  <c r="J651" i="67" s="1"/>
  <c r="S673" i="31"/>
  <c r="T830" i="31"/>
  <c r="J808" i="67" s="1"/>
  <c r="S830" i="31"/>
  <c r="S556" i="31"/>
  <c r="T556" i="31"/>
  <c r="J534" i="67" s="1"/>
  <c r="S580" i="31"/>
  <c r="T580" i="31"/>
  <c r="J558" i="67" s="1"/>
  <c r="T601" i="31"/>
  <c r="J579" i="67" s="1"/>
  <c r="S601" i="31"/>
  <c r="T619" i="31"/>
  <c r="J597" i="67" s="1"/>
  <c r="S619" i="31"/>
  <c r="T647" i="31"/>
  <c r="J625" i="67" s="1"/>
  <c r="S647" i="31"/>
  <c r="T655" i="31"/>
  <c r="J633" i="67" s="1"/>
  <c r="S655" i="31"/>
  <c r="S663" i="31"/>
  <c r="T663" i="31"/>
  <c r="J641" i="67" s="1"/>
  <c r="S671" i="31"/>
  <c r="T671" i="31"/>
  <c r="J649" i="67" s="1"/>
  <c r="S617" i="31"/>
  <c r="T617" i="31"/>
  <c r="J595" i="67" s="1"/>
  <c r="T625" i="31"/>
  <c r="J603" i="67" s="1"/>
  <c r="S625" i="31"/>
  <c r="S654" i="31"/>
  <c r="T654" i="31"/>
  <c r="J632" i="67" s="1"/>
  <c r="S658" i="31"/>
  <c r="T658" i="31"/>
  <c r="J636" i="67" s="1"/>
  <c r="S662" i="31"/>
  <c r="T662" i="31"/>
  <c r="J640" i="67" s="1"/>
  <c r="S666" i="31"/>
  <c r="T666" i="31"/>
  <c r="J644" i="67" s="1"/>
  <c r="S670" i="31"/>
  <c r="T670" i="31"/>
  <c r="J648" i="67" s="1"/>
  <c r="T674" i="31"/>
  <c r="J652" i="67" s="1"/>
  <c r="S674" i="31"/>
  <c r="S678" i="31"/>
  <c r="T678" i="31"/>
  <c r="J656" i="67" s="1"/>
  <c r="T685" i="31"/>
  <c r="J663" i="67" s="1"/>
  <c r="S685" i="31"/>
  <c r="T693" i="31"/>
  <c r="J671" i="67" s="1"/>
  <c r="S693" i="31"/>
  <c r="T701" i="31"/>
  <c r="J679" i="67" s="1"/>
  <c r="S701" i="31"/>
  <c r="S709" i="31"/>
  <c r="T709" i="31"/>
  <c r="J687" i="67" s="1"/>
  <c r="T717" i="31"/>
  <c r="J695" i="67" s="1"/>
  <c r="S717" i="31"/>
  <c r="T738" i="31"/>
  <c r="J716" i="67" s="1"/>
  <c r="S738" i="31"/>
  <c r="T742" i="31"/>
  <c r="J720" i="67" s="1"/>
  <c r="S742" i="31"/>
  <c r="T746" i="31"/>
  <c r="J724" i="67" s="1"/>
  <c r="S746" i="31"/>
  <c r="T750" i="31"/>
  <c r="J728" i="67" s="1"/>
  <c r="S750" i="31"/>
  <c r="T754" i="31"/>
  <c r="J732" i="67" s="1"/>
  <c r="S754" i="31"/>
  <c r="T758" i="31"/>
  <c r="J736" i="67" s="1"/>
  <c r="S758" i="31"/>
  <c r="T762" i="31"/>
  <c r="J740" i="67" s="1"/>
  <c r="S762" i="31"/>
  <c r="T766" i="31"/>
  <c r="J744" i="67" s="1"/>
  <c r="S766" i="31"/>
  <c r="S770" i="31"/>
  <c r="T770" i="31"/>
  <c r="J748" i="67" s="1"/>
  <c r="T774" i="31"/>
  <c r="J752" i="67" s="1"/>
  <c r="S774" i="31"/>
  <c r="T778" i="31"/>
  <c r="J756" i="67" s="1"/>
  <c r="S778" i="31"/>
  <c r="S782" i="31"/>
  <c r="T782" i="31"/>
  <c r="J760" i="67" s="1"/>
  <c r="T786" i="31"/>
  <c r="J764" i="67" s="1"/>
  <c r="S786" i="31"/>
  <c r="S790" i="31"/>
  <c r="T790" i="31"/>
  <c r="J768" i="67" s="1"/>
  <c r="T794" i="31"/>
  <c r="J772" i="67" s="1"/>
  <c r="S794" i="31"/>
  <c r="T798" i="31"/>
  <c r="J776" i="67" s="1"/>
  <c r="S798" i="31"/>
  <c r="T802" i="31"/>
  <c r="J780" i="67" s="1"/>
  <c r="S802" i="31"/>
  <c r="T806" i="31"/>
  <c r="J784" i="67" s="1"/>
  <c r="S806" i="31"/>
  <c r="T810" i="31"/>
  <c r="J788" i="67" s="1"/>
  <c r="S810" i="31"/>
  <c r="T814" i="31"/>
  <c r="J792" i="67" s="1"/>
  <c r="S814" i="31"/>
  <c r="T818" i="31"/>
  <c r="J796" i="67" s="1"/>
  <c r="S818" i="31"/>
  <c r="T822" i="31"/>
  <c r="J800" i="67" s="1"/>
  <c r="S822" i="31"/>
  <c r="T828" i="31"/>
  <c r="J806" i="67" s="1"/>
  <c r="S828" i="31"/>
  <c r="S835" i="31"/>
  <c r="T835" i="31"/>
  <c r="J813" i="67" s="1"/>
  <c r="T839" i="31"/>
  <c r="J817" i="67" s="1"/>
  <c r="S839" i="31"/>
  <c r="S528" i="31"/>
  <c r="T528" i="31"/>
  <c r="J506" i="67" s="1"/>
  <c r="T631" i="31"/>
  <c r="J609" i="67" s="1"/>
  <c r="S631" i="31"/>
  <c r="T635" i="31"/>
  <c r="J613" i="67" s="1"/>
  <c r="S635" i="31"/>
  <c r="S639" i="31"/>
  <c r="T639" i="31"/>
  <c r="J617" i="67" s="1"/>
  <c r="S643" i="31"/>
  <c r="T643" i="31"/>
  <c r="J621" i="67" s="1"/>
  <c r="T720" i="31"/>
  <c r="J698" i="67" s="1"/>
  <c r="S720" i="31"/>
  <c r="T679" i="31"/>
  <c r="J657" i="67" s="1"/>
  <c r="S679" i="31"/>
  <c r="T687" i="31"/>
  <c r="J665" i="67" s="1"/>
  <c r="S687" i="31"/>
  <c r="S695" i="31"/>
  <c r="T695" i="31"/>
  <c r="J673" i="67" s="1"/>
  <c r="S703" i="31"/>
  <c r="T703" i="31"/>
  <c r="J681" i="67" s="1"/>
  <c r="T711" i="31"/>
  <c r="J689" i="67" s="1"/>
  <c r="S711" i="31"/>
  <c r="T719" i="31"/>
  <c r="J697" i="67" s="1"/>
  <c r="S719" i="31"/>
  <c r="S725" i="31"/>
  <c r="T725" i="31"/>
  <c r="J703" i="67" s="1"/>
  <c r="T729" i="31"/>
  <c r="J707" i="67" s="1"/>
  <c r="S729" i="31"/>
  <c r="T733" i="31"/>
  <c r="J711" i="67" s="1"/>
  <c r="S733" i="31"/>
  <c r="T737" i="31"/>
  <c r="J715" i="67" s="1"/>
  <c r="S737" i="31"/>
  <c r="S838" i="31"/>
  <c r="T838" i="31"/>
  <c r="J816" i="67" s="1"/>
  <c r="S532" i="31"/>
  <c r="T532" i="31"/>
  <c r="J510" i="67" s="1"/>
  <c r="S536" i="31"/>
  <c r="T536" i="31"/>
  <c r="J514" i="67" s="1"/>
  <c r="T540" i="31"/>
  <c r="J518" i="67" s="1"/>
  <c r="S540" i="31"/>
  <c r="T544" i="31"/>
  <c r="J522" i="67" s="1"/>
  <c r="S544" i="31"/>
  <c r="T844" i="31"/>
  <c r="J822" i="67" s="1"/>
  <c r="S844" i="31"/>
  <c r="S831" i="31"/>
  <c r="T831" i="31"/>
  <c r="J809" i="67" s="1"/>
  <c r="S823" i="31"/>
  <c r="T823" i="31"/>
  <c r="J801" i="67" s="1"/>
  <c r="S815" i="31"/>
  <c r="T815" i="31"/>
  <c r="J793" i="67" s="1"/>
  <c r="S807" i="31"/>
  <c r="T807" i="31"/>
  <c r="J785" i="67" s="1"/>
  <c r="S799" i="31"/>
  <c r="T799" i="31"/>
  <c r="J777" i="67" s="1"/>
  <c r="S791" i="31"/>
  <c r="T791" i="31"/>
  <c r="J769" i="67" s="1"/>
  <c r="S783" i="31"/>
  <c r="T783" i="31"/>
  <c r="J761" i="67" s="1"/>
  <c r="S775" i="31"/>
  <c r="T775" i="31"/>
  <c r="J753" i="67" s="1"/>
  <c r="S767" i="31"/>
  <c r="T767" i="31"/>
  <c r="J745" i="67" s="1"/>
  <c r="S759" i="31"/>
  <c r="T759" i="31"/>
  <c r="J737" i="67" s="1"/>
  <c r="S751" i="31"/>
  <c r="T751" i="31"/>
  <c r="J729" i="67" s="1"/>
  <c r="S743" i="31"/>
  <c r="T743" i="31"/>
  <c r="J721" i="67" s="1"/>
  <c r="S734" i="31"/>
  <c r="T734" i="31"/>
  <c r="J712" i="67" s="1"/>
  <c r="S726" i="31"/>
  <c r="T726" i="31"/>
  <c r="J704" i="67" s="1"/>
  <c r="S714" i="31"/>
  <c r="T714" i="31"/>
  <c r="J692" i="67" s="1"/>
  <c r="S706" i="31"/>
  <c r="T706" i="31"/>
  <c r="J684" i="67" s="1"/>
  <c r="S698" i="31"/>
  <c r="T698" i="31"/>
  <c r="J676" i="67" s="1"/>
  <c r="S690" i="31"/>
  <c r="T690" i="31"/>
  <c r="J668" i="67" s="1"/>
  <c r="S682" i="31"/>
  <c r="T682" i="31"/>
  <c r="J660" i="67" s="1"/>
  <c r="S648" i="31"/>
  <c r="T648" i="31"/>
  <c r="J626" i="67" s="1"/>
  <c r="S640" i="31"/>
  <c r="T640" i="31"/>
  <c r="J618" i="67" s="1"/>
  <c r="S632" i="31"/>
  <c r="T632" i="31"/>
  <c r="J610" i="67" s="1"/>
  <c r="S624" i="31"/>
  <c r="T624" i="31"/>
  <c r="J602" i="67" s="1"/>
  <c r="S616" i="31"/>
  <c r="T616" i="31"/>
  <c r="J594" i="67" s="1"/>
  <c r="S608" i="31"/>
  <c r="T608" i="31"/>
  <c r="J586" i="67" s="1"/>
  <c r="S600" i="31"/>
  <c r="T600" i="31"/>
  <c r="J578" i="67" s="1"/>
  <c r="S592" i="31"/>
  <c r="T592" i="31"/>
  <c r="J570" i="67" s="1"/>
  <c r="S583" i="31"/>
  <c r="T583" i="31"/>
  <c r="J561" i="67" s="1"/>
  <c r="S575" i="31"/>
  <c r="T575" i="31"/>
  <c r="J553" i="67" s="1"/>
  <c r="S567" i="31"/>
  <c r="T567" i="31"/>
  <c r="J545" i="67" s="1"/>
  <c r="S559" i="31"/>
  <c r="T559" i="31"/>
  <c r="J537" i="67" s="1"/>
  <c r="S551" i="31"/>
  <c r="T551" i="31"/>
  <c r="J529" i="67" s="1"/>
  <c r="S543" i="31"/>
  <c r="T543" i="31"/>
  <c r="J521" i="67" s="1"/>
  <c r="S535" i="31"/>
  <c r="T535" i="31"/>
  <c r="J513" i="67" s="1"/>
  <c r="S836" i="31"/>
  <c r="T836" i="31"/>
  <c r="J814" i="67" s="1"/>
  <c r="T829" i="31"/>
  <c r="J807" i="67" s="1"/>
  <c r="S829" i="31"/>
  <c r="S821" i="31"/>
  <c r="T821" i="31"/>
  <c r="J799" i="67" s="1"/>
  <c r="S813" i="31"/>
  <c r="T813" i="31"/>
  <c r="J791" i="67" s="1"/>
  <c r="S805" i="31"/>
  <c r="T805" i="31"/>
  <c r="J783" i="67" s="1"/>
  <c r="S797" i="31"/>
  <c r="T797" i="31"/>
  <c r="J775" i="67" s="1"/>
  <c r="S789" i="31"/>
  <c r="T789" i="31"/>
  <c r="J767" i="67" s="1"/>
  <c r="S781" i="31"/>
  <c r="T781" i="31"/>
  <c r="J759" i="67" s="1"/>
  <c r="S773" i="31"/>
  <c r="T773" i="31"/>
  <c r="J751" i="67" s="1"/>
  <c r="S765" i="31"/>
  <c r="T765" i="31"/>
  <c r="J743" i="67" s="1"/>
  <c r="S757" i="31"/>
  <c r="T757" i="31"/>
  <c r="J735" i="67" s="1"/>
  <c r="S749" i="31"/>
  <c r="T749" i="31"/>
  <c r="J727" i="67" s="1"/>
  <c r="S741" i="31"/>
  <c r="T741" i="31"/>
  <c r="J719" i="67" s="1"/>
  <c r="S732" i="31"/>
  <c r="T732" i="31"/>
  <c r="J710" i="67" s="1"/>
  <c r="S722" i="31"/>
  <c r="T722" i="31"/>
  <c r="J700" i="67" s="1"/>
  <c r="T712" i="31"/>
  <c r="J690" i="67" s="1"/>
  <c r="S712" i="31"/>
  <c r="T704" i="31"/>
  <c r="J682" i="67" s="1"/>
  <c r="S704" i="31"/>
  <c r="T696" i="31"/>
  <c r="J674" i="67" s="1"/>
  <c r="S696" i="31"/>
  <c r="T688" i="31"/>
  <c r="J666" i="67" s="1"/>
  <c r="S688" i="31"/>
  <c r="T680" i="31"/>
  <c r="J658" i="67" s="1"/>
  <c r="S680" i="31"/>
  <c r="S646" i="31"/>
  <c r="T646" i="31"/>
  <c r="J624" i="67" s="1"/>
  <c r="S638" i="31"/>
  <c r="T638" i="31"/>
  <c r="J616" i="67" s="1"/>
  <c r="S630" i="31"/>
  <c r="T630" i="31"/>
  <c r="J608" i="67" s="1"/>
  <c r="S622" i="31"/>
  <c r="T622" i="31"/>
  <c r="J600" i="67" s="1"/>
  <c r="S614" i="31"/>
  <c r="T614" i="31"/>
  <c r="J592" i="67" s="1"/>
  <c r="S606" i="31"/>
  <c r="T606" i="31"/>
  <c r="J584" i="67" s="1"/>
  <c r="S598" i="31"/>
  <c r="T598" i="31"/>
  <c r="J576" i="67" s="1"/>
  <c r="S590" i="31"/>
  <c r="T590" i="31"/>
  <c r="J568" i="67" s="1"/>
  <c r="S581" i="31"/>
  <c r="T581" i="31"/>
  <c r="J559" i="67" s="1"/>
  <c r="S573" i="31"/>
  <c r="T573" i="31"/>
  <c r="J551" i="67" s="1"/>
  <c r="S565" i="31"/>
  <c r="T565" i="31"/>
  <c r="J543" i="67" s="1"/>
  <c r="S557" i="31"/>
  <c r="T557" i="31"/>
  <c r="J535" i="67" s="1"/>
  <c r="S549" i="31"/>
  <c r="T549" i="31"/>
  <c r="J527" i="67" s="1"/>
  <c r="S541" i="31"/>
  <c r="T541" i="31"/>
  <c r="J519" i="67" s="1"/>
  <c r="S533" i="31"/>
  <c r="T533" i="31"/>
  <c r="J511" i="67" s="1"/>
  <c r="T70" i="31"/>
  <c r="J48" i="67" s="1"/>
  <c r="S70" i="31"/>
  <c r="T102" i="31"/>
  <c r="J80" i="67" s="1"/>
  <c r="S102" i="31"/>
  <c r="T134" i="31"/>
  <c r="J112" i="67" s="1"/>
  <c r="S134" i="31"/>
  <c r="T182" i="31"/>
  <c r="J160" i="67" s="1"/>
  <c r="S182" i="31"/>
  <c r="T45" i="31"/>
  <c r="J23" i="67" s="1"/>
  <c r="S45" i="31"/>
  <c r="T77" i="31"/>
  <c r="J55" i="67" s="1"/>
  <c r="S77" i="31"/>
  <c r="T109" i="31"/>
  <c r="J87" i="67" s="1"/>
  <c r="S109" i="31"/>
  <c r="T157" i="31"/>
  <c r="J135" i="67" s="1"/>
  <c r="S157" i="31"/>
  <c r="T189" i="31"/>
  <c r="J167" i="67" s="1"/>
  <c r="S189" i="31"/>
  <c r="T66" i="31"/>
  <c r="J44" i="67" s="1"/>
  <c r="S66" i="31"/>
  <c r="T98" i="31"/>
  <c r="J76" i="67" s="1"/>
  <c r="S98" i="31"/>
  <c r="T114" i="31"/>
  <c r="J92" i="67" s="1"/>
  <c r="S114" i="31"/>
  <c r="T130" i="31"/>
  <c r="J108" i="67" s="1"/>
  <c r="S130" i="31"/>
  <c r="T146" i="31"/>
  <c r="J124" i="67" s="1"/>
  <c r="S146" i="31"/>
  <c r="T162" i="31"/>
  <c r="J140" i="67" s="1"/>
  <c r="S162" i="31"/>
  <c r="T178" i="31"/>
  <c r="J156" i="67" s="1"/>
  <c r="S178" i="31"/>
  <c r="T194" i="31"/>
  <c r="J172" i="67" s="1"/>
  <c r="S194" i="31"/>
  <c r="T210" i="31"/>
  <c r="J188" i="67" s="1"/>
  <c r="S210" i="31"/>
  <c r="S57" i="31"/>
  <c r="T57" i="31"/>
  <c r="J35" i="67" s="1"/>
  <c r="S73" i="31"/>
  <c r="T73" i="31"/>
  <c r="J51" i="67" s="1"/>
  <c r="T89" i="31"/>
  <c r="J67" i="67" s="1"/>
  <c r="S89" i="31"/>
  <c r="T105" i="31"/>
  <c r="J83" i="67" s="1"/>
  <c r="S105" i="31"/>
  <c r="T121" i="31"/>
  <c r="J99" i="67" s="1"/>
  <c r="S121" i="31"/>
  <c r="T137" i="31"/>
  <c r="J115" i="67" s="1"/>
  <c r="S137" i="31"/>
  <c r="T153" i="31"/>
  <c r="J131" i="67" s="1"/>
  <c r="S153" i="31"/>
  <c r="T169" i="31"/>
  <c r="J147" i="67" s="1"/>
  <c r="S169" i="31"/>
  <c r="T185" i="31"/>
  <c r="J163" i="67" s="1"/>
  <c r="S185" i="31"/>
  <c r="S48" i="31"/>
  <c r="T48" i="31"/>
  <c r="J26" i="67" s="1"/>
  <c r="S56" i="31"/>
  <c r="T56" i="31"/>
  <c r="J34" i="67" s="1"/>
  <c r="T64" i="31"/>
  <c r="J42" i="67" s="1"/>
  <c r="S64" i="31"/>
  <c r="T72" i="31"/>
  <c r="J50" i="67" s="1"/>
  <c r="S72" i="31"/>
  <c r="S80" i="31"/>
  <c r="T80" i="31"/>
  <c r="J58" i="67" s="1"/>
  <c r="T88" i="31"/>
  <c r="J66" i="67" s="1"/>
  <c r="S88" i="31"/>
  <c r="T96" i="31"/>
  <c r="J74" i="67" s="1"/>
  <c r="S96" i="31"/>
  <c r="T104" i="31"/>
  <c r="J82" i="67" s="1"/>
  <c r="S104" i="31"/>
  <c r="T112" i="31"/>
  <c r="J90" i="67" s="1"/>
  <c r="S112" i="31"/>
  <c r="T120" i="31"/>
  <c r="J98" i="67" s="1"/>
  <c r="S120" i="31"/>
  <c r="T128" i="31"/>
  <c r="J106" i="67" s="1"/>
  <c r="S128" i="31"/>
  <c r="T136" i="31"/>
  <c r="J114" i="67" s="1"/>
  <c r="S136" i="31"/>
  <c r="T144" i="31"/>
  <c r="J122" i="67" s="1"/>
  <c r="S144" i="31"/>
  <c r="T152" i="31"/>
  <c r="J130" i="67" s="1"/>
  <c r="S152" i="31"/>
  <c r="T160" i="31"/>
  <c r="J138" i="67" s="1"/>
  <c r="S160" i="31"/>
  <c r="T168" i="31"/>
  <c r="J146" i="67" s="1"/>
  <c r="S168" i="31"/>
  <c r="T176" i="31"/>
  <c r="J154" i="67" s="1"/>
  <c r="S176" i="31"/>
  <c r="T184" i="31"/>
  <c r="J162" i="67" s="1"/>
  <c r="S184" i="31"/>
  <c r="T192" i="31"/>
  <c r="J170" i="67" s="1"/>
  <c r="S192" i="31"/>
  <c r="T200" i="31"/>
  <c r="J178" i="67" s="1"/>
  <c r="S200" i="31"/>
  <c r="T208" i="31"/>
  <c r="J186" i="67" s="1"/>
  <c r="S208" i="31"/>
  <c r="T47" i="31"/>
  <c r="J25" i="67" s="1"/>
  <c r="S47" i="31"/>
  <c r="T55" i="31"/>
  <c r="J33" i="67" s="1"/>
  <c r="S55" i="31"/>
  <c r="S63" i="31"/>
  <c r="T63" i="31"/>
  <c r="J41" i="67" s="1"/>
  <c r="S71" i="31"/>
  <c r="T71" i="31"/>
  <c r="J49" i="67" s="1"/>
  <c r="S79" i="31"/>
  <c r="T79" i="31"/>
  <c r="J57" i="67" s="1"/>
  <c r="T87" i="31"/>
  <c r="J65" i="67" s="1"/>
  <c r="S87" i="31"/>
  <c r="T95" i="31"/>
  <c r="J73" i="67" s="1"/>
  <c r="S95" i="31"/>
  <c r="T103" i="31"/>
  <c r="J81" i="67" s="1"/>
  <c r="S103" i="31"/>
  <c r="T111" i="31"/>
  <c r="J89" i="67" s="1"/>
  <c r="S111" i="31"/>
  <c r="T119" i="31"/>
  <c r="J97" i="67" s="1"/>
  <c r="S119" i="31"/>
  <c r="T127" i="31"/>
  <c r="J105" i="67" s="1"/>
  <c r="S127" i="31"/>
  <c r="T135" i="31"/>
  <c r="J113" i="67" s="1"/>
  <c r="S135" i="31"/>
  <c r="T143" i="31"/>
  <c r="J121" i="67" s="1"/>
  <c r="S143" i="31"/>
  <c r="T151" i="31"/>
  <c r="J129" i="67" s="1"/>
  <c r="S151" i="31"/>
  <c r="T159" i="31"/>
  <c r="J137" i="67" s="1"/>
  <c r="S159" i="31"/>
  <c r="T167" i="31"/>
  <c r="J145" i="67" s="1"/>
  <c r="S167" i="31"/>
  <c r="T175" i="31"/>
  <c r="J153" i="67" s="1"/>
  <c r="S175" i="31"/>
  <c r="T183" i="31"/>
  <c r="J161" i="67" s="1"/>
  <c r="S183" i="31"/>
  <c r="T191" i="31"/>
  <c r="J169" i="67" s="1"/>
  <c r="S191" i="31"/>
  <c r="T199" i="31"/>
  <c r="J177" i="67" s="1"/>
  <c r="S199" i="31"/>
  <c r="T207" i="31"/>
  <c r="J185" i="67" s="1"/>
  <c r="S207" i="31"/>
  <c r="T214" i="31"/>
  <c r="J192" i="67" s="1"/>
  <c r="S214" i="31"/>
  <c r="T222" i="31"/>
  <c r="J200" i="67" s="1"/>
  <c r="S222" i="31"/>
  <c r="T230" i="31"/>
  <c r="J208" i="67" s="1"/>
  <c r="S230" i="31"/>
  <c r="T238" i="31"/>
  <c r="J216" i="67" s="1"/>
  <c r="S238" i="31"/>
  <c r="T246" i="31"/>
  <c r="J224" i="67" s="1"/>
  <c r="S246" i="31"/>
  <c r="T254" i="31"/>
  <c r="J232" i="67" s="1"/>
  <c r="S254" i="31"/>
  <c r="S262" i="31"/>
  <c r="T262" i="31"/>
  <c r="J240" i="67" s="1"/>
  <c r="T270" i="31"/>
  <c r="J248" i="67" s="1"/>
  <c r="S270" i="31"/>
  <c r="S278" i="31"/>
  <c r="T278" i="31"/>
  <c r="J256" i="67" s="1"/>
  <c r="T286" i="31"/>
  <c r="J264" i="67" s="1"/>
  <c r="S286" i="31"/>
  <c r="S294" i="31"/>
  <c r="T294" i="31"/>
  <c r="J272" i="67" s="1"/>
  <c r="T302" i="31"/>
  <c r="J280" i="67" s="1"/>
  <c r="S302" i="31"/>
  <c r="S310" i="31"/>
  <c r="T310" i="31"/>
  <c r="J288" i="67" s="1"/>
  <c r="T318" i="31"/>
  <c r="J296" i="67" s="1"/>
  <c r="S318" i="31"/>
  <c r="T326" i="31"/>
  <c r="J304" i="67" s="1"/>
  <c r="S326" i="31"/>
  <c r="T334" i="31"/>
  <c r="J312" i="67" s="1"/>
  <c r="S334" i="31"/>
  <c r="T342" i="31"/>
  <c r="J320" i="67" s="1"/>
  <c r="S342" i="31"/>
  <c r="T350" i="31"/>
  <c r="J328" i="67" s="1"/>
  <c r="S350" i="31"/>
  <c r="T358" i="31"/>
  <c r="J336" i="67" s="1"/>
  <c r="S358" i="31"/>
  <c r="T366" i="31"/>
  <c r="J344" i="67" s="1"/>
  <c r="S366" i="31"/>
  <c r="T374" i="31"/>
  <c r="J352" i="67" s="1"/>
  <c r="S374" i="31"/>
  <c r="T213" i="31"/>
  <c r="J191" i="67" s="1"/>
  <c r="S213" i="31"/>
  <c r="T221" i="31"/>
  <c r="J199" i="67" s="1"/>
  <c r="S221" i="31"/>
  <c r="T229" i="31"/>
  <c r="J207" i="67" s="1"/>
  <c r="S229" i="31"/>
  <c r="T237" i="31"/>
  <c r="J215" i="67" s="1"/>
  <c r="S237" i="31"/>
  <c r="T245" i="31"/>
  <c r="J223" i="67" s="1"/>
  <c r="S245" i="31"/>
  <c r="S253" i="31"/>
  <c r="T253" i="31"/>
  <c r="J231" i="67" s="1"/>
  <c r="T261" i="31"/>
  <c r="J239" i="67" s="1"/>
  <c r="S261" i="31"/>
  <c r="T269" i="31"/>
  <c r="J247" i="67" s="1"/>
  <c r="S269" i="31"/>
  <c r="T277" i="31"/>
  <c r="J255" i="67" s="1"/>
  <c r="S277" i="31"/>
  <c r="T285" i="31"/>
  <c r="J263" i="67" s="1"/>
  <c r="S285" i="31"/>
  <c r="T293" i="31"/>
  <c r="J271" i="67" s="1"/>
  <c r="S293" i="31"/>
  <c r="T301" i="31"/>
  <c r="J279" i="67" s="1"/>
  <c r="S301" i="31"/>
  <c r="T309" i="31"/>
  <c r="J287" i="67" s="1"/>
  <c r="S309" i="31"/>
  <c r="T317" i="31"/>
  <c r="J295" i="67" s="1"/>
  <c r="S317" i="31"/>
  <c r="T325" i="31"/>
  <c r="J303" i="67" s="1"/>
  <c r="S325" i="31"/>
  <c r="T333" i="31"/>
  <c r="J311" i="67" s="1"/>
  <c r="S333" i="31"/>
  <c r="T341" i="31"/>
  <c r="J319" i="67" s="1"/>
  <c r="S341" i="31"/>
  <c r="T349" i="31"/>
  <c r="J327" i="67" s="1"/>
  <c r="S349" i="31"/>
  <c r="T357" i="31"/>
  <c r="J335" i="67" s="1"/>
  <c r="S357" i="31"/>
  <c r="T365" i="31"/>
  <c r="J343" i="67" s="1"/>
  <c r="S365" i="31"/>
  <c r="T373" i="31"/>
  <c r="J351" i="67" s="1"/>
  <c r="S373" i="31"/>
  <c r="T381" i="31"/>
  <c r="J359" i="67" s="1"/>
  <c r="S381" i="31"/>
  <c r="T389" i="31"/>
  <c r="J367" i="67" s="1"/>
  <c r="S389" i="31"/>
  <c r="T397" i="31"/>
  <c r="J375" i="67" s="1"/>
  <c r="S397" i="31"/>
  <c r="T405" i="31"/>
  <c r="J383" i="67" s="1"/>
  <c r="S405" i="31"/>
  <c r="T413" i="31"/>
  <c r="J391" i="67" s="1"/>
  <c r="S413" i="31"/>
  <c r="T421" i="31"/>
  <c r="J399" i="67" s="1"/>
  <c r="S421" i="31"/>
  <c r="S429" i="31"/>
  <c r="T429" i="31"/>
  <c r="J407" i="67" s="1"/>
  <c r="S437" i="31"/>
  <c r="T437" i="31"/>
  <c r="J415" i="67" s="1"/>
  <c r="S445" i="31"/>
  <c r="T445" i="31"/>
  <c r="J423" i="67" s="1"/>
  <c r="S453" i="31"/>
  <c r="T453" i="31"/>
  <c r="J431" i="67" s="1"/>
  <c r="S461" i="31"/>
  <c r="T461" i="31"/>
  <c r="J439" i="67" s="1"/>
  <c r="S469" i="31"/>
  <c r="T469" i="31"/>
  <c r="J447" i="67" s="1"/>
  <c r="S477" i="31"/>
  <c r="T477" i="31"/>
  <c r="J455" i="67" s="1"/>
  <c r="S485" i="31"/>
  <c r="T485" i="31"/>
  <c r="J463" i="67" s="1"/>
  <c r="S493" i="31"/>
  <c r="T493" i="31"/>
  <c r="J471" i="67" s="1"/>
  <c r="T501" i="31"/>
  <c r="J479" i="67" s="1"/>
  <c r="S501" i="31"/>
  <c r="T509" i="31"/>
  <c r="J487" i="67" s="1"/>
  <c r="S509" i="31"/>
  <c r="S517" i="31"/>
  <c r="T517" i="31"/>
  <c r="J495" i="67" s="1"/>
  <c r="S382" i="31"/>
  <c r="T382" i="31"/>
  <c r="J360" i="67" s="1"/>
  <c r="T390" i="31"/>
  <c r="J368" i="67" s="1"/>
  <c r="S390" i="31"/>
  <c r="S398" i="31"/>
  <c r="T398" i="31"/>
  <c r="J376" i="67" s="1"/>
  <c r="T406" i="31"/>
  <c r="J384" i="67" s="1"/>
  <c r="S406" i="31"/>
  <c r="S414" i="31"/>
  <c r="T414" i="31"/>
  <c r="J392" i="67" s="1"/>
  <c r="T422" i="31"/>
  <c r="J400" i="67" s="1"/>
  <c r="S422" i="31"/>
  <c r="T430" i="31"/>
  <c r="J408" i="67" s="1"/>
  <c r="S430" i="31"/>
  <c r="T438" i="31"/>
  <c r="J416" i="67" s="1"/>
  <c r="S438" i="31"/>
  <c r="T446" i="31"/>
  <c r="J424" i="67" s="1"/>
  <c r="S446" i="31"/>
  <c r="T454" i="31"/>
  <c r="J432" i="67" s="1"/>
  <c r="S454" i="31"/>
  <c r="T462" i="31"/>
  <c r="J440" i="67" s="1"/>
  <c r="S462" i="31"/>
  <c r="T470" i="31"/>
  <c r="J448" i="67" s="1"/>
  <c r="S470" i="31"/>
  <c r="T478" i="31"/>
  <c r="J456" i="67" s="1"/>
  <c r="S478" i="31"/>
  <c r="T486" i="31"/>
  <c r="J464" i="67" s="1"/>
  <c r="S486" i="31"/>
  <c r="T494" i="31"/>
  <c r="J472" i="67" s="1"/>
  <c r="S494" i="31"/>
  <c r="T502" i="31"/>
  <c r="J480" i="67" s="1"/>
  <c r="S502" i="31"/>
  <c r="T510" i="31"/>
  <c r="J488" i="67" s="1"/>
  <c r="S510" i="31"/>
  <c r="T518" i="31"/>
  <c r="J496" i="67" s="1"/>
  <c r="S518" i="31"/>
  <c r="T526" i="31"/>
  <c r="J504" i="67" s="1"/>
  <c r="S526" i="31"/>
  <c r="T35" i="31"/>
  <c r="J13" i="67" s="1"/>
  <c r="S35" i="31"/>
  <c r="T525" i="31"/>
  <c r="J503" i="67" s="1"/>
  <c r="S525" i="31"/>
  <c r="S36" i="31"/>
  <c r="T36" i="31"/>
  <c r="J14" i="67" s="1"/>
  <c r="T29" i="31"/>
  <c r="J7" i="67" s="1"/>
  <c r="S29" i="31"/>
  <c r="T197" i="31"/>
  <c r="J175" i="67" s="1"/>
  <c r="S197" i="31"/>
  <c r="T205" i="31"/>
  <c r="J183" i="67" s="1"/>
  <c r="S205" i="31"/>
  <c r="T212" i="31"/>
  <c r="J190" i="67" s="1"/>
  <c r="S212" i="31"/>
  <c r="T220" i="31"/>
  <c r="J198" i="67" s="1"/>
  <c r="S220" i="31"/>
  <c r="T228" i="31"/>
  <c r="J206" i="67" s="1"/>
  <c r="S228" i="31"/>
  <c r="T236" i="31"/>
  <c r="J214" i="67" s="1"/>
  <c r="S236" i="31"/>
  <c r="T244" i="31"/>
  <c r="J222" i="67" s="1"/>
  <c r="S244" i="31"/>
  <c r="T252" i="31"/>
  <c r="J230" i="67" s="1"/>
  <c r="S252" i="31"/>
  <c r="T260" i="31"/>
  <c r="J238" i="67" s="1"/>
  <c r="S260" i="31"/>
  <c r="T268" i="31"/>
  <c r="J246" i="67" s="1"/>
  <c r="S268" i="31"/>
  <c r="T276" i="31"/>
  <c r="J254" i="67" s="1"/>
  <c r="S276" i="31"/>
  <c r="T284" i="31"/>
  <c r="J262" i="67" s="1"/>
  <c r="S284" i="31"/>
  <c r="T292" i="31"/>
  <c r="J270" i="67" s="1"/>
  <c r="S292" i="31"/>
  <c r="T300" i="31"/>
  <c r="J278" i="67" s="1"/>
  <c r="S300" i="31"/>
  <c r="T308" i="31"/>
  <c r="J286" i="67" s="1"/>
  <c r="S308" i="31"/>
  <c r="T316" i="31"/>
  <c r="J294" i="67" s="1"/>
  <c r="S316" i="31"/>
  <c r="S324" i="31"/>
  <c r="T324" i="31"/>
  <c r="J302" i="67" s="1"/>
  <c r="S332" i="31"/>
  <c r="T332" i="31"/>
  <c r="J310" i="67" s="1"/>
  <c r="S340" i="31"/>
  <c r="T340" i="31"/>
  <c r="J318" i="67" s="1"/>
  <c r="S348" i="31"/>
  <c r="T348" i="31"/>
  <c r="J326" i="67" s="1"/>
  <c r="S356" i="31"/>
  <c r="T356" i="31"/>
  <c r="J334" i="67" s="1"/>
  <c r="S364" i="31"/>
  <c r="T364" i="31"/>
  <c r="J342" i="67" s="1"/>
  <c r="S372" i="31"/>
  <c r="T372" i="31"/>
  <c r="J350" i="67" s="1"/>
  <c r="S380" i="31"/>
  <c r="T380" i="31"/>
  <c r="J358" i="67" s="1"/>
  <c r="T219" i="31"/>
  <c r="J197" i="67" s="1"/>
  <c r="S219" i="31"/>
  <c r="T227" i="31"/>
  <c r="J205" i="67" s="1"/>
  <c r="S227" i="31"/>
  <c r="T235" i="31"/>
  <c r="J213" i="67" s="1"/>
  <c r="S235" i="31"/>
  <c r="T243" i="31"/>
  <c r="J221" i="67" s="1"/>
  <c r="S243" i="31"/>
  <c r="T251" i="31"/>
  <c r="J229" i="67" s="1"/>
  <c r="S251" i="31"/>
  <c r="S259" i="31"/>
  <c r="T259" i="31"/>
  <c r="J237" i="67" s="1"/>
  <c r="S267" i="31"/>
  <c r="T267" i="31"/>
  <c r="J245" i="67" s="1"/>
  <c r="S275" i="31"/>
  <c r="T275" i="31"/>
  <c r="J253" i="67" s="1"/>
  <c r="S283" i="31"/>
  <c r="T283" i="31"/>
  <c r="J261" i="67" s="1"/>
  <c r="S291" i="31"/>
  <c r="T291" i="31"/>
  <c r="J269" i="67" s="1"/>
  <c r="S299" i="31"/>
  <c r="T299" i="31"/>
  <c r="J277" i="67" s="1"/>
  <c r="S307" i="31"/>
  <c r="T307" i="31"/>
  <c r="J285" i="67" s="1"/>
  <c r="S315" i="31"/>
  <c r="T315" i="31"/>
  <c r="J293" i="67" s="1"/>
  <c r="S323" i="31"/>
  <c r="T323" i="31"/>
  <c r="J301" i="67" s="1"/>
  <c r="T331" i="31"/>
  <c r="J309" i="67" s="1"/>
  <c r="S331" i="31"/>
  <c r="T339" i="31"/>
  <c r="J317" i="67" s="1"/>
  <c r="S339" i="31"/>
  <c r="T347" i="31"/>
  <c r="J325" i="67" s="1"/>
  <c r="S347" i="31"/>
  <c r="T355" i="31"/>
  <c r="J333" i="67" s="1"/>
  <c r="S355" i="31"/>
  <c r="T363" i="31"/>
  <c r="J341" i="67" s="1"/>
  <c r="S363" i="31"/>
  <c r="T371" i="31"/>
  <c r="J349" i="67" s="1"/>
  <c r="S371" i="31"/>
  <c r="T379" i="31"/>
  <c r="J357" i="67" s="1"/>
  <c r="S379" i="31"/>
  <c r="T387" i="31"/>
  <c r="J365" i="67" s="1"/>
  <c r="S387" i="31"/>
  <c r="T395" i="31"/>
  <c r="J373" i="67" s="1"/>
  <c r="S395" i="31"/>
  <c r="T403" i="31"/>
  <c r="J381" i="67" s="1"/>
  <c r="S403" i="31"/>
  <c r="T411" i="31"/>
  <c r="J389" i="67" s="1"/>
  <c r="S411" i="31"/>
  <c r="T419" i="31"/>
  <c r="J397" i="67" s="1"/>
  <c r="S419" i="31"/>
  <c r="T427" i="31"/>
  <c r="J405" i="67" s="1"/>
  <c r="S427" i="31"/>
  <c r="T435" i="31"/>
  <c r="J413" i="67" s="1"/>
  <c r="S435" i="31"/>
  <c r="T443" i="31"/>
  <c r="J421" i="67" s="1"/>
  <c r="S443" i="31"/>
  <c r="T451" i="31"/>
  <c r="J429" i="67" s="1"/>
  <c r="S451" i="31"/>
  <c r="T459" i="31"/>
  <c r="J437" i="67" s="1"/>
  <c r="S459" i="31"/>
  <c r="T467" i="31"/>
  <c r="J445" i="67" s="1"/>
  <c r="S467" i="31"/>
  <c r="T475" i="31"/>
  <c r="J453" i="67" s="1"/>
  <c r="S475" i="31"/>
  <c r="T483" i="31"/>
  <c r="J461" i="67" s="1"/>
  <c r="S483" i="31"/>
  <c r="T491" i="31"/>
  <c r="J469" i="67" s="1"/>
  <c r="S491" i="31"/>
  <c r="T499" i="31"/>
  <c r="J477" i="67" s="1"/>
  <c r="S499" i="31"/>
  <c r="S507" i="31"/>
  <c r="T507" i="31"/>
  <c r="J485" i="67" s="1"/>
  <c r="T515" i="31"/>
  <c r="J493" i="67" s="1"/>
  <c r="S515" i="31"/>
  <c r="T523" i="31"/>
  <c r="J501" i="67" s="1"/>
  <c r="S523" i="31"/>
  <c r="S388" i="31"/>
  <c r="T388" i="31"/>
  <c r="J366" i="67" s="1"/>
  <c r="S396" i="31"/>
  <c r="T396" i="31"/>
  <c r="J374" i="67" s="1"/>
  <c r="S404" i="31"/>
  <c r="T404" i="31"/>
  <c r="J382" i="67" s="1"/>
  <c r="S412" i="31"/>
  <c r="T412" i="31"/>
  <c r="J390" i="67" s="1"/>
  <c r="S420" i="31"/>
  <c r="T420" i="31"/>
  <c r="J398" i="67" s="1"/>
  <c r="T428" i="31"/>
  <c r="J406" i="67" s="1"/>
  <c r="S428" i="31"/>
  <c r="T436" i="31"/>
  <c r="J414" i="67" s="1"/>
  <c r="S436" i="31"/>
  <c r="T444" i="31"/>
  <c r="J422" i="67" s="1"/>
  <c r="S444" i="31"/>
  <c r="T452" i="31"/>
  <c r="J430" i="67" s="1"/>
  <c r="S452" i="31"/>
  <c r="T460" i="31"/>
  <c r="J438" i="67" s="1"/>
  <c r="S460" i="31"/>
  <c r="T468" i="31"/>
  <c r="J446" i="67" s="1"/>
  <c r="S468" i="31"/>
  <c r="T476" i="31"/>
  <c r="J454" i="67" s="1"/>
  <c r="S476" i="31"/>
  <c r="T484" i="31"/>
  <c r="J462" i="67" s="1"/>
  <c r="S484" i="31"/>
  <c r="S492" i="31"/>
  <c r="T492" i="31"/>
  <c r="J470" i="67" s="1"/>
  <c r="S500" i="31"/>
  <c r="T500" i="31"/>
  <c r="J478" i="67" s="1"/>
  <c r="T508" i="31"/>
  <c r="J486" i="67" s="1"/>
  <c r="S508" i="31"/>
  <c r="T516" i="31"/>
  <c r="J494" i="67" s="1"/>
  <c r="S516" i="31"/>
  <c r="T524" i="31"/>
  <c r="J502" i="67" s="1"/>
  <c r="S524" i="31"/>
  <c r="T33" i="31"/>
  <c r="J11" i="67" s="1"/>
  <c r="S33" i="31"/>
  <c r="T41" i="31"/>
  <c r="J19" i="67" s="1"/>
  <c r="S41" i="31"/>
  <c r="T34" i="31"/>
  <c r="J12" i="67" s="1"/>
  <c r="S34" i="31"/>
  <c r="S28" i="31"/>
  <c r="T28" i="31"/>
  <c r="J6" i="67" s="1"/>
  <c r="S546" i="31"/>
  <c r="T546" i="31"/>
  <c r="J524" i="67" s="1"/>
  <c r="S552" i="31"/>
  <c r="T552" i="31"/>
  <c r="J530" i="67" s="1"/>
  <c r="T558" i="31"/>
  <c r="J536" i="67" s="1"/>
  <c r="S558" i="31"/>
  <c r="S564" i="31"/>
  <c r="T564" i="31"/>
  <c r="J542" i="67" s="1"/>
  <c r="S576" i="31"/>
  <c r="T576" i="31"/>
  <c r="J554" i="67" s="1"/>
  <c r="S589" i="31"/>
  <c r="T589" i="31"/>
  <c r="J567" i="67" s="1"/>
  <c r="S605" i="31"/>
  <c r="T605" i="31"/>
  <c r="J583" i="67" s="1"/>
  <c r="S584" i="31"/>
  <c r="T584" i="31"/>
  <c r="J562" i="67" s="1"/>
  <c r="S566" i="31"/>
  <c r="T566" i="31"/>
  <c r="J544" i="67" s="1"/>
  <c r="S574" i="31"/>
  <c r="T574" i="31"/>
  <c r="J552" i="67" s="1"/>
  <c r="S582" i="31"/>
  <c r="T582" i="31"/>
  <c r="J560" i="67" s="1"/>
  <c r="T591" i="31"/>
  <c r="J569" i="67" s="1"/>
  <c r="S591" i="31"/>
  <c r="S599" i="31"/>
  <c r="T599" i="31"/>
  <c r="J577" i="67" s="1"/>
  <c r="T607" i="31"/>
  <c r="J585" i="67" s="1"/>
  <c r="S607" i="31"/>
  <c r="T615" i="31"/>
  <c r="J593" i="67" s="1"/>
  <c r="S615" i="31"/>
  <c r="T645" i="31"/>
  <c r="J623" i="67" s="1"/>
  <c r="S645" i="31"/>
  <c r="S653" i="31"/>
  <c r="T653" i="31"/>
  <c r="J631" i="67" s="1"/>
  <c r="S661" i="31"/>
  <c r="T661" i="31"/>
  <c r="J639" i="67" s="1"/>
  <c r="S669" i="31"/>
  <c r="T669" i="31"/>
  <c r="J647" i="67" s="1"/>
  <c r="T677" i="31"/>
  <c r="J655" i="67" s="1"/>
  <c r="S677" i="31"/>
  <c r="S550" i="31"/>
  <c r="T550" i="31"/>
  <c r="J528" i="67" s="1"/>
  <c r="T568" i="31"/>
  <c r="J546" i="67" s="1"/>
  <c r="S568" i="31"/>
  <c r="T593" i="31"/>
  <c r="J571" i="67" s="1"/>
  <c r="S593" i="31"/>
  <c r="T609" i="31"/>
  <c r="J587" i="67" s="1"/>
  <c r="S609" i="31"/>
  <c r="S627" i="31"/>
  <c r="T627" i="31"/>
  <c r="J605" i="67" s="1"/>
  <c r="T651" i="31"/>
  <c r="J629" i="67" s="1"/>
  <c r="S651" i="31"/>
  <c r="S659" i="31"/>
  <c r="T659" i="31"/>
  <c r="J637" i="67" s="1"/>
  <c r="S667" i="31"/>
  <c r="T667" i="31"/>
  <c r="J645" i="67" s="1"/>
  <c r="T675" i="31"/>
  <c r="J653" i="67" s="1"/>
  <c r="S675" i="31"/>
  <c r="S621" i="31"/>
  <c r="T621" i="31"/>
  <c r="J599" i="67" s="1"/>
  <c r="T629" i="31"/>
  <c r="J607" i="67" s="1"/>
  <c r="S629" i="31"/>
  <c r="T656" i="31"/>
  <c r="J634" i="67" s="1"/>
  <c r="S656" i="31"/>
  <c r="S660" i="31"/>
  <c r="T660" i="31"/>
  <c r="J638" i="67" s="1"/>
  <c r="S664" i="31"/>
  <c r="T664" i="31"/>
  <c r="J642" i="67" s="1"/>
  <c r="S668" i="31"/>
  <c r="T668" i="31"/>
  <c r="J646" i="67" s="1"/>
  <c r="S672" i="31"/>
  <c r="T672" i="31"/>
  <c r="J650" i="67" s="1"/>
  <c r="T676" i="31"/>
  <c r="J654" i="67" s="1"/>
  <c r="S676" i="31"/>
  <c r="T681" i="31"/>
  <c r="J659" i="67" s="1"/>
  <c r="S681" i="31"/>
  <c r="S689" i="31"/>
  <c r="T689" i="31"/>
  <c r="J667" i="67" s="1"/>
  <c r="T697" i="31"/>
  <c r="J675" i="67" s="1"/>
  <c r="S697" i="31"/>
  <c r="T705" i="31"/>
  <c r="J683" i="67" s="1"/>
  <c r="S705" i="31"/>
  <c r="T713" i="31"/>
  <c r="J691" i="67" s="1"/>
  <c r="S713" i="31"/>
  <c r="S721" i="31"/>
  <c r="T721" i="31"/>
  <c r="J699" i="67" s="1"/>
  <c r="T740" i="31"/>
  <c r="J718" i="67" s="1"/>
  <c r="S740" i="31"/>
  <c r="T744" i="31"/>
  <c r="J722" i="67" s="1"/>
  <c r="S744" i="31"/>
  <c r="T748" i="31"/>
  <c r="J726" i="67" s="1"/>
  <c r="S748" i="31"/>
  <c r="T752" i="31"/>
  <c r="J730" i="67" s="1"/>
  <c r="S752" i="31"/>
  <c r="T756" i="31"/>
  <c r="J734" i="67" s="1"/>
  <c r="S756" i="31"/>
  <c r="T760" i="31"/>
  <c r="J738" i="67" s="1"/>
  <c r="S760" i="31"/>
  <c r="S764" i="31"/>
  <c r="T764" i="31"/>
  <c r="J742" i="67" s="1"/>
  <c r="T768" i="31"/>
  <c r="J746" i="67" s="1"/>
  <c r="S768" i="31"/>
  <c r="T772" i="31"/>
  <c r="J750" i="67" s="1"/>
  <c r="S772" i="31"/>
  <c r="S776" i="31"/>
  <c r="T776" i="31"/>
  <c r="J754" i="67" s="1"/>
  <c r="T780" i="31"/>
  <c r="J758" i="67" s="1"/>
  <c r="S780" i="31"/>
  <c r="T784" i="31"/>
  <c r="J762" i="67" s="1"/>
  <c r="S784" i="31"/>
  <c r="T788" i="31"/>
  <c r="J766" i="67" s="1"/>
  <c r="S788" i="31"/>
  <c r="T792" i="31"/>
  <c r="J770" i="67" s="1"/>
  <c r="S792" i="31"/>
  <c r="S796" i="31"/>
  <c r="T796" i="31"/>
  <c r="J774" i="67" s="1"/>
  <c r="T800" i="31"/>
  <c r="J778" i="67" s="1"/>
  <c r="S800" i="31"/>
  <c r="S804" i="31"/>
  <c r="T804" i="31"/>
  <c r="J782" i="67" s="1"/>
  <c r="T808" i="31"/>
  <c r="J786" i="67" s="1"/>
  <c r="S808" i="31"/>
  <c r="S812" i="31"/>
  <c r="T812" i="31"/>
  <c r="J790" i="67" s="1"/>
  <c r="T816" i="31"/>
  <c r="J794" i="67" s="1"/>
  <c r="S816" i="31"/>
  <c r="S820" i="31"/>
  <c r="T820" i="31"/>
  <c r="J798" i="67" s="1"/>
  <c r="T824" i="31"/>
  <c r="J802" i="67" s="1"/>
  <c r="S824" i="31"/>
  <c r="S833" i="31"/>
  <c r="T833" i="31"/>
  <c r="J811" i="67" s="1"/>
  <c r="S837" i="31"/>
  <c r="T837" i="31"/>
  <c r="J815" i="67" s="1"/>
  <c r="S843" i="31"/>
  <c r="T843" i="31"/>
  <c r="J821" i="67" s="1"/>
  <c r="T530" i="31"/>
  <c r="J508" i="67" s="1"/>
  <c r="S530" i="31"/>
  <c r="S633" i="31"/>
  <c r="T633" i="31"/>
  <c r="J611" i="67" s="1"/>
  <c r="T637" i="31"/>
  <c r="J615" i="67" s="1"/>
  <c r="S637" i="31"/>
  <c r="T641" i="31"/>
  <c r="J619" i="67" s="1"/>
  <c r="S641" i="31"/>
  <c r="T842" i="31"/>
  <c r="J820" i="67" s="1"/>
  <c r="S842" i="31"/>
  <c r="S724" i="31"/>
  <c r="T724" i="31"/>
  <c r="J702" i="67" s="1"/>
  <c r="S683" i="31"/>
  <c r="T683" i="31"/>
  <c r="J661" i="67" s="1"/>
  <c r="T691" i="31"/>
  <c r="J669" i="67" s="1"/>
  <c r="S691" i="31"/>
  <c r="T699" i="31"/>
  <c r="J677" i="67" s="1"/>
  <c r="S699" i="31"/>
  <c r="T707" i="31"/>
  <c r="J685" i="67" s="1"/>
  <c r="S707" i="31"/>
  <c r="S715" i="31"/>
  <c r="T715" i="31"/>
  <c r="J693" i="67" s="1"/>
  <c r="T723" i="31"/>
  <c r="J701" i="67" s="1"/>
  <c r="S723" i="31"/>
  <c r="T727" i="31"/>
  <c r="J705" i="67" s="1"/>
  <c r="S727" i="31"/>
  <c r="S731" i="31"/>
  <c r="T731" i="31"/>
  <c r="J709" i="67" s="1"/>
  <c r="T735" i="31"/>
  <c r="J713" i="67" s="1"/>
  <c r="S735" i="31"/>
  <c r="T826" i="31"/>
  <c r="J804" i="67" s="1"/>
  <c r="S826" i="31"/>
  <c r="S841" i="31"/>
  <c r="T841" i="31"/>
  <c r="J819" i="67" s="1"/>
  <c r="T534" i="31"/>
  <c r="J512" i="67" s="1"/>
  <c r="S534" i="31"/>
  <c r="S538" i="31"/>
  <c r="T538" i="31"/>
  <c r="J516" i="67" s="1"/>
  <c r="S542" i="31"/>
  <c r="T542" i="31"/>
  <c r="J520" i="67" s="1"/>
  <c r="T840" i="31"/>
  <c r="J818" i="67" s="1"/>
  <c r="S840" i="31"/>
  <c r="S834" i="31"/>
  <c r="T834" i="31"/>
  <c r="J812" i="67" s="1"/>
  <c r="T827" i="31"/>
  <c r="J805" i="67" s="1"/>
  <c r="S827" i="31"/>
  <c r="S819" i="31"/>
  <c r="T819" i="31"/>
  <c r="J797" i="67" s="1"/>
  <c r="S811" i="31"/>
  <c r="T811" i="31"/>
  <c r="J789" i="67" s="1"/>
  <c r="S803" i="31"/>
  <c r="T803" i="31"/>
  <c r="J781" i="67" s="1"/>
  <c r="S795" i="31"/>
  <c r="T795" i="31"/>
  <c r="J773" i="67" s="1"/>
  <c r="S787" i="31"/>
  <c r="T787" i="31"/>
  <c r="J765" i="67" s="1"/>
  <c r="S779" i="31"/>
  <c r="T779" i="31"/>
  <c r="J757" i="67" s="1"/>
  <c r="S771" i="31"/>
  <c r="T771" i="31"/>
  <c r="J749" i="67" s="1"/>
  <c r="S763" i="31"/>
  <c r="T763" i="31"/>
  <c r="J741" i="67" s="1"/>
  <c r="S755" i="31"/>
  <c r="T755" i="31"/>
  <c r="J733" i="67" s="1"/>
  <c r="S747" i="31"/>
  <c r="T747" i="31"/>
  <c r="J725" i="67" s="1"/>
  <c r="S739" i="31"/>
  <c r="T739" i="31"/>
  <c r="J717" i="67" s="1"/>
  <c r="S730" i="31"/>
  <c r="T730" i="31"/>
  <c r="J708" i="67" s="1"/>
  <c r="S718" i="31"/>
  <c r="T718" i="31"/>
  <c r="J696" i="67" s="1"/>
  <c r="S710" i="31"/>
  <c r="T710" i="31"/>
  <c r="J688" i="67" s="1"/>
  <c r="S702" i="31"/>
  <c r="T702" i="31"/>
  <c r="J680" i="67" s="1"/>
  <c r="S694" i="31"/>
  <c r="T694" i="31"/>
  <c r="J672" i="67" s="1"/>
  <c r="S686" i="31"/>
  <c r="T686" i="31"/>
  <c r="J664" i="67" s="1"/>
  <c r="S652" i="31"/>
  <c r="T652" i="31"/>
  <c r="J630" i="67" s="1"/>
  <c r="S644" i="31"/>
  <c r="T644" i="31"/>
  <c r="J622" i="67" s="1"/>
  <c r="S636" i="31"/>
  <c r="T636" i="31"/>
  <c r="J614" i="67" s="1"/>
  <c r="S628" i="31"/>
  <c r="T628" i="31"/>
  <c r="J606" i="67" s="1"/>
  <c r="S620" i="31"/>
  <c r="T620" i="31"/>
  <c r="J598" i="67" s="1"/>
  <c r="S612" i="31"/>
  <c r="T612" i="31"/>
  <c r="J590" i="67" s="1"/>
  <c r="S604" i="31"/>
  <c r="T604" i="31"/>
  <c r="J582" i="67" s="1"/>
  <c r="S596" i="31"/>
  <c r="T596" i="31"/>
  <c r="J574" i="67" s="1"/>
  <c r="S588" i="31"/>
  <c r="T588" i="31"/>
  <c r="J566" i="67" s="1"/>
  <c r="S579" i="31"/>
  <c r="T579" i="31"/>
  <c r="J557" i="67" s="1"/>
  <c r="S571" i="31"/>
  <c r="T571" i="31"/>
  <c r="J549" i="67" s="1"/>
  <c r="S563" i="31"/>
  <c r="T563" i="31"/>
  <c r="J541" i="67" s="1"/>
  <c r="S555" i="31"/>
  <c r="T555" i="31"/>
  <c r="J533" i="67" s="1"/>
  <c r="S547" i="31"/>
  <c r="T547" i="31"/>
  <c r="J525" i="67" s="1"/>
  <c r="S539" i="31"/>
  <c r="T539" i="31"/>
  <c r="J517" i="67" s="1"/>
  <c r="S531" i="31"/>
  <c r="T531" i="31"/>
  <c r="J509" i="67" s="1"/>
  <c r="S832" i="31"/>
  <c r="T832" i="31"/>
  <c r="J810" i="67" s="1"/>
  <c r="T825" i="31"/>
  <c r="J803" i="67" s="1"/>
  <c r="S825" i="31"/>
  <c r="S817" i="31"/>
  <c r="T817" i="31"/>
  <c r="J795" i="67" s="1"/>
  <c r="S809" i="31"/>
  <c r="T809" i="31"/>
  <c r="J787" i="67" s="1"/>
  <c r="S801" i="31"/>
  <c r="T801" i="31"/>
  <c r="J779" i="67" s="1"/>
  <c r="S793" i="31"/>
  <c r="T793" i="31"/>
  <c r="J771" i="67" s="1"/>
  <c r="S785" i="31"/>
  <c r="T785" i="31"/>
  <c r="J763" i="67" s="1"/>
  <c r="S777" i="31"/>
  <c r="T777" i="31"/>
  <c r="J755" i="67" s="1"/>
  <c r="S769" i="31"/>
  <c r="T769" i="31"/>
  <c r="J747" i="67" s="1"/>
  <c r="S761" i="31"/>
  <c r="T761" i="31"/>
  <c r="J739" i="67" s="1"/>
  <c r="S753" i="31"/>
  <c r="T753" i="31"/>
  <c r="J731" i="67" s="1"/>
  <c r="S745" i="31"/>
  <c r="T745" i="31"/>
  <c r="J723" i="67" s="1"/>
  <c r="S736" i="31"/>
  <c r="T736" i="31"/>
  <c r="J714" i="67" s="1"/>
  <c r="S728" i="31"/>
  <c r="T728" i="31"/>
  <c r="J706" i="67" s="1"/>
  <c r="T716" i="31"/>
  <c r="J694" i="67" s="1"/>
  <c r="S716" i="31"/>
  <c r="T708" i="31"/>
  <c r="J686" i="67" s="1"/>
  <c r="S708" i="31"/>
  <c r="T700" i="31"/>
  <c r="J678" i="67" s="1"/>
  <c r="S700" i="31"/>
  <c r="T692" i="31"/>
  <c r="J670" i="67" s="1"/>
  <c r="S692" i="31"/>
  <c r="T684" i="31"/>
  <c r="J662" i="67" s="1"/>
  <c r="S684" i="31"/>
  <c r="S650" i="31"/>
  <c r="T650" i="31"/>
  <c r="J628" i="67" s="1"/>
  <c r="S642" i="31"/>
  <c r="T642" i="31"/>
  <c r="J620" i="67" s="1"/>
  <c r="S634" i="31"/>
  <c r="T634" i="31"/>
  <c r="J612" i="67" s="1"/>
  <c r="S626" i="31"/>
  <c r="T626" i="31"/>
  <c r="J604" i="67" s="1"/>
  <c r="S618" i="31"/>
  <c r="T618" i="31"/>
  <c r="J596" i="67" s="1"/>
  <c r="S610" i="31"/>
  <c r="T610" i="31"/>
  <c r="J588" i="67" s="1"/>
  <c r="S602" i="31"/>
  <c r="T602" i="31"/>
  <c r="J580" i="67" s="1"/>
  <c r="S594" i="31"/>
  <c r="T594" i="31"/>
  <c r="J572" i="67" s="1"/>
  <c r="S586" i="31"/>
  <c r="T586" i="31"/>
  <c r="J564" i="67" s="1"/>
  <c r="S577" i="31"/>
  <c r="T577" i="31"/>
  <c r="J555" i="67" s="1"/>
  <c r="S569" i="31"/>
  <c r="T569" i="31"/>
  <c r="J547" i="67" s="1"/>
  <c r="S561" i="31"/>
  <c r="T561" i="31"/>
  <c r="J539" i="67" s="1"/>
  <c r="S553" i="31"/>
  <c r="T553" i="31"/>
  <c r="J531" i="67" s="1"/>
  <c r="S545" i="31"/>
  <c r="T545" i="31"/>
  <c r="J523" i="67" s="1"/>
  <c r="S537" i="31"/>
  <c r="T537" i="31"/>
  <c r="J515" i="67" s="1"/>
  <c r="S529" i="31"/>
  <c r="T529" i="31"/>
  <c r="J507" i="67" s="1"/>
  <c r="E46" i="40"/>
  <c r="F46" i="40" s="1"/>
  <c r="E47" i="40"/>
  <c r="F47" i="40" s="1"/>
  <c r="I52" i="39"/>
  <c r="J52" i="39" s="1"/>
  <c r="E51" i="39"/>
  <c r="F51" i="39" s="1"/>
  <c r="E52" i="39"/>
  <c r="F52" i="39" s="1"/>
  <c r="C42" i="40"/>
  <c r="C43" i="40"/>
  <c r="C47" i="39"/>
  <c r="C48" i="39"/>
  <c r="I47" i="40"/>
  <c r="J47" i="40" s="1"/>
  <c r="J823" i="67" l="1"/>
  <c r="T25" i="31"/>
  <c r="B23" i="31" s="1"/>
  <c r="B2" i="31" s="1"/>
  <c r="C33" i="57" s="1"/>
  <c r="H124" i="57" s="1"/>
  <c r="S25"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I104" i="57" s="1"/>
  <c r="I103" i="57"/>
  <c r="C106" i="57"/>
  <c r="D109" i="57"/>
  <c r="D14" i="62"/>
  <c r="H125" i="57"/>
  <c r="F61" i="40"/>
  <c r="B2" i="40" s="1"/>
  <c r="B3" i="40" s="1"/>
  <c r="F66" i="39"/>
  <c r="B2" i="39" s="1"/>
  <c r="B3" i="39" s="1"/>
  <c r="D110" i="57" l="1"/>
  <c r="C107" i="57"/>
  <c r="E14" i="62"/>
  <c r="F14" i="62"/>
  <c r="B5" i="62"/>
  <c r="D115" i="57"/>
  <c r="D120" i="57"/>
  <c r="I116" i="57" s="1"/>
  <c r="I113" i="57"/>
  <c r="I111" i="57"/>
  <c r="D128" i="57" s="1"/>
  <c r="G14" i="62" s="1"/>
  <c r="B6" i="62" s="1"/>
  <c r="C6" i="62" s="1"/>
  <c r="M49" i="57"/>
  <c r="D46" i="57"/>
  <c r="D116" i="57" l="1"/>
  <c r="I112" i="57" s="1"/>
  <c r="D129" i="57" s="1"/>
  <c r="D6" i="62"/>
  <c r="D130" i="57"/>
  <c r="H14" i="62" s="1"/>
  <c r="B7" i="62" s="1"/>
  <c r="M50" i="57"/>
  <c r="D53" i="57"/>
  <c r="C86" i="57"/>
  <c r="C94" i="57"/>
  <c r="C87" i="57" s="1"/>
  <c r="D56" i="57"/>
  <c r="M54" i="57" s="1"/>
  <c r="C65" i="57"/>
  <c r="C64" i="57" s="1"/>
  <c r="C68" i="57" s="1"/>
  <c r="C69" i="57" s="1"/>
  <c r="D55" i="57" s="1"/>
  <c r="C79" i="57"/>
  <c r="C74" i="57" s="1"/>
  <c r="C73" i="57"/>
  <c r="D54" i="57"/>
  <c r="D49" i="57" s="1"/>
  <c r="M53" i="57" s="1"/>
  <c r="D5" i="62"/>
  <c r="C5" i="62"/>
  <c r="M56" i="9"/>
  <c r="D130" i="9"/>
  <c r="D13" i="52" s="1"/>
  <c r="C80" i="57" l="1"/>
  <c r="C81" i="57" s="1"/>
  <c r="E81" i="57" s="1"/>
  <c r="E82" i="57" s="1"/>
  <c r="D7" i="62"/>
  <c r="C7" i="62"/>
  <c r="C96" i="57"/>
  <c r="L69" i="57"/>
  <c r="M69" i="57" s="1"/>
  <c r="L66" i="57"/>
  <c r="M66" i="57" s="1"/>
  <c r="L68" i="57"/>
  <c r="M68" i="57" s="1"/>
  <c r="L67" i="57"/>
  <c r="M67" i="57" s="1"/>
  <c r="L64" i="57"/>
  <c r="M64" i="57" s="1"/>
  <c r="M70" i="57" s="1"/>
  <c r="N70" i="57" s="1"/>
  <c r="L65" i="57"/>
  <c r="M65" i="57" s="1"/>
  <c r="D35" i="9"/>
  <c r="C35" i="9" s="1"/>
  <c r="C82" i="57" l="1"/>
  <c r="C97" i="57"/>
  <c r="E97" i="57" s="1"/>
  <c r="E98" i="57" s="1"/>
  <c r="C34" i="9"/>
  <c r="D34" i="9"/>
  <c r="C98" i="57" l="1"/>
  <c r="D59" i="57" s="1"/>
  <c r="D57" i="57" s="1"/>
  <c r="M55" i="57" s="1"/>
  <c r="N58" i="57" s="1"/>
  <c r="P58" i="57" s="1"/>
  <c r="I112" i="9"/>
  <c r="D114" i="9"/>
  <c r="D115" i="9" s="1"/>
  <c r="N59" i="57" l="1"/>
  <c r="N60" i="57"/>
  <c r="N62" i="57" s="1"/>
  <c r="I113" i="9"/>
  <c r="D41" i="50"/>
  <c r="B63" i="60" s="1"/>
  <c r="D39" i="50"/>
  <c r="D40" i="50" s="1"/>
  <c r="D18" i="50"/>
  <c r="D127" i="9"/>
  <c r="D10" i="52" s="1"/>
  <c r="M49" i="9"/>
  <c r="N61" i="57" l="1"/>
  <c r="D128" i="9"/>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122" i="9" s="1"/>
  <c r="D5" i="52" s="1"/>
  <c r="B39" i="60" s="1"/>
  <c r="H121" i="9"/>
  <c r="H4" i="52" s="1"/>
  <c r="I102" i="9" l="1"/>
  <c r="D28" i="50" s="1"/>
  <c r="D29" i="50" s="1"/>
  <c r="I121" i="9"/>
  <c r="I4" i="52" s="1"/>
  <c r="D106" i="9"/>
  <c r="D112" i="9" s="1"/>
  <c r="D113" i="9" s="1"/>
  <c r="D38" i="50" s="1"/>
  <c r="B62" i="60" s="1"/>
  <c r="H122" i="9"/>
  <c r="H5" i="52" s="1"/>
  <c r="E121" i="9"/>
  <c r="E4" i="52" s="1"/>
  <c r="B38" i="60" s="1"/>
  <c r="D4" i="52"/>
  <c r="B37" i="60" s="1"/>
  <c r="C103" i="9"/>
  <c r="F122" i="9"/>
  <c r="F5" i="52" s="1"/>
  <c r="B42" i="60" s="1"/>
  <c r="G121" i="9"/>
  <c r="G4" i="52" s="1"/>
  <c r="B41" i="60" s="1"/>
  <c r="D117" i="9" l="1"/>
  <c r="D44" i="50" s="1"/>
  <c r="D7" i="50"/>
  <c r="D8" i="50" s="1"/>
  <c r="B22" i="60" s="1"/>
  <c r="M48" i="9"/>
  <c r="I111" i="9"/>
  <c r="D17" i="50" s="1"/>
  <c r="I110" i="9"/>
  <c r="D36" i="50" s="1"/>
  <c r="D37" i="50" s="1"/>
  <c r="D45" i="9"/>
  <c r="D59" i="9" s="1"/>
  <c r="M55" i="9" s="1"/>
  <c r="C104" i="9"/>
  <c r="D107" i="9"/>
  <c r="I103" i="9"/>
  <c r="D30" i="50" s="1"/>
  <c r="B19" i="60" l="1"/>
  <c r="D15" i="50"/>
  <c r="D16" i="50" s="1"/>
  <c r="B30" i="60" s="1"/>
  <c r="I115" i="9"/>
  <c r="D23" i="50" s="1"/>
  <c r="B34" i="60" s="1"/>
  <c r="D52" i="9"/>
  <c r="D126" i="9"/>
  <c r="D9" i="52" s="1"/>
  <c r="D125" i="9"/>
  <c r="D8" i="52" s="1"/>
  <c r="D9" i="50"/>
  <c r="B21" i="60" s="1"/>
  <c r="C64" i="9"/>
  <c r="C63" i="9" s="1"/>
  <c r="C67" i="9" s="1"/>
  <c r="C68" i="9" s="1"/>
  <c r="D54" i="9" s="1"/>
  <c r="D55" i="9"/>
  <c r="M53" i="9" s="1"/>
  <c r="C72" i="9"/>
  <c r="C93" i="9"/>
  <c r="C86" i="9" s="1"/>
  <c r="C85" i="9"/>
  <c r="D53" i="9"/>
  <c r="D48" i="9" s="1"/>
  <c r="M52" i="9" s="1"/>
  <c r="C78" i="9"/>
  <c r="C73" i="9" s="1"/>
  <c r="B29" i="60" l="1"/>
  <c r="C79" i="9"/>
  <c r="C81" i="9" s="1"/>
  <c r="C95" i="9"/>
  <c r="C97" i="9" s="1"/>
  <c r="D58" i="9" s="1"/>
  <c r="D56" i="9" s="1"/>
  <c r="M54" i="9" s="1"/>
  <c r="N57" i="9" s="1"/>
  <c r="C80" i="9" l="1"/>
  <c r="E80" i="9" s="1"/>
  <c r="E81" i="9" s="1"/>
  <c r="C96" i="9"/>
  <c r="E96" i="9" s="1"/>
  <c r="E97" i="9" s="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sharedStrings.xml><?xml version="1.0" encoding="utf-8"?>
<sst xmlns="http://schemas.openxmlformats.org/spreadsheetml/2006/main" count="19914" uniqueCount="9721">
  <si>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</si>
  <si>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</si>
  <si>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</si>
  <si>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</si>
  <si>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</si>
  <si>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</si>
  <si>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</si>
  <si>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</si>
  <si>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</si>
  <si>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</si>
  <si>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</si>
  <si>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</si>
  <si>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</si>
  <si>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</si>
  <si>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</si>
  <si>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</si>
  <si>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</si>
  <si>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</si>
  <si>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</si>
  <si>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</si>
  <si>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</si>
  <si>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</si>
  <si>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</si>
  <si>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</si>
  <si>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</si>
  <si>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</si>
  <si>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</si>
  <si>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</si>
  <si>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</si>
  <si>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</si>
  <si>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</si>
  <si>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</si>
  <si>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</si>
  <si>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</si>
  <si>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</si>
  <si>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</si>
  <si>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</si>
  <si>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</si>
  <si>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</si>
  <si>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</si>
  <si>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</si>
  <si>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</si>
  <si>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</si>
  <si>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</si>
  <si>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</si>
  <si>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</si>
  <si>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</si>
  <si>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</si>
  <si>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</si>
  <si>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</si>
  <si>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</si>
  <si>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</si>
  <si>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</si>
  <si>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</si>
  <si>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</si>
  <si>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</si>
  <si>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</si>
  <si>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</si>
  <si>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</si>
  <si>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</si>
  <si>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</si>
  <si>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</si>
  <si>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</si>
  <si>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</si>
  <si>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</si>
  <si>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</si>
  <si>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</si>
  <si>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</si>
  <si>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</si>
  <si>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</si>
  <si>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</si>
  <si>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</si>
  <si>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</si>
  <si>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</si>
  <si>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</si>
  <si>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</si>
  <si>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</si>
  <si>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</si>
  <si>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</si>
  <si>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</si>
  <si>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</si>
  <si>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</si>
  <si>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</si>
  <si>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</si>
  <si>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</si>
  <si>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</si>
  <si>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</si>
  <si>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</si>
  <si>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</si>
  <si>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</si>
  <si>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</si>
  <si>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</si>
  <si>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</si>
  <si>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</si>
  <si>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</si>
  <si>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</si>
  <si>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</si>
  <si>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</si>
  <si>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</si>
  <si>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</si>
  <si>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</si>
  <si>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</si>
  <si>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</si>
  <si>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</si>
  <si>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</si>
  <si>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</si>
  <si>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</si>
  <si>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</si>
  <si>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</si>
  <si>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</si>
  <si>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</si>
  <si>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</si>
  <si>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</si>
  <si>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</si>
  <si>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</si>
  <si>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</si>
  <si>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</si>
  <si>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</si>
  <si>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</si>
  <si>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</si>
  <si>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</si>
  <si>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</si>
  <si>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</si>
  <si>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</si>
  <si>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</si>
  <si>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</si>
  <si>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</si>
  <si>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</si>
  <si>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</si>
  <si>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</si>
  <si>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</si>
  <si>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</si>
  <si>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</si>
  <si>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</si>
  <si>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</si>
  <si>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</si>
  <si>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</si>
  <si>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</si>
  <si>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</si>
  <si>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</si>
  <si>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</si>
  <si>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</si>
  <si>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</si>
  <si>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</si>
  <si>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</si>
  <si>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</si>
  <si>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</si>
  <si>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</si>
  <si>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</si>
  <si>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</si>
  <si>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</si>
  <si>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</si>
  <si>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</si>
  <si>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</si>
  <si>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</si>
  <si>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</si>
  <si>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</si>
  <si>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</si>
  <si>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</si>
  <si>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</si>
  <si>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</si>
  <si>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</si>
  <si>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</si>
  <si>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</si>
  <si>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</si>
  <si>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</si>
  <si>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</si>
  <si>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</si>
  <si>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</si>
  <si>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</si>
  <si>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</si>
  <si>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</si>
  <si>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</si>
  <si>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</si>
  <si>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</si>
  <si>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</si>
  <si>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</si>
  <si>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</si>
  <si>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</si>
  <si>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</si>
  <si>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</si>
  <si>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</si>
  <si>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</si>
  <si>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</si>
  <si>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</si>
  <si>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</si>
  <si>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</si>
  <si>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</si>
  <si>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</si>
  <si>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</si>
  <si>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</si>
  <si>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</si>
  <si>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</si>
  <si>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</si>
  <si>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</si>
  <si>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</si>
  <si>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</si>
  <si>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</si>
  <si>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</si>
  <si>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</si>
  <si>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</si>
  <si>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</si>
  <si>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</si>
  <si>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</si>
  <si>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</si>
  <si>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</si>
  <si>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</si>
  <si>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</si>
  <si>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</si>
  <si>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</si>
  <si>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</si>
  <si>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</si>
  <si>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</si>
  <si>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</si>
  <si>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</si>
  <si>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</si>
  <si>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</si>
  <si>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</si>
  <si>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</si>
  <si>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</si>
  <si>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</si>
  <si>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</si>
  <si>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</si>
  <si>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</si>
  <si>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</si>
  <si>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</si>
  <si>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</si>
  <si>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</si>
  <si>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</si>
  <si>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</si>
  <si>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</si>
  <si>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</si>
  <si>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</si>
  <si>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</si>
  <si>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</si>
  <si>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</si>
  <si>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</si>
  <si>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</si>
  <si>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</si>
  <si>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</si>
  <si>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</si>
  <si>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</si>
  <si>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</si>
  <si>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</si>
  <si>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</si>
  <si>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</si>
  <si>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</si>
  <si>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</si>
  <si>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</si>
  <si>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</si>
  <si>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</si>
  <si>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</si>
  <si>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</si>
  <si>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</si>
  <si>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</si>
  <si>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</si>
  <si>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</si>
  <si>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</si>
  <si>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</si>
  <si>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</si>
  <si>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</si>
  <si>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</si>
  <si>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</si>
  <si>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</si>
  <si>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</si>
  <si>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</si>
  <si>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</si>
  <si>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</si>
  <si>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</si>
  <si>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</si>
  <si>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</si>
  <si>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</si>
  <si>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</si>
  <si>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</si>
  <si>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</si>
  <si>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</si>
  <si>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</si>
  <si>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</si>
  <si>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</si>
  <si>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</si>
  <si>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</si>
  <si>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</si>
  <si>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</si>
  <si>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</si>
  <si>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</si>
  <si>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</si>
  <si>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</si>
  <si>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</si>
  <si>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</si>
  <si>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</si>
  <si>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</si>
  <si>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</si>
  <si>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</si>
  <si>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</si>
  <si>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</si>
  <si>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</si>
  <si>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</si>
  <si>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</si>
  <si>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</si>
  <si>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</si>
  <si>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</si>
  <si>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</si>
  <si>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</si>
  <si>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</si>
  <si>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</si>
  <si>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</si>
  <si>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</si>
  <si>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</si>
  <si>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</si>
  <si>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</si>
  <si>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</si>
  <si>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</si>
  <si>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</si>
  <si>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</si>
  <si>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</si>
  <si>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</si>
  <si>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</si>
  <si>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</si>
  <si>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</si>
  <si>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</si>
  <si>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</si>
  <si>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</si>
  <si>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</si>
  <si>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</si>
  <si>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</si>
  <si>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</si>
  <si>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</si>
  <si>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</si>
  <si>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</si>
  <si>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</si>
  <si>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</si>
  <si>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</si>
  <si>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</si>
  <si>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</si>
  <si>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</si>
  <si>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</si>
  <si>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</si>
  <si>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</si>
  <si>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</si>
  <si>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</si>
  <si>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</si>
  <si>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</si>
  <si>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</si>
  <si>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</si>
  <si>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</si>
  <si>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</si>
  <si>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</si>
  <si>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</si>
  <si>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</si>
  <si>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</si>
  <si>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</si>
  <si>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</si>
  <si>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</si>
  <si>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</si>
  <si>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</si>
  <si>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</si>
  <si>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</si>
  <si>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</si>
  <si>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</si>
  <si>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</si>
  <si>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</si>
  <si>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</si>
  <si>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</si>
  <si>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</si>
  <si>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</si>
  <si>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</si>
  <si>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</si>
  <si>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</si>
  <si>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</si>
  <si>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</si>
  <si>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</si>
  <si>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</si>
  <si>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</si>
  <si>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</si>
  <si>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</si>
  <si>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</si>
  <si>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</si>
  <si>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</si>
  <si>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</si>
  <si>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</si>
  <si>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</si>
  <si>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</si>
  <si>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</si>
  <si>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</si>
  <si>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</si>
  <si>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</si>
  <si>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</si>
  <si>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</si>
  <si>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</si>
  <si>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</si>
  <si>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</si>
  <si>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</si>
  <si>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</si>
  <si>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</si>
  <si>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</si>
  <si>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</si>
  <si>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</si>
  <si>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</si>
  <si>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</si>
  <si>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</si>
  <si>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</si>
  <si>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</si>
  <si>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</si>
  <si>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</si>
  <si>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</si>
  <si>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</si>
  <si>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</si>
  <si>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</si>
  <si>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</si>
  <si>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</si>
  <si>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</si>
  <si>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</si>
  <si>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</si>
  <si>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</si>
  <si>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</si>
  <si>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</si>
  <si>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</si>
  <si>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</si>
  <si>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</si>
  <si>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</si>
  <si>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</si>
  <si>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</si>
  <si>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</si>
  <si>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</si>
  <si>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</si>
  <si>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</si>
  <si>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</si>
  <si>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</si>
  <si>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</si>
  <si>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</si>
  <si>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</si>
  <si>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</si>
  <si>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</si>
  <si>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</si>
  <si>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</si>
  <si>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</si>
  <si>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</si>
  <si>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</si>
  <si>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</si>
  <si>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</si>
  <si>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</si>
  <si>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</si>
  <si>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</si>
  <si>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</si>
  <si>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</si>
  <si>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</si>
  <si>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</si>
  <si>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</si>
  <si>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</si>
  <si>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</si>
  <si>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</si>
  <si>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</si>
  <si>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</si>
  <si>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</si>
  <si>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</si>
  <si>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</si>
  <si>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</si>
  <si>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</si>
  <si>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</si>
  <si>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</si>
  <si>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</si>
  <si>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</si>
  <si>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</si>
  <si>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</si>
  <si>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</si>
  <si>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</si>
  <si>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</si>
  <si>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</si>
  <si>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</si>
  <si>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</si>
  <si>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</si>
  <si>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</si>
  <si>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</si>
  <si>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</si>
  <si>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</si>
  <si>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</si>
  <si>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</si>
  <si>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</si>
  <si>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</si>
  <si>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</si>
  <si>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</si>
  <si>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</si>
  <si>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</si>
  <si>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</si>
  <si>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</si>
  <si>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</si>
  <si>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</si>
  <si>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</si>
  <si>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</si>
  <si>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</si>
  <si>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</si>
  <si>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</si>
  <si>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</si>
  <si>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</si>
  <si>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</si>
  <si>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</si>
  <si>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</si>
  <si>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</si>
  <si>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</si>
  <si>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</si>
  <si>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</si>
  <si>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</si>
  <si>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</si>
  <si>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</si>
  <si>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</si>
  <si>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</si>
  <si>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</si>
  <si>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</si>
  <si>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</si>
  <si>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</si>
  <si>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</si>
  <si>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</si>
  <si>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</si>
  <si>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</si>
  <si>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</si>
  <si>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</si>
  <si>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</si>
  <si>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</si>
  <si>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</si>
  <si>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</si>
  <si>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</si>
  <si>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</si>
  <si>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</si>
  <si>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</si>
  <si>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</si>
  <si>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</si>
  <si>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</si>
  <si>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</si>
  <si>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</si>
  <si>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</si>
  <si>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</si>
  <si>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</si>
  <si>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</si>
  <si>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</si>
  <si>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</si>
  <si>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</si>
  <si>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</si>
  <si>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</si>
  <si>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</si>
  <si>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</si>
  <si>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</si>
  <si>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</si>
  <si>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</si>
  <si>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</si>
  <si>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</si>
  <si>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</si>
  <si>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</si>
  <si>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</si>
  <si>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</si>
  <si>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</si>
  <si>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</si>
  <si>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</si>
  <si>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</si>
  <si>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</si>
  <si>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</si>
  <si>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</si>
  <si>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</si>
  <si>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</si>
  <si>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</si>
  <si>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</si>
  <si>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</si>
  <si>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</si>
  <si>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</si>
  <si>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</si>
  <si>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</si>
  <si>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</si>
  <si>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</si>
  <si>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</si>
  <si>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</si>
  <si>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</si>
  <si>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</si>
  <si>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</si>
  <si>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</si>
  <si>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</si>
  <si>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</si>
  <si>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</si>
  <si>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</si>
  <si>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</si>
  <si>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</si>
  <si>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</si>
  <si>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</si>
  <si>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</si>
  <si>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</si>
  <si>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</si>
  <si>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</si>
  <si>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</si>
  <si>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</si>
  <si>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</si>
  <si>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</si>
  <si>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</si>
  <si>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</si>
  <si>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</si>
  <si>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</si>
  <si>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</si>
  <si>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</si>
  <si>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</si>
  <si>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</si>
  <si>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</si>
  <si>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</si>
  <si>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</si>
  <si>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</si>
  <si>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</si>
  <si>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</si>
  <si>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</si>
  <si>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</si>
  <si>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</si>
  <si>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</si>
  <si>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</si>
  <si>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</si>
  <si>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</si>
  <si>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</si>
  <si>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</si>
  <si>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</si>
  <si>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</si>
  <si>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</si>
  <si>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</si>
  <si>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</si>
  <si>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</si>
  <si>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</si>
  <si>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</si>
  <si>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</si>
  <si>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</si>
  <si>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</si>
  <si>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</si>
  <si>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</si>
  <si>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</si>
  <si>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</si>
  <si>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</si>
  <si>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</si>
  <si>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</si>
  <si>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</si>
  <si>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</si>
  <si>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</si>
  <si>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</si>
  <si>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</si>
  <si>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</si>
  <si>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</si>
  <si>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</si>
  <si>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</si>
  <si>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</si>
  <si>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</si>
  <si>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</si>
  <si>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</si>
  <si>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</si>
  <si>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</si>
  <si>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</si>
  <si>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</si>
  <si>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</si>
  <si>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</si>
  <si>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</si>
  <si>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</si>
  <si>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</si>
  <si>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</si>
  <si>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</si>
  <si>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</si>
  <si>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</si>
  <si>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</si>
  <si>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</si>
  <si>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</si>
  <si>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</si>
  <si>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</si>
  <si>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</si>
  <si>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</si>
  <si>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</si>
  <si>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</si>
  <si>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</si>
  <si>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</si>
  <si>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</si>
  <si>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</si>
  <si>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</si>
  <si>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</si>
  <si>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</si>
  <si>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</si>
  <si>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</si>
  <si>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</si>
  <si>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</si>
  <si>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</si>
  <si>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</si>
  <si>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</si>
  <si>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</si>
  <si>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</si>
  <si>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</si>
  <si>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</si>
  <si>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</si>
  <si>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</si>
  <si>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</si>
  <si>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</si>
  <si>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</si>
  <si>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</si>
  <si>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</si>
  <si>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</si>
  <si>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</si>
  <si>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</si>
  <si>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</si>
  <si>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</si>
  <si>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</si>
  <si>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</si>
  <si>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</si>
  <si>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</si>
  <si>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</si>
  <si>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</si>
  <si>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</si>
  <si>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</si>
  <si>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</si>
  <si>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</si>
  <si>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</si>
  <si>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</si>
  <si>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</si>
  <si>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</si>
  <si>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</si>
  <si>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</si>
  <si>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</si>
  <si>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</si>
  <si>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</si>
  <si>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</si>
  <si>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</si>
  <si>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</si>
  <si>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</si>
  <si>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</si>
  <si>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</si>
  <si>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</si>
  <si>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</si>
  <si>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</si>
  <si>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</si>
  <si>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</si>
  <si>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</si>
  <si>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</si>
  <si>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</si>
  <si>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</si>
  <si>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</si>
  <si>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</si>
  <si>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</si>
  <si>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</si>
  <si>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</si>
  <si>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</si>
  <si>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</si>
  <si>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</si>
  <si>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</si>
  <si>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</si>
  <si>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</si>
  <si>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</si>
  <si>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</si>
  <si>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</si>
  <si>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</si>
  <si>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</si>
  <si>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</si>
  <si>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</si>
  <si>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</si>
  <si>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</si>
  <si>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</si>
  <si>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</si>
  <si>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</si>
  <si>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</si>
  <si>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</si>
  <si>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</si>
  <si>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</si>
  <si>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</si>
  <si>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</si>
  <si>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</si>
  <si>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</si>
  <si>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</si>
  <si>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</si>
  <si>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</si>
  <si>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</si>
  <si>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</si>
  <si>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</si>
  <si>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</si>
  <si>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</si>
  <si>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</si>
  <si>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</si>
  <si>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</si>
  <si>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</si>
  <si>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</si>
  <si>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</si>
  <si>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</si>
  <si>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</si>
  <si>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</si>
  <si>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</si>
  <si>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</si>
  <si>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</si>
  <si>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</si>
  <si>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</si>
  <si>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</si>
  <si>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</si>
  <si>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</si>
  <si>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</si>
  <si>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</si>
  <si>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</si>
  <si>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</si>
  <si>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</si>
  <si>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</si>
  <si>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</si>
  <si>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</si>
  <si>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</si>
  <si>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</si>
  <si>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</si>
  <si>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</si>
  <si>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</si>
  <si>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</si>
  <si>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</si>
  <si>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</si>
  <si>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</si>
  <si>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</si>
  <si>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</si>
  <si>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</si>
  <si>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</si>
  <si>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</si>
  <si>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</si>
  <si>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</si>
  <si>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</si>
  <si>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</si>
  <si>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</si>
  <si>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</si>
  <si>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</si>
  <si>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</si>
  <si>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</si>
  <si>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</si>
  <si>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</si>
  <si>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</si>
  <si>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</si>
  <si>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</si>
  <si>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</si>
  <si>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</si>
  <si>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</si>
  <si>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</si>
  <si>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</si>
  <si>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</si>
  <si>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</si>
  <si>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</si>
  <si>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</si>
  <si>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</si>
  <si>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</si>
  <si>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</si>
  <si>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</si>
  <si>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</si>
  <si>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</si>
  <si>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</si>
  <si>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</si>
  <si>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</si>
  <si>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</si>
  <si>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</si>
  <si>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</si>
  <si>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</si>
  <si>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</si>
  <si>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</si>
  <si>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</si>
  <si>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</si>
  <si>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</si>
  <si>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</si>
  <si>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</si>
  <si>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</si>
  <si>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</si>
  <si>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</si>
  <si>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</si>
  <si>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</si>
  <si>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</si>
  <si>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</si>
  <si>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</si>
  <si>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</si>
  <si>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</si>
  <si>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</si>
  <si>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</si>
  <si>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</si>
  <si>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</si>
  <si>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</si>
  <si>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</si>
  <si>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</si>
  <si>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</si>
  <si>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</si>
  <si>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</si>
  <si>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</si>
  <si>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</si>
  <si>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</si>
  <si>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</si>
  <si>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</si>
  <si>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</si>
  <si>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</si>
  <si>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</si>
  <si>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</si>
  <si>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</si>
  <si>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</si>
  <si>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</si>
  <si>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</si>
  <si>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</si>
  <si>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</si>
  <si>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</si>
  <si>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</si>
  <si>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</si>
  <si>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</si>
  <si>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</si>
  <si>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</si>
  <si>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</si>
  <si>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</si>
  <si>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</si>
  <si>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</si>
  <si>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</si>
  <si>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</si>
  <si>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</si>
  <si>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</si>
  <si>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</si>
  <si>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</si>
  <si>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</si>
  <si>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</si>
  <si>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</si>
  <si>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</si>
  <si>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</si>
  <si>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</si>
  <si>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</si>
  <si>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</si>
  <si>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</si>
  <si>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</si>
  <si>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</si>
  <si>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</si>
  <si>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</si>
  <si>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</si>
  <si>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</si>
  <si>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</si>
  <si>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</si>
  <si>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</si>
  <si>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</si>
  <si>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</si>
  <si>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</si>
  <si>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</si>
  <si>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</si>
  <si>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</si>
  <si>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</si>
  <si>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</si>
  <si>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</si>
  <si>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</si>
  <si>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</si>
  <si>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</si>
  <si>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</si>
  <si>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</si>
  <si>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</si>
  <si>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</si>
  <si>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</si>
  <si>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</si>
  <si>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</si>
  <si>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</si>
  <si>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</si>
  <si>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</si>
  <si>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</si>
  <si>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</si>
  <si>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</si>
  <si>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</si>
  <si>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</si>
  <si>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</si>
  <si>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</si>
  <si>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</si>
  <si>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</si>
  <si>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</si>
  <si>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</si>
  <si>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</si>
  <si>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</si>
  <si>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</si>
  <si>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</si>
  <si>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</si>
  <si>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</si>
  <si>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</si>
  <si>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</si>
  <si>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</si>
  <si>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</si>
  <si>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</si>
  <si>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</si>
  <si>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</si>
  <si>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</si>
  <si>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</si>
  <si>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</si>
  <si>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</si>
  <si>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</si>
  <si>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</si>
  <si>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</si>
  <si>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</si>
  <si>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</si>
  <si>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</si>
  <si>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</si>
  <si>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</si>
  <si>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</si>
  <si>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</si>
  <si>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</si>
  <si>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</si>
  <si>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</si>
  <si>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</si>
  <si>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</si>
  <si>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</si>
  <si>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</si>
  <si>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</si>
  <si>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</si>
  <si>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</si>
  <si>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</si>
  <si>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</si>
  <si>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</si>
  <si>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</si>
  <si>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</si>
  <si>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</si>
  <si>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</si>
  <si>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</si>
  <si>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</si>
  <si>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</si>
  <si>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</si>
  <si>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</si>
  <si>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</si>
  <si>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</si>
  <si>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</si>
  <si>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</si>
  <si>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</si>
  <si>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</si>
  <si>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</si>
  <si>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</si>
  <si>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</si>
  <si>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</si>
  <si>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</si>
  <si>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</si>
  <si>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</si>
  <si>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</si>
  <si>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</si>
  <si>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</si>
  <si>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</si>
  <si>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</si>
  <si>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</si>
  <si>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</si>
  <si>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</si>
  <si>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</si>
  <si>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</si>
  <si>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</si>
  <si>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</si>
  <si>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</si>
  <si>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</si>
  <si>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</si>
  <si>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</si>
  <si>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</si>
  <si>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</si>
  <si>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</si>
  <si>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</si>
  <si>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</si>
  <si>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</si>
  <si>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</si>
  <si>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</si>
  <si>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</si>
  <si>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</si>
  <si>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</si>
  <si>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</si>
  <si>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</si>
  <si>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</si>
  <si>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</si>
  <si>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</si>
  <si>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</si>
  <si>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</si>
  <si>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</si>
  <si>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</si>
  <si>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</si>
  <si>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</si>
  <si>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</si>
  <si>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</si>
  <si>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</si>
  <si>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</si>
  <si>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</si>
  <si>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</si>
  <si>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</si>
  <si>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</si>
  <si>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</si>
  <si>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</si>
  <si>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</si>
  <si>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</si>
  <si>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</si>
  <si>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</si>
  <si>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</si>
  <si>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</si>
  <si>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</si>
  <si>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</si>
  <si>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</si>
  <si>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</si>
  <si>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</si>
  <si>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</si>
  <si>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</si>
  <si>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</si>
  <si>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</si>
  <si>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</si>
  <si>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</si>
  <si>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</si>
  <si>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</si>
  <si>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</si>
  <si>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</si>
  <si>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</si>
  <si>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</si>
  <si>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</si>
  <si>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</si>
  <si>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</si>
  <si>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</si>
  <si>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</si>
  <si>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</si>
  <si>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</si>
  <si>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</si>
  <si>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</si>
  <si>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</si>
  <si>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</si>
  <si>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</si>
  <si>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</si>
  <si>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</si>
  <si>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</si>
  <si>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</si>
  <si>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</si>
  <si>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</si>
  <si>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</si>
  <si>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</si>
  <si>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</si>
  <si>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</si>
  <si>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</si>
  <si>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</si>
  <si>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</si>
  <si>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</si>
  <si>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</si>
  <si>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</si>
  <si>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</si>
  <si>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</si>
  <si>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</si>
  <si>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</si>
  <si>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</si>
  <si>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</si>
  <si>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</si>
  <si>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</si>
  <si>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</si>
  <si>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</si>
  <si>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</si>
  <si>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</si>
  <si>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</si>
  <si>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</si>
  <si>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</si>
  <si>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</si>
  <si>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</si>
  <si>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</si>
  <si>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</si>
  <si>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</si>
  <si>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</si>
  <si>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</si>
  <si>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</si>
  <si>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</si>
  <si>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</si>
  <si>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</si>
  <si>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</si>
  <si>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</si>
  <si>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</si>
  <si>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</si>
  <si>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</si>
  <si>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</si>
  <si>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</si>
  <si>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</si>
  <si>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</si>
  <si>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</si>
  <si>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</si>
  <si>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</si>
  <si>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</si>
  <si>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</si>
  <si>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</si>
  <si>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</si>
  <si>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</si>
  <si>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</si>
  <si>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</si>
  <si>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</si>
  <si>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</si>
  <si>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</si>
  <si>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</si>
  <si>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</si>
  <si>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</si>
  <si>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</si>
  <si>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</si>
  <si>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</si>
  <si>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</si>
  <si>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</si>
  <si>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</si>
  <si>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</si>
  <si>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</si>
  <si>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</si>
  <si>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</si>
  <si>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</si>
  <si>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</si>
  <si>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</si>
  <si>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</si>
  <si>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</si>
  <si>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</si>
  <si>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</si>
  <si>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</si>
  <si>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</si>
  <si>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</si>
  <si>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</si>
  <si>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</si>
  <si>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</si>
  <si>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</si>
  <si>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</si>
  <si>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</si>
  <si>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</si>
  <si>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</si>
  <si>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</si>
  <si>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</si>
  <si>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</si>
  <si>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</si>
  <si>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</si>
  <si>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</si>
  <si>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</si>
  <si>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</si>
  <si>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</si>
  <si>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</si>
  <si>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</si>
  <si>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</si>
  <si>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</si>
  <si>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</si>
  <si>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</si>
  <si>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</si>
  <si>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</si>
  <si>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</si>
  <si>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</si>
  <si>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</si>
  <si>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</si>
  <si>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</si>
  <si>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</si>
  <si>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</si>
  <si>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</si>
  <si>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</si>
  <si>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</si>
  <si>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</si>
  <si>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</si>
  <si>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</si>
  <si>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</si>
  <si>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</si>
  <si>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</si>
  <si>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</si>
  <si>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</si>
  <si>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</si>
  <si>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</si>
  <si>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</si>
  <si>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</si>
  <si>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</si>
  <si>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</si>
  <si>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</si>
  <si>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</si>
  <si>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</si>
  <si>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</si>
  <si>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</si>
  <si>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</si>
  <si>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</si>
  <si>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</si>
  <si>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</si>
  <si>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</si>
  <si>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</si>
  <si>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</si>
  <si>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</si>
  <si>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</si>
  <si>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</si>
  <si>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</si>
  <si>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</si>
  <si>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</si>
  <si>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</si>
  <si>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</si>
  <si>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</si>
  <si>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</si>
  <si>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</si>
  <si>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</si>
  <si>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</si>
  <si>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</si>
  <si>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</si>
  <si>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</si>
  <si>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</si>
  <si>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</si>
  <si>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</si>
  <si>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</si>
  <si>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</si>
  <si>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</si>
  <si>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</si>
  <si>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</si>
  <si>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</si>
  <si>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</si>
  <si>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</si>
  <si>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</si>
  <si>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</si>
  <si>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</si>
  <si>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</si>
  <si>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</si>
  <si>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</si>
  <si>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</si>
  <si>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</si>
  <si>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</si>
  <si>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</si>
  <si>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</si>
  <si>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</si>
  <si>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</si>
  <si>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</si>
  <si>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</si>
  <si>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</si>
  <si>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</si>
  <si>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</si>
  <si>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</si>
  <si>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</si>
  <si>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</si>
  <si>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</si>
  <si>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</si>
  <si>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</si>
  <si>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</si>
  <si>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</si>
  <si>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</si>
  <si>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</si>
  <si>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</si>
  <si>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</si>
  <si>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</si>
  <si>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</si>
  <si>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</si>
  <si>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</si>
  <si>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</si>
  <si>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</si>
  <si>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</si>
  <si>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</si>
  <si>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</si>
  <si>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</si>
  <si>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</si>
  <si>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</si>
  <si>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</si>
  <si>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</si>
  <si>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</si>
  <si>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</si>
  <si>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</si>
  <si>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</si>
  <si>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</si>
  <si>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</si>
  <si>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</si>
  <si>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</si>
  <si>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</si>
  <si>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</si>
  <si>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</si>
  <si>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</si>
  <si>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</si>
  <si>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</si>
  <si>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</si>
  <si>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</si>
  <si>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</si>
  <si>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</si>
  <si>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</si>
  <si>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</si>
  <si>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</si>
  <si>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</si>
  <si>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</si>
  <si>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</si>
  <si>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</si>
  <si>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</si>
  <si>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</si>
  <si>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</si>
  <si>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</si>
  <si>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</si>
  <si>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</si>
  <si>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</si>
  <si>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</si>
  <si>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</si>
  <si>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</si>
  <si>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</si>
  <si>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</si>
  <si>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</si>
  <si>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</si>
  <si>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</si>
  <si>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</si>
  <si>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</si>
  <si>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</si>
  <si>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</si>
  <si>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</si>
  <si>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</si>
  <si>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</si>
  <si>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</si>
  <si>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</si>
  <si>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</si>
  <si>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</si>
  <si>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</si>
  <si>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</si>
  <si>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</si>
  <si>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</si>
  <si>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</si>
  <si>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</si>
  <si>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</si>
  <si>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</si>
  <si>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</si>
  <si>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</si>
  <si>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</si>
  <si>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</si>
  <si>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</si>
  <si>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</si>
  <si>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</si>
  <si>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</si>
  <si>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</si>
  <si>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</si>
  <si>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</si>
  <si>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</si>
  <si>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</si>
  <si>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</si>
  <si>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</si>
  <si>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</si>
  <si>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</si>
  <si>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</si>
  <si>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</si>
  <si>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</si>
  <si>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</si>
  <si>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</si>
  <si>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</si>
  <si>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</si>
  <si>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</si>
  <si>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</si>
  <si>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</si>
  <si>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</si>
  <si>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</si>
  <si>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</si>
  <si>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</si>
  <si>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</si>
  <si>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</si>
  <si>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</si>
  <si>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</si>
  <si>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</si>
  <si>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</si>
  <si>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</si>
  <si>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</si>
  <si>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</si>
  <si>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</si>
  <si>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</si>
  <si>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</si>
  <si>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</si>
  <si>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</si>
  <si>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</si>
  <si>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</si>
  <si>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</si>
  <si>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</si>
  <si>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</si>
  <si>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</si>
  <si>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</si>
  <si>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</si>
  <si>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</si>
  <si>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</si>
  <si>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</si>
  <si>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</si>
  <si>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</si>
  <si>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</si>
  <si>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</si>
  <si>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</si>
  <si>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</si>
  <si>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</si>
  <si>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</si>
  <si>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</si>
  <si>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</si>
  <si>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</si>
  <si>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</si>
  <si>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</si>
  <si>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</si>
  <si>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</si>
  <si>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</si>
  <si>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</si>
  <si>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</si>
  <si>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</si>
  <si>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</si>
  <si>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</si>
  <si>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</si>
  <si>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</si>
  <si>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</si>
  <si>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</si>
  <si>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</si>
  <si>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</si>
  <si>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</si>
  <si>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</si>
  <si>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</si>
  <si>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</si>
  <si>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</si>
  <si>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</si>
  <si>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</si>
  <si>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</si>
  <si>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</si>
  <si>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</si>
  <si>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</si>
  <si>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</si>
  <si>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</si>
  <si>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</si>
  <si>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</si>
  <si>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</si>
  <si>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</si>
  <si>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</si>
  <si>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</si>
  <si>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</si>
  <si>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</si>
  <si>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</si>
  <si>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</si>
  <si>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</si>
  <si>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</si>
  <si>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</si>
  <si>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</si>
  <si>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</si>
  <si>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</si>
  <si>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</si>
  <si>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</si>
  <si>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</si>
  <si>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</si>
  <si>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</si>
  <si>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</si>
  <si>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</si>
  <si>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</si>
  <si>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</si>
  <si>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</si>
  <si>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</si>
  <si>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</si>
  <si>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</si>
  <si>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</si>
  <si>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</si>
  <si>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</si>
  <si>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</si>
  <si>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</si>
  <si>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</si>
  <si>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</si>
  <si>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</si>
  <si>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</si>
  <si>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</si>
  <si>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</si>
  <si>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</si>
  <si>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</si>
  <si>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</si>
  <si>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</si>
  <si>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</si>
  <si>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</si>
  <si>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</si>
  <si>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</si>
  <si>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</si>
  <si>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</si>
  <si>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</si>
  <si>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</si>
  <si>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</si>
  <si>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</si>
  <si>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</si>
  <si>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</si>
  <si>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</si>
  <si>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</si>
  <si>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</si>
  <si>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</si>
  <si>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</si>
  <si>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</si>
  <si>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</si>
  <si>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</si>
  <si>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</si>
  <si>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</si>
  <si>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</si>
  <si>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</si>
  <si>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</si>
  <si>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</si>
  <si>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</si>
  <si>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</si>
  <si>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</si>
  <si>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</si>
  <si>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</si>
  <si>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</si>
  <si>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</si>
  <si>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</si>
  <si>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</si>
  <si>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</si>
  <si>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</si>
  <si>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</si>
  <si>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</si>
  <si>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</si>
  <si>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</si>
  <si>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</si>
  <si>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</si>
  <si>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</si>
  <si>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</si>
  <si>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</si>
  <si>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</si>
  <si>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</si>
  <si>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</si>
  <si>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</si>
  <si>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</si>
  <si>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</si>
  <si>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</si>
  <si>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</si>
  <si>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</si>
  <si>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</si>
  <si>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</si>
  <si>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</si>
  <si>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</si>
  <si>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</si>
  <si>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</si>
  <si>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</si>
  <si>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</si>
  <si>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</si>
  <si>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</si>
  <si>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</si>
  <si>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</si>
  <si>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</si>
  <si>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</si>
  <si>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</si>
  <si>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</si>
  <si>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</si>
  <si>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</si>
  <si>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</si>
  <si>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</si>
  <si>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</si>
  <si>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</si>
  <si>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</si>
  <si>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</si>
  <si>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</si>
  <si>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</si>
  <si>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</si>
  <si>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</si>
  <si>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</si>
  <si>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</si>
  <si>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</si>
  <si>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</si>
  <si>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</si>
  <si>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</si>
  <si>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</si>
  <si>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</si>
  <si>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</si>
  <si>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</si>
  <si>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</si>
  <si>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</si>
  <si>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</si>
  <si>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</si>
  <si>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</si>
  <si>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</si>
  <si>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</si>
  <si>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</si>
  <si>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</si>
  <si>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</si>
  <si>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</si>
  <si>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</si>
  <si>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</si>
  <si>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</si>
  <si>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</si>
  <si>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</si>
  <si>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</si>
  <si>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</si>
  <si>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</si>
  <si>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</si>
  <si>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</si>
  <si>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</si>
  <si>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</si>
  <si>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</si>
  <si>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</si>
  <si>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</si>
  <si>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</si>
  <si>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</si>
  <si>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</si>
  <si>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</si>
  <si>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</si>
  <si>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</si>
  <si>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</si>
  <si>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</si>
  <si>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</si>
  <si>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</si>
  <si>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</si>
  <si>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</si>
  <si>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</si>
  <si>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</si>
  <si>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</si>
  <si>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</si>
  <si>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</si>
  <si>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</si>
  <si>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</si>
  <si>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</si>
  <si>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</si>
  <si>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</si>
  <si>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</si>
  <si>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</si>
  <si>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</si>
  <si>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</si>
  <si>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</si>
  <si>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</si>
  <si>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</si>
  <si>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</si>
  <si>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</si>
  <si>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</si>
  <si>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</si>
  <si>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</si>
  <si>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</si>
  <si>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</si>
  <si>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</si>
  <si>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</si>
  <si>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</si>
  <si>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</si>
  <si>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</si>
  <si>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</si>
  <si>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</si>
  <si>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</si>
  <si>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</si>
  <si>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</si>
  <si>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</si>
  <si>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</si>
  <si>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</si>
  <si>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</si>
  <si>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</si>
  <si>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</si>
  <si>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</si>
  <si>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</si>
  <si>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</si>
  <si>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</si>
  <si>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</si>
  <si>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</si>
  <si>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</si>
  <si>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</si>
  <si>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</si>
  <si>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</si>
  <si>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</si>
  <si>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</si>
  <si>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</si>
  <si>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</si>
  <si>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</si>
  <si>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</si>
  <si>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</si>
  <si>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</si>
  <si>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</si>
  <si>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</si>
  <si>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</si>
  <si>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</si>
  <si>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</si>
  <si>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</si>
  <si>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</si>
  <si>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</si>
  <si>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</si>
  <si>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</si>
  <si>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</si>
  <si>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</si>
  <si>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</si>
  <si>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</si>
  <si>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</si>
  <si>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</si>
  <si>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</si>
  <si>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</si>
  <si>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</si>
  <si>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</si>
  <si>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</si>
  <si>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</si>
  <si>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</si>
  <si>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</si>
  <si>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</si>
  <si>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</si>
  <si>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</si>
  <si>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</si>
  <si>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</si>
  <si>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</si>
  <si>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</si>
  <si>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</si>
  <si>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</si>
  <si>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</si>
  <si>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</si>
  <si>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</si>
  <si>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</si>
  <si>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</si>
  <si>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</si>
  <si>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</si>
  <si>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</si>
  <si>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</si>
  <si>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</si>
  <si>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</si>
  <si>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</si>
  <si>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</si>
  <si>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</si>
  <si>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</si>
  <si>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</si>
  <si>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</si>
  <si>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</si>
  <si>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</si>
  <si>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</si>
  <si>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</si>
  <si>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</si>
  <si>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</si>
  <si>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</si>
  <si>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</si>
  <si>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</si>
  <si>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</si>
  <si>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</si>
  <si>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</si>
  <si>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</si>
  <si>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</si>
  <si>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</si>
  <si>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</si>
  <si>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</si>
  <si>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</si>
  <si>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</si>
  <si>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</si>
  <si>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</si>
  <si>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</si>
  <si>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</si>
  <si>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</si>
  <si>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</si>
  <si>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</si>
  <si>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</si>
  <si>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</si>
  <si>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</si>
  <si>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</si>
  <si>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</si>
  <si>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</si>
  <si>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</si>
  <si>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</si>
  <si>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</si>
  <si>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</si>
  <si>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</si>
  <si>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</si>
  <si>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</si>
  <si>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</si>
  <si>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</si>
  <si>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</si>
  <si>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</si>
  <si>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</si>
  <si>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</si>
  <si>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</si>
  <si>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</si>
  <si>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</si>
  <si>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</si>
  <si>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</si>
  <si>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</si>
  <si>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</si>
  <si>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</si>
  <si>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</si>
  <si>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</si>
  <si>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</si>
  <si>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</si>
  <si>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</si>
  <si>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</si>
  <si>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</si>
  <si>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</si>
  <si>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</si>
  <si>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</si>
  <si>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</si>
  <si>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</si>
  <si>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</si>
  <si>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</si>
  <si>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</si>
  <si>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</si>
  <si>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</si>
  <si>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</si>
  <si>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</si>
  <si>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</si>
  <si>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</si>
  <si>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</si>
  <si>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</si>
  <si>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</si>
  <si>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</si>
  <si>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</si>
  <si>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</si>
  <si>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</si>
  <si>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</si>
  <si>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</si>
  <si>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</si>
  <si>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</si>
  <si>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</si>
  <si>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</si>
  <si>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</si>
  <si>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</si>
  <si>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</si>
  <si>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</si>
  <si>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</si>
  <si>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</si>
  <si>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</si>
  <si>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</si>
  <si>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</si>
  <si>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</si>
  <si>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</si>
  <si>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</si>
  <si>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</si>
  <si>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</si>
  <si>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</si>
  <si>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</si>
  <si>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</si>
  <si>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</si>
  <si>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</si>
  <si>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</si>
  <si>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</si>
  <si>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</si>
  <si>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</si>
  <si>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</si>
  <si>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</si>
  <si>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</si>
  <si>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</si>
  <si>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</si>
  <si>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</si>
  <si>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</si>
  <si>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</si>
  <si>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</si>
  <si>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</si>
  <si>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</si>
  <si>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</si>
  <si>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</si>
  <si>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</si>
  <si>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</si>
  <si>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</si>
  <si>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</si>
  <si>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</si>
  <si>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</si>
  <si>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</si>
  <si>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</si>
  <si>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</si>
  <si>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</si>
  <si>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</si>
  <si>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</si>
  <si>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</si>
  <si>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</si>
  <si>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</si>
  <si>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</si>
  <si>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</si>
  <si>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</si>
  <si>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</si>
  <si>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</si>
  <si>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</si>
  <si>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</si>
  <si>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</si>
  <si>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</si>
  <si>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</si>
  <si>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</si>
  <si>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</si>
  <si>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</si>
  <si>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</si>
  <si>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</si>
  <si>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</si>
  <si>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</si>
  <si>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</si>
  <si>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</si>
  <si>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</si>
  <si>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</si>
  <si>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</si>
  <si>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</si>
  <si>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</si>
  <si>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</si>
  <si>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</si>
  <si>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</si>
  <si>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</si>
  <si>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</si>
  <si>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</si>
  <si>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</si>
  <si>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</si>
  <si>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</si>
  <si>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</si>
  <si>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</si>
  <si>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</si>
  <si>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</si>
  <si>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</si>
  <si>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</si>
  <si>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</si>
  <si>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</si>
  <si>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</si>
  <si>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</si>
  <si>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</si>
  <si>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</si>
  <si>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</si>
  <si>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</si>
  <si>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</si>
  <si>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</si>
  <si>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</si>
  <si>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</si>
  <si>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</si>
  <si>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</si>
  <si>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</si>
  <si>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</si>
  <si>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</si>
  <si>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</si>
  <si>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</si>
  <si>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</si>
  <si>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</si>
  <si>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</si>
  <si>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</si>
  <si>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</si>
  <si>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</si>
  <si>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</si>
  <si>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</si>
  <si>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</si>
  <si>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</si>
  <si>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</si>
  <si>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</si>
  <si>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</si>
  <si>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</si>
  <si>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</si>
  <si>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</si>
  <si>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</si>
  <si>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</si>
  <si>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</si>
  <si>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</si>
  <si>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</si>
  <si>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</si>
  <si>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</si>
  <si>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</si>
  <si>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</si>
  <si>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</si>
  <si>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</si>
  <si>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</si>
  <si>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</si>
  <si>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</si>
  <si>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</si>
  <si>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</si>
  <si>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</si>
  <si>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</si>
  <si>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</si>
  <si>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</si>
  <si>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</si>
  <si>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</si>
  <si>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</si>
  <si>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</si>
  <si>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</si>
  <si>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</si>
  <si>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</si>
  <si>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</si>
  <si>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</si>
  <si>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</si>
  <si>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</si>
  <si>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</si>
  <si>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</si>
  <si>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</si>
  <si>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</si>
  <si>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</si>
  <si>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</si>
  <si>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</si>
  <si>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</si>
  <si>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</si>
  <si>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</si>
  <si>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</si>
  <si>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</si>
  <si>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</si>
  <si>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</si>
  <si>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</si>
  <si>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</si>
  <si>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</si>
  <si>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</si>
  <si>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</si>
  <si>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</si>
  <si>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</si>
  <si>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</si>
  <si>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</si>
  <si>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</si>
  <si>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</si>
  <si>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</si>
  <si>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</si>
  <si>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</si>
  <si>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</si>
  <si>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</si>
  <si>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</si>
  <si>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</si>
  <si>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</si>
  <si>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</si>
  <si>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</si>
  <si>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</si>
  <si>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</si>
  <si>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</si>
  <si>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</si>
  <si>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</si>
  <si>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</si>
  <si>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</si>
  <si>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</si>
  <si>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</si>
  <si>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</si>
  <si>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</si>
  <si>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</si>
  <si>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</si>
  <si>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</si>
  <si>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</si>
  <si>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</si>
  <si>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</si>
  <si>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</si>
  <si>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</si>
  <si>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</si>
  <si>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</si>
  <si>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</si>
  <si>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</si>
  <si>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</si>
  <si>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</si>
  <si>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</si>
  <si>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</si>
  <si>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</si>
  <si>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</si>
  <si>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</si>
  <si>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</si>
  <si>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</si>
  <si>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</si>
  <si>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</si>
  <si>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</si>
  <si>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</si>
  <si>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</si>
  <si>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</si>
  <si>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</si>
  <si>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</si>
  <si>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</si>
  <si>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</si>
  <si>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</si>
  <si>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</si>
  <si>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</si>
  <si>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</si>
  <si>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</si>
  <si>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</si>
  <si>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</si>
  <si>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</si>
  <si>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</si>
  <si>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</si>
  <si>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</si>
  <si>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</si>
  <si>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</si>
  <si>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</si>
  <si>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</si>
  <si>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</si>
  <si>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</si>
  <si>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</si>
  <si>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</si>
  <si>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</si>
  <si>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</si>
  <si>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</si>
  <si>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</si>
  <si>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</si>
  <si>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</si>
  <si>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</si>
  <si>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</si>
  <si>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</si>
  <si>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</si>
  <si>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</si>
  <si>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</si>
  <si>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</si>
  <si>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</si>
  <si>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</si>
  <si>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</si>
  <si>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</si>
  <si>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</si>
  <si>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</si>
  <si>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</si>
  <si>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</si>
  <si>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</si>
  <si>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</si>
  <si>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</si>
  <si>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</si>
  <si>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</si>
  <si>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</si>
  <si>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</si>
  <si>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</si>
  <si>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</si>
  <si>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</si>
  <si>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</si>
  <si>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</si>
  <si>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</si>
  <si>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</si>
  <si>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</si>
  <si>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</si>
  <si>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</si>
  <si>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</si>
  <si>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</si>
  <si>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</si>
  <si>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</si>
  <si>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</si>
  <si>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</si>
  <si>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</si>
  <si>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</si>
  <si>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</si>
  <si>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</si>
  <si>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</si>
  <si>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</si>
  <si>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</si>
  <si>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</si>
  <si>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</si>
  <si>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</si>
  <si>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</si>
  <si>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</si>
  <si>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</si>
  <si>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</si>
  <si>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</si>
  <si>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</si>
  <si>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</si>
  <si>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</si>
  <si>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</si>
  <si>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</si>
  <si>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</si>
  <si>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</si>
  <si>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</si>
  <si>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</si>
  <si>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</si>
  <si>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</si>
  <si>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</si>
  <si>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</si>
  <si>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</si>
  <si>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</si>
  <si>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</si>
  <si>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</si>
  <si>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</si>
  <si>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</si>
  <si>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</si>
  <si>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</si>
  <si>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</si>
  <si>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</si>
  <si>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</si>
  <si>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</si>
  <si>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</si>
  <si>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</si>
  <si>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</si>
  <si>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</si>
  <si>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</si>
  <si>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</si>
  <si>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</si>
  <si>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</si>
  <si>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</si>
  <si>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</si>
  <si>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</si>
  <si>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</si>
  <si>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</si>
  <si>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</si>
  <si>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</si>
  <si>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</si>
  <si>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</si>
  <si>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</si>
  <si>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</si>
  <si>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</si>
  <si>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</si>
  <si>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</si>
  <si>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</si>
  <si>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</si>
  <si>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</si>
  <si>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</si>
  <si>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</si>
  <si>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</si>
  <si>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</si>
  <si>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</si>
  <si>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</si>
  <si>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</si>
  <si>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</si>
  <si>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</si>
  <si>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</si>
  <si>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</si>
  <si>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</si>
  <si>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</si>
  <si>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</si>
  <si>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</si>
  <si>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</si>
  <si>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</si>
  <si>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</si>
  <si>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</si>
  <si>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</si>
  <si>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</si>
  <si>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</si>
  <si>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</si>
  <si>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</si>
  <si>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</si>
  <si>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</si>
  <si>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</si>
  <si>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</si>
  <si>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</si>
  <si>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</si>
  <si>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</si>
  <si>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</si>
  <si>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</si>
  <si>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</si>
  <si>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</si>
  <si>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</si>
  <si>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</si>
  <si>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</si>
  <si>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</si>
  <si>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</si>
  <si>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</si>
  <si>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</si>
  <si>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</si>
  <si>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</si>
  <si>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</si>
  <si>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</si>
  <si>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</si>
  <si>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</si>
  <si>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</si>
  <si>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</si>
  <si>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</si>
  <si>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</si>
  <si>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</si>
  <si>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</si>
  <si>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</si>
  <si>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</si>
  <si>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</si>
  <si>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</si>
  <si>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</si>
  <si>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</si>
  <si>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</si>
  <si>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</si>
  <si>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</si>
  <si>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</si>
  <si>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</si>
  <si>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</si>
  <si>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</si>
  <si>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</si>
  <si>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</si>
  <si>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</si>
  <si>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</si>
  <si>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</si>
  <si>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</si>
  <si>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</si>
  <si>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</si>
  <si>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</si>
  <si>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</si>
  <si>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</si>
  <si>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</si>
  <si>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</si>
  <si>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</si>
  <si>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</si>
  <si>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</si>
  <si>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</si>
  <si>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</si>
  <si>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</si>
  <si>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</si>
  <si>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</si>
  <si>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</si>
  <si>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</si>
  <si>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</si>
  <si>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</si>
  <si>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</si>
  <si>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</si>
  <si>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</si>
  <si>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</si>
  <si>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</si>
  <si>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</si>
  <si>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</si>
  <si>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</si>
  <si>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</si>
  <si>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</si>
  <si>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</si>
  <si>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</si>
  <si>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</si>
  <si>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</si>
  <si>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</si>
  <si>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</si>
  <si>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</si>
  <si>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</si>
  <si>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</si>
  <si>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</si>
  <si>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</si>
  <si>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</si>
  <si>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</si>
  <si>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</si>
  <si>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</si>
  <si>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</si>
  <si>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</si>
  <si>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</si>
  <si>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</si>
  <si>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</si>
  <si>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</si>
  <si>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</si>
  <si>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</si>
  <si>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</si>
  <si>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</si>
  <si>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</si>
  <si>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</si>
  <si>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</si>
  <si>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</si>
  <si>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</si>
  <si>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</si>
  <si>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</si>
  <si>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</si>
  <si>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</si>
  <si>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</si>
  <si>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</si>
  <si>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</si>
  <si>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</si>
  <si>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</si>
  <si>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</si>
  <si>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</si>
  <si>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</si>
  <si>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</si>
  <si>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</si>
  <si>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</si>
  <si>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</si>
  <si>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</si>
  <si>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</si>
  <si>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</si>
  <si>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</si>
  <si>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</si>
  <si>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</si>
  <si>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</si>
  <si>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</si>
  <si>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</si>
  <si>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</si>
  <si>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</si>
  <si>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</si>
  <si>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</si>
  <si>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</si>
  <si>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</si>
  <si>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</si>
  <si>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</si>
  <si>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</si>
  <si>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</si>
  <si>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</si>
  <si>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</si>
  <si>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</si>
  <si>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</si>
  <si>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</si>
  <si>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</si>
  <si>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</si>
  <si>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</si>
  <si>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</si>
  <si>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</si>
  <si>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</si>
  <si>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</si>
  <si>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</si>
  <si>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</si>
  <si>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</si>
  <si>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</si>
  <si>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</si>
  <si>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</si>
  <si>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</si>
  <si>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</si>
  <si>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</si>
  <si>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</si>
  <si>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</si>
  <si>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</si>
  <si>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</si>
  <si>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</si>
  <si>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</si>
  <si>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</si>
  <si>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</si>
  <si>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</si>
  <si>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</si>
  <si>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</si>
  <si>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</si>
  <si>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</si>
  <si>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</si>
  <si>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</si>
  <si>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</si>
  <si>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</si>
  <si>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</si>
  <si>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</si>
  <si>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</si>
  <si>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</si>
  <si>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</si>
  <si>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</si>
  <si>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</si>
  <si>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</si>
  <si>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</si>
  <si>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</si>
  <si>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</si>
  <si>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</si>
  <si>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</si>
  <si>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</si>
  <si>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</si>
  <si>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</si>
  <si>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</si>
  <si>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</si>
  <si>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</si>
  <si>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</si>
  <si>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</si>
  <si>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</si>
  <si>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</si>
  <si>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</si>
  <si>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</si>
  <si>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</si>
  <si>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</si>
  <si>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</si>
  <si>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</si>
  <si>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</si>
  <si>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</si>
  <si>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</si>
  <si>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</si>
  <si>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</si>
  <si>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</si>
  <si>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</si>
  <si>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</si>
  <si>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</si>
  <si>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</si>
  <si>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</si>
  <si>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</si>
  <si>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</si>
  <si>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</si>
  <si>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</si>
  <si>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</si>
  <si>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</si>
  <si>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</si>
  <si>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</si>
  <si>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</si>
  <si>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</si>
  <si>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</si>
  <si>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</si>
  <si>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</si>
  <si>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</si>
  <si>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</si>
  <si>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</si>
  <si>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</si>
  <si>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</si>
  <si>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</si>
  <si>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</si>
  <si>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</si>
  <si>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</si>
  <si>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</si>
  <si>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</si>
  <si>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</si>
  <si>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</si>
  <si>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</si>
  <si>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</si>
  <si>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</si>
  <si>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</si>
  <si>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</si>
  <si>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</si>
  <si>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</si>
  <si>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</si>
  <si>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</si>
  <si>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</si>
  <si>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</si>
  <si>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</si>
  <si>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</si>
  <si>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</si>
  <si>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</si>
  <si>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</si>
  <si>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</si>
  <si>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</si>
  <si>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</si>
  <si>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</si>
  <si>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</si>
  <si>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</si>
  <si>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</si>
  <si>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</si>
  <si>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</si>
  <si>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</si>
  <si>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</si>
  <si>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</si>
  <si>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</si>
  <si>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</si>
  <si>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</si>
  <si>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</si>
  <si>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</si>
  <si>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</si>
  <si>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</si>
  <si>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</si>
  <si>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</si>
  <si>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</si>
  <si>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</si>
  <si>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</si>
  <si>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</si>
  <si>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</si>
  <si>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</si>
  <si>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</si>
  <si>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</si>
  <si>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</si>
  <si>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</si>
  <si>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</si>
  <si>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</si>
  <si>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</si>
  <si>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</si>
  <si>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</si>
  <si>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</si>
  <si>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</si>
  <si>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</si>
  <si>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</si>
  <si>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</si>
  <si>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</si>
  <si>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</si>
  <si>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</si>
  <si>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</si>
  <si>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</si>
  <si>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</si>
  <si>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</si>
  <si>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</si>
  <si>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</si>
  <si>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</si>
  <si>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</si>
  <si>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</si>
  <si>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</si>
  <si>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</si>
  <si>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</si>
  <si>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</si>
  <si>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</si>
  <si>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</si>
  <si>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</si>
  <si>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</si>
  <si>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</si>
  <si>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</si>
  <si>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</si>
  <si>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</si>
  <si>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</si>
  <si>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</si>
  <si>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</si>
  <si>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</si>
  <si>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</si>
  <si>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</si>
  <si>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</si>
  <si>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</si>
  <si>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</si>
  <si>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</si>
  <si>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</si>
  <si>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</si>
  <si>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</si>
  <si>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</si>
  <si>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</si>
  <si>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</si>
  <si>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</si>
  <si>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</si>
  <si>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</si>
  <si>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</si>
  <si>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</si>
  <si>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</si>
  <si>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</si>
  <si>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</si>
  <si>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</si>
  <si>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</si>
  <si>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</si>
  <si>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</si>
  <si>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</si>
  <si>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</si>
  <si>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</si>
  <si>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</si>
  <si>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</si>
  <si>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</si>
  <si>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</si>
  <si>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</si>
  <si>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</si>
  <si>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</si>
  <si>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</si>
  <si>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</si>
  <si>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</si>
  <si>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</si>
  <si>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</si>
  <si>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</si>
  <si>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</si>
  <si>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</si>
  <si>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</si>
  <si>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</si>
  <si>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</si>
  <si>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</si>
  <si>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</si>
  <si>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</si>
  <si>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</si>
  <si>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</si>
  <si>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</si>
  <si>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</si>
  <si>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</si>
  <si>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</si>
  <si>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</si>
  <si>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</si>
  <si>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</si>
  <si>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</si>
  <si>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</si>
  <si>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</si>
  <si>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</si>
  <si>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</si>
  <si>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</si>
  <si>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</si>
  <si>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</si>
  <si>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</si>
  <si>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</si>
  <si>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</si>
  <si>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</si>
  <si>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</si>
  <si>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</si>
  <si>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</si>
  <si>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</si>
  <si>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</si>
  <si>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</si>
  <si>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</si>
  <si>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</si>
  <si>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</si>
  <si>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</si>
  <si>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</si>
  <si>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</si>
  <si>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</si>
  <si>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</si>
  <si>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</si>
  <si>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</si>
  <si>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</si>
  <si>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</si>
  <si>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</si>
  <si>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</si>
  <si>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</si>
  <si>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</si>
  <si>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</si>
  <si>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</si>
  <si>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</si>
  <si>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</si>
  <si>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</si>
  <si>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</si>
  <si>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</si>
  <si>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</si>
  <si>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</si>
  <si>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</si>
  <si>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</si>
  <si>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</si>
  <si>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</si>
  <si>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</si>
  <si>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</si>
  <si>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</si>
  <si>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</si>
  <si>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</si>
  <si>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</si>
  <si>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</si>
  <si>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</si>
  <si>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</si>
  <si>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</si>
  <si>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</si>
  <si>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</si>
  <si>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</si>
  <si>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</si>
  <si>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</si>
  <si>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</si>
  <si>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</si>
  <si>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</si>
  <si>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</si>
  <si>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</si>
  <si>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</si>
  <si>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</si>
  <si>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</si>
  <si>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</si>
  <si>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</si>
  <si>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</si>
  <si>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</si>
  <si>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</si>
  <si>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</si>
  <si>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</si>
  <si>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</si>
  <si>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</si>
  <si>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</si>
  <si>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</si>
  <si>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</si>
  <si>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</si>
  <si>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</si>
  <si>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</si>
  <si>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</si>
  <si>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</si>
  <si>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</si>
  <si>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</si>
  <si>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</si>
  <si>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</si>
  <si>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</si>
  <si>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</si>
  <si>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</si>
  <si>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</si>
  <si>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</si>
  <si>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</si>
  <si>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</si>
  <si>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</si>
  <si>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</si>
  <si>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</si>
  <si>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</si>
  <si>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</si>
  <si>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</si>
  <si>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</si>
  <si>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</si>
  <si>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</si>
  <si>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</si>
  <si>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</si>
  <si>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</si>
  <si>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</si>
  <si>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</si>
  <si>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</si>
  <si>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</si>
  <si>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</si>
  <si>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</si>
  <si>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</si>
  <si>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</si>
  <si>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</si>
  <si>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</si>
  <si>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</si>
  <si>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</si>
  <si>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</si>
  <si>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</si>
  <si>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</si>
  <si>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</si>
  <si>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</si>
  <si>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</si>
  <si>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</si>
  <si>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</si>
  <si>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</si>
  <si>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</si>
  <si>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</si>
  <si>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</si>
  <si>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</si>
  <si>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</si>
  <si>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</si>
  <si>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</si>
  <si>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</si>
  <si>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</si>
  <si>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</si>
  <si>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</si>
  <si>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</si>
  <si>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</si>
  <si>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</si>
  <si>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</si>
  <si>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</si>
  <si>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</si>
  <si>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</si>
  <si>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</si>
  <si>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</si>
  <si>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</si>
  <si>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</si>
  <si>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</si>
  <si>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</si>
  <si>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</si>
  <si>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</si>
  <si>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</si>
  <si>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</si>
  <si>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</si>
  <si>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</si>
  <si>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</si>
  <si>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</si>
  <si>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</si>
  <si>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</si>
  <si>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</si>
  <si>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</si>
  <si>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</si>
  <si>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</si>
  <si>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</si>
  <si>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</si>
  <si>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</si>
  <si>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</si>
  <si>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</si>
  <si>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</si>
  <si>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</si>
  <si>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</si>
  <si>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</si>
  <si>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</si>
  <si>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</si>
  <si>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</si>
  <si>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</si>
  <si>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</si>
  <si>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</si>
  <si>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</si>
  <si>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</si>
  <si>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</si>
  <si>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</si>
  <si>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</si>
  <si>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</si>
  <si>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</si>
  <si>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</si>
  <si>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</si>
  <si>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</si>
  <si>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</si>
  <si>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</si>
  <si>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</si>
  <si>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</si>
  <si>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</si>
  <si>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</si>
  <si>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</si>
  <si>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</si>
  <si>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</si>
  <si>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</si>
  <si>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</si>
  <si>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</si>
  <si>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</si>
  <si>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</si>
  <si>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</si>
  <si>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</si>
  <si>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</si>
  <si>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</si>
  <si>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</si>
  <si>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</si>
  <si>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</si>
  <si>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</si>
  <si>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</si>
  <si>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</si>
  <si>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</si>
  <si>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</si>
  <si>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</si>
  <si>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</si>
  <si>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</si>
  <si>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</si>
  <si>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</si>
  <si>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</si>
  <si>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</si>
  <si>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</si>
  <si>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</si>
  <si>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</si>
  <si>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</si>
  <si>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</si>
  <si>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</si>
  <si>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</si>
  <si>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</si>
  <si>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</si>
  <si>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</si>
  <si>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</si>
  <si>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</si>
  <si>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</si>
  <si>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</si>
  <si>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</si>
  <si>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</si>
  <si>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</si>
  <si>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</si>
  <si>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</si>
  <si>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</si>
  <si>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</si>
  <si>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</si>
  <si>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</si>
  <si>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</si>
  <si>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</si>
  <si>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</si>
  <si>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</si>
  <si>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</si>
  <si>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</si>
  <si>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</si>
  <si>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</si>
  <si>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</si>
  <si>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</si>
  <si>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</si>
  <si>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</si>
  <si>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</si>
  <si>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</si>
  <si>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</si>
  <si>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</si>
  <si>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</si>
  <si>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</si>
  <si>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</si>
  <si>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</si>
  <si>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</si>
  <si>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</si>
  <si>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</si>
  <si>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</si>
  <si>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</si>
  <si>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</si>
  <si>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</si>
  <si>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</si>
  <si>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</si>
  <si>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</si>
  <si>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</si>
  <si>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</si>
  <si>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</si>
  <si>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</si>
  <si>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</si>
  <si>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</si>
  <si>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梁津</t>
  </si>
  <si>
    <t>王鹏</t>
  </si>
  <si>
    <t>五矿信托</t>
    <phoneticPr fontId="7" type="noConversion"/>
  </si>
  <si>
    <t>抵押</t>
  </si>
  <si>
    <t>房地产抵押价值</t>
  </si>
  <si>
    <t>其他：</t>
  </si>
  <si>
    <t>浙江省杭州市</t>
    <phoneticPr fontId="7" type="noConversion"/>
  </si>
  <si>
    <t>企业</t>
  </si>
  <si>
    <t>杭州名城博园置业有限公司</t>
    <phoneticPr fontId="7" type="noConversion"/>
  </si>
  <si>
    <t>与房产证证载一致</t>
  </si>
  <si>
    <t>已售</t>
  </si>
  <si>
    <t>11-3-3003</t>
  </si>
  <si>
    <t>11-3-2903</t>
  </si>
  <si>
    <t>11-3-2803</t>
  </si>
  <si>
    <t>11-3-2703</t>
  </si>
  <si>
    <t>11-3-2603</t>
  </si>
  <si>
    <t>11-3-2503</t>
  </si>
  <si>
    <t>11-3-2403</t>
  </si>
  <si>
    <t>11-3-2303</t>
  </si>
  <si>
    <t>11-3-2203</t>
  </si>
  <si>
    <t>11-3-2103</t>
  </si>
  <si>
    <t>11-3-2003</t>
  </si>
  <si>
    <t>11-3-1903</t>
  </si>
  <si>
    <t>11-3-1803</t>
  </si>
  <si>
    <t>11-3-1703</t>
  </si>
  <si>
    <t>11-3-1603</t>
  </si>
  <si>
    <t>11-3-1503</t>
  </si>
  <si>
    <t>11-3-1403</t>
  </si>
  <si>
    <t>11-3-1303</t>
  </si>
  <si>
    <t>11-3-1203</t>
  </si>
  <si>
    <t>11-3-1103</t>
  </si>
  <si>
    <t>11-3-1003</t>
  </si>
  <si>
    <t>11-3-903</t>
  </si>
  <si>
    <t>11-3-803</t>
  </si>
  <si>
    <t>11-3-703</t>
  </si>
  <si>
    <t>11-3-603</t>
  </si>
  <si>
    <t>11-3-503</t>
  </si>
  <si>
    <t>11-3-403</t>
  </si>
  <si>
    <t>11-3-303</t>
  </si>
  <si>
    <t>11-3-203</t>
  </si>
  <si>
    <t>11-3-3002</t>
  </si>
  <si>
    <t>11-3-2902</t>
  </si>
  <si>
    <t>11-3-2802</t>
  </si>
  <si>
    <t>11-3-2702</t>
  </si>
  <si>
    <t>11-3-2602</t>
  </si>
  <si>
    <t>11-3-2502</t>
  </si>
  <si>
    <t>11-3-2402</t>
  </si>
  <si>
    <t>11-3-2302</t>
  </si>
  <si>
    <t>11-3-2202</t>
  </si>
  <si>
    <t>11-3-2102</t>
  </si>
  <si>
    <t>11-3-2002</t>
  </si>
  <si>
    <t>11-3-1902</t>
  </si>
  <si>
    <t>11-3-1802</t>
  </si>
  <si>
    <t>11-3-1702</t>
  </si>
  <si>
    <t>11-3-1602</t>
  </si>
  <si>
    <t>11-3-1502</t>
  </si>
  <si>
    <t>11-3-1402</t>
  </si>
  <si>
    <t>11-3-1302</t>
  </si>
  <si>
    <t>11-3-1202</t>
  </si>
  <si>
    <t>11-3-1102</t>
  </si>
  <si>
    <t>11-3-1002</t>
  </si>
  <si>
    <t>11-3-902</t>
  </si>
  <si>
    <t>11-3-802</t>
  </si>
  <si>
    <t>11-3-702</t>
  </si>
  <si>
    <t>11-3-602</t>
  </si>
  <si>
    <t>11-3-502</t>
  </si>
  <si>
    <t>11-3-402</t>
  </si>
  <si>
    <t>11-3-302</t>
  </si>
  <si>
    <t>11-3-202</t>
  </si>
  <si>
    <t>11-3-3001</t>
  </si>
  <si>
    <t>11-3-2901</t>
  </si>
  <si>
    <t>11-3-2801</t>
  </si>
  <si>
    <t>11-3-2701</t>
  </si>
  <si>
    <t>11-3-2601</t>
  </si>
  <si>
    <t>11-3-2501</t>
  </si>
  <si>
    <t>11-3-2401</t>
  </si>
  <si>
    <t>11-3-2301</t>
  </si>
  <si>
    <t>11-3-2201</t>
  </si>
  <si>
    <t>11-3-2101</t>
  </si>
  <si>
    <t>11-3-2001</t>
  </si>
  <si>
    <t>11-3-1901</t>
  </si>
  <si>
    <t>11-3-1801</t>
  </si>
  <si>
    <t>11-3-1701</t>
  </si>
  <si>
    <t>11-3-1601</t>
  </si>
  <si>
    <t>11-3-1501</t>
  </si>
  <si>
    <t>11-3-1401</t>
  </si>
  <si>
    <t>11-3-1301</t>
  </si>
  <si>
    <t>11-3-1201</t>
  </si>
  <si>
    <t>11-3-1101</t>
  </si>
  <si>
    <t>11-3-1001</t>
  </si>
  <si>
    <t>11-3-901</t>
  </si>
  <si>
    <t>11-3-801</t>
  </si>
  <si>
    <t>11-3-701</t>
  </si>
  <si>
    <t>11-3-601</t>
  </si>
  <si>
    <t>11-3-501</t>
  </si>
  <si>
    <t>11-3-401</t>
  </si>
  <si>
    <t>11-3-301</t>
  </si>
  <si>
    <t>11-2-3004</t>
  </si>
  <si>
    <t>11-2-2504</t>
  </si>
  <si>
    <t>11-2-2304</t>
  </si>
  <si>
    <t>11-2-2004</t>
  </si>
  <si>
    <t>11-2-1804</t>
  </si>
  <si>
    <t>11-2-1604</t>
  </si>
  <si>
    <t>11-2-1504</t>
  </si>
  <si>
    <t>11-2-1304</t>
  </si>
  <si>
    <t>11-2-3003</t>
  </si>
  <si>
    <t>11-2-2903</t>
  </si>
  <si>
    <t>11-2-2803</t>
  </si>
  <si>
    <t>11-2-2703</t>
  </si>
  <si>
    <t>11-2-2603</t>
  </si>
  <si>
    <t>11-2-2503</t>
  </si>
  <si>
    <t>11-2-2403</t>
  </si>
  <si>
    <t>11-2-2303</t>
  </si>
  <si>
    <t>11-2-2203</t>
  </si>
  <si>
    <t>11-2-2103</t>
  </si>
  <si>
    <t>11-2-2003</t>
  </si>
  <si>
    <t>11-2-1903</t>
  </si>
  <si>
    <t>11-2-1803</t>
  </si>
  <si>
    <t>11-2-1703</t>
  </si>
  <si>
    <t>11-2-1603</t>
  </si>
  <si>
    <t>11-2-1503</t>
  </si>
  <si>
    <t>11-2-1403</t>
  </si>
  <si>
    <t>11-2-1303</t>
  </si>
  <si>
    <t>11-2-1203</t>
  </si>
  <si>
    <t>11-2-1103</t>
  </si>
  <si>
    <t>11-2-1003</t>
  </si>
  <si>
    <t>11-2-903</t>
  </si>
  <si>
    <t>11-2-803</t>
  </si>
  <si>
    <t>11-2-703</t>
  </si>
  <si>
    <t>11-2-603</t>
  </si>
  <si>
    <t>11-2-503</t>
  </si>
  <si>
    <t>11-2-403</t>
  </si>
  <si>
    <t>11-2-303</t>
  </si>
  <si>
    <t>11-2-203</t>
  </si>
  <si>
    <t>11-2-3002</t>
  </si>
  <si>
    <t>11-2-2902</t>
  </si>
  <si>
    <t>11-2-2802</t>
  </si>
  <si>
    <t>11-2-2702</t>
  </si>
  <si>
    <t>11-2-2602</t>
  </si>
  <si>
    <t>11-2-2502</t>
  </si>
  <si>
    <t>11-2-2402</t>
  </si>
  <si>
    <t>11-2-2302</t>
  </si>
  <si>
    <t>11-2-2202</t>
  </si>
  <si>
    <t>11-2-2102</t>
  </si>
  <si>
    <t>11-2-2002</t>
  </si>
  <si>
    <t>11-2-1902</t>
  </si>
  <si>
    <t>11-2-1802</t>
  </si>
  <si>
    <t>11-2-1702</t>
  </si>
  <si>
    <t>11-2-1602</t>
  </si>
  <si>
    <t>11-2-1502</t>
  </si>
  <si>
    <t>11-2-1402</t>
  </si>
  <si>
    <t>11-2-1302</t>
  </si>
  <si>
    <t>11-2-1202</t>
  </si>
  <si>
    <t>11-2-1102</t>
  </si>
  <si>
    <t>11-2-1002</t>
  </si>
  <si>
    <t>11-2-902</t>
  </si>
  <si>
    <t>11-2-802</t>
  </si>
  <si>
    <t>11-2-702</t>
  </si>
  <si>
    <t>11-2-602</t>
  </si>
  <si>
    <t>11-2-502</t>
  </si>
  <si>
    <t>11-2-402</t>
  </si>
  <si>
    <t>11-2-302</t>
  </si>
  <si>
    <t>11-2-202</t>
  </si>
  <si>
    <t>11-2-3001</t>
  </si>
  <si>
    <t>11-1-3003</t>
  </si>
  <si>
    <t>11-1-2903</t>
  </si>
  <si>
    <t>11-1-2803</t>
  </si>
  <si>
    <t>11-1-2703</t>
  </si>
  <si>
    <t>11-1-2603</t>
  </si>
  <si>
    <t>11-1-2503</t>
  </si>
  <si>
    <t>11-1-2403</t>
  </si>
  <si>
    <t>11-1-2303</t>
  </si>
  <si>
    <t>11-1-2203</t>
  </si>
  <si>
    <t>11-1-2103</t>
  </si>
  <si>
    <t>11-1-2003</t>
  </si>
  <si>
    <t>11-1-1903</t>
  </si>
  <si>
    <t>11-1-1803</t>
  </si>
  <si>
    <t>11-1-1603</t>
  </si>
  <si>
    <t>11-1-1503</t>
  </si>
  <si>
    <t>11-1-1403</t>
  </si>
  <si>
    <t>11-1-1303</t>
  </si>
  <si>
    <t>11-1-1203</t>
  </si>
  <si>
    <t>11-1-1103</t>
  </si>
  <si>
    <t>11-1-1003</t>
  </si>
  <si>
    <t>11-1-903</t>
  </si>
  <si>
    <t>11-1-803</t>
  </si>
  <si>
    <t>11-1-703</t>
  </si>
  <si>
    <t>11-1-603</t>
  </si>
  <si>
    <t>11-1-503</t>
  </si>
  <si>
    <t>11-1-403</t>
  </si>
  <si>
    <t>11-1-303</t>
  </si>
  <si>
    <t>11-1-3002</t>
  </si>
  <si>
    <t>11-1-2902</t>
  </si>
  <si>
    <t>11-1-2802</t>
  </si>
  <si>
    <t>11-1-2702</t>
  </si>
  <si>
    <t>11-1-2602</t>
  </si>
  <si>
    <t>11-1-2502</t>
  </si>
  <si>
    <t>11-1-2402</t>
  </si>
  <si>
    <t>11-1-2302</t>
  </si>
  <si>
    <t>11-1-2202</t>
  </si>
  <si>
    <t>11-1-2102</t>
  </si>
  <si>
    <t>11-1-2002</t>
  </si>
  <si>
    <t>11-1-1902</t>
  </si>
  <si>
    <t>11-1-1802</t>
  </si>
  <si>
    <t>11-1-1702</t>
  </si>
  <si>
    <t>11-1-1602</t>
  </si>
  <si>
    <t>11-1-1502</t>
  </si>
  <si>
    <t>11-1-1402</t>
  </si>
  <si>
    <t>11-1-1302</t>
  </si>
  <si>
    <t>11-1-1202</t>
  </si>
  <si>
    <t>11-1-1102</t>
  </si>
  <si>
    <t>11-1-1002</t>
  </si>
  <si>
    <t>11-1-902</t>
  </si>
  <si>
    <t>11-1-802</t>
  </si>
  <si>
    <t>11-1-702</t>
  </si>
  <si>
    <t>11-1-602</t>
  </si>
  <si>
    <t>11-1-502</t>
  </si>
  <si>
    <t>11-1-402</t>
  </si>
  <si>
    <t>11-1-302</t>
  </si>
  <si>
    <t>11-1-202</t>
  </si>
  <si>
    <t>11-1-3001</t>
  </si>
  <si>
    <t>11-1-2901</t>
  </si>
  <si>
    <t>11-1-2801</t>
  </si>
  <si>
    <t>11-1-2701</t>
  </si>
  <si>
    <t>11-1-2601</t>
  </si>
  <si>
    <t>11-1-2501</t>
  </si>
  <si>
    <t>11-1-2401</t>
  </si>
  <si>
    <t>11-1-2301</t>
  </si>
  <si>
    <t>11-1-2201</t>
  </si>
  <si>
    <t>11-1-2101</t>
  </si>
  <si>
    <t>11-1-2001</t>
  </si>
  <si>
    <t>11-1-1901</t>
  </si>
  <si>
    <t>11-1-1801</t>
  </si>
  <si>
    <t>11-1-1701</t>
  </si>
  <si>
    <t>11-1-1601</t>
  </si>
  <si>
    <t>11-1-1501</t>
  </si>
  <si>
    <t>11-1-1401</t>
  </si>
  <si>
    <t>11-1-1301</t>
  </si>
  <si>
    <t>11-1-1201</t>
  </si>
  <si>
    <t>11-1-1101</t>
  </si>
  <si>
    <t>11-1-1001</t>
  </si>
  <si>
    <t>11-1-901</t>
  </si>
  <si>
    <t>11-1-801</t>
  </si>
  <si>
    <t>11-1-701</t>
  </si>
  <si>
    <t>11-1-601</t>
  </si>
  <si>
    <t>11-1-501</t>
  </si>
  <si>
    <t>11-1-401</t>
  </si>
  <si>
    <t>11-1-301</t>
  </si>
  <si>
    <t>11-1-201</t>
  </si>
  <si>
    <t>10-2-3004</t>
  </si>
  <si>
    <t>10-2-2904</t>
  </si>
  <si>
    <t>10-2-2804</t>
  </si>
  <si>
    <t>10-2-2704</t>
  </si>
  <si>
    <t>10-2-2604</t>
  </si>
  <si>
    <t>10-2-2504</t>
  </si>
  <si>
    <t>10-2-2404</t>
  </si>
  <si>
    <t>10-2-2304</t>
  </si>
  <si>
    <t>10-2-2204</t>
  </si>
  <si>
    <t>10-2-2104</t>
  </si>
  <si>
    <t>10-2-2004</t>
  </si>
  <si>
    <t>10-2-1904</t>
  </si>
  <si>
    <t>10-2-1804</t>
  </si>
  <si>
    <t>10-2-1704</t>
  </si>
  <si>
    <t>10-2-1604</t>
  </si>
  <si>
    <t>10-2-1504</t>
  </si>
  <si>
    <t>10-2-1404</t>
  </si>
  <si>
    <t>10-2-1304</t>
  </si>
  <si>
    <t>10-2-1204</t>
  </si>
  <si>
    <t>10-2-1104</t>
  </si>
  <si>
    <t>10-2-1004</t>
  </si>
  <si>
    <t>10-2-904</t>
  </si>
  <si>
    <t>10-2-804</t>
  </si>
  <si>
    <t>10-2-704</t>
  </si>
  <si>
    <t>10-2-604</t>
  </si>
  <si>
    <t>10-2-504</t>
  </si>
  <si>
    <t>10-2-404</t>
  </si>
  <si>
    <t>10-2-304</t>
  </si>
  <si>
    <t>10-2-204</t>
  </si>
  <si>
    <t>10-2-3003</t>
  </si>
  <si>
    <t>10-2-2903</t>
  </si>
  <si>
    <t>10-2-2803</t>
  </si>
  <si>
    <t>10-2-2703</t>
  </si>
  <si>
    <t>10-2-2603</t>
  </si>
  <si>
    <t>10-2-2503</t>
  </si>
  <si>
    <t>10-2-2403</t>
  </si>
  <si>
    <t>10-2-2303</t>
  </si>
  <si>
    <t>10-2-2203</t>
  </si>
  <si>
    <t>10-2-2103</t>
  </si>
  <si>
    <t>10-2-2003</t>
  </si>
  <si>
    <t>10-2-1903</t>
  </si>
  <si>
    <t>10-2-1803</t>
  </si>
  <si>
    <t>10-2-1703</t>
  </si>
  <si>
    <t>10-2-1603</t>
  </si>
  <si>
    <t>10-2-1503</t>
  </si>
  <si>
    <t>10-2-1403</t>
  </si>
  <si>
    <t>10-2-1303</t>
  </si>
  <si>
    <t>10-2-1203</t>
  </si>
  <si>
    <t>10-2-1103</t>
  </si>
  <si>
    <t>10-2-1003</t>
  </si>
  <si>
    <t>10-2-903</t>
  </si>
  <si>
    <t>10-2-803</t>
  </si>
  <si>
    <t>10-2-703</t>
  </si>
  <si>
    <t>10-2-603</t>
  </si>
  <si>
    <t>10-2-503</t>
  </si>
  <si>
    <t>10-2-403</t>
  </si>
  <si>
    <t>10-2-303</t>
  </si>
  <si>
    <t>10-2-203</t>
  </si>
  <si>
    <t>10-2-3002</t>
  </si>
  <si>
    <t>10-2-2902</t>
  </si>
  <si>
    <t>10-2-2802</t>
  </si>
  <si>
    <t>10-2-2702</t>
  </si>
  <si>
    <t>10-2-2602</t>
  </si>
  <si>
    <t>10-2-2502</t>
  </si>
  <si>
    <t>10-2-2402</t>
  </si>
  <si>
    <t>10-2-2302</t>
  </si>
  <si>
    <t>10-2-2202</t>
  </si>
  <si>
    <t>10-2-2102</t>
  </si>
  <si>
    <t>10-2-2002</t>
  </si>
  <si>
    <t>10-2-1902</t>
  </si>
  <si>
    <t>10-2-1802</t>
  </si>
  <si>
    <t>10-2-1702</t>
  </si>
  <si>
    <t>10-2-1602</t>
  </si>
  <si>
    <t>10-2-1502</t>
  </si>
  <si>
    <t>10-2-1402</t>
  </si>
  <si>
    <t>10-2-1302</t>
  </si>
  <si>
    <t>10-2-1202</t>
  </si>
  <si>
    <t>10-2-1102</t>
  </si>
  <si>
    <t>10-2-1002</t>
  </si>
  <si>
    <t>10-2-902</t>
  </si>
  <si>
    <t>10-2-802</t>
  </si>
  <si>
    <t>10-2-702</t>
  </si>
  <si>
    <t>10-2-602</t>
  </si>
  <si>
    <t>10-2-502</t>
  </si>
  <si>
    <t>10-2-402</t>
  </si>
  <si>
    <t>10-2-302</t>
  </si>
  <si>
    <t>10-2-202</t>
  </si>
  <si>
    <t>10-2-3001</t>
  </si>
  <si>
    <t>10-2-2801</t>
  </si>
  <si>
    <t>10-2-2601</t>
  </si>
  <si>
    <t>10-2-2401</t>
  </si>
  <si>
    <t>10-2-2201</t>
  </si>
  <si>
    <t>10-2-2001</t>
  </si>
  <si>
    <t>10-2-1801</t>
  </si>
  <si>
    <t>10-2-1601</t>
  </si>
  <si>
    <t>10-2-1401</t>
  </si>
  <si>
    <t>10-2-1201</t>
  </si>
  <si>
    <t>10-2-1001</t>
  </si>
  <si>
    <t>10-2-801</t>
  </si>
  <si>
    <t>10-2-601</t>
  </si>
  <si>
    <t>10-2-401</t>
  </si>
  <si>
    <t>10-1-3003</t>
  </si>
  <si>
    <t>10-1-2803</t>
  </si>
  <si>
    <t>10-1-2603</t>
  </si>
  <si>
    <t>10-1-2403</t>
  </si>
  <si>
    <t>10-1-2203</t>
  </si>
  <si>
    <t>10-1-2003</t>
  </si>
  <si>
    <t>10-1-1803</t>
  </si>
  <si>
    <t>10-1-1603</t>
  </si>
  <si>
    <t>10-1-1403</t>
  </si>
  <si>
    <t>10-1-1203</t>
  </si>
  <si>
    <t>10-1-1003</t>
  </si>
  <si>
    <t>10-1-803</t>
  </si>
  <si>
    <t>10-1-603</t>
  </si>
  <si>
    <t>10-1-3002</t>
  </si>
  <si>
    <t>10-1-2902</t>
  </si>
  <si>
    <t>10-1-2802</t>
  </si>
  <si>
    <t>10-1-2702</t>
  </si>
  <si>
    <t>10-1-2602</t>
  </si>
  <si>
    <t>10-1-2502</t>
  </si>
  <si>
    <t>10-1-2402</t>
  </si>
  <si>
    <t>10-1-2202</t>
  </si>
  <si>
    <t>10-1-2102</t>
  </si>
  <si>
    <t>10-1-2002</t>
  </si>
  <si>
    <t>10-1-1902</t>
  </si>
  <si>
    <t>10-1-1802</t>
  </si>
  <si>
    <t>10-1-1702</t>
  </si>
  <si>
    <t>10-1-1602</t>
  </si>
  <si>
    <t>10-1-1502</t>
  </si>
  <si>
    <t>10-1-1402</t>
  </si>
  <si>
    <t>10-1-1302</t>
  </si>
  <si>
    <t>10-1-1202</t>
  </si>
  <si>
    <t>10-1-1102</t>
  </si>
  <si>
    <t>10-1-1002</t>
  </si>
  <si>
    <t>10-1-902</t>
  </si>
  <si>
    <t>10-1-802</t>
  </si>
  <si>
    <t>10-1-702</t>
  </si>
  <si>
    <t>10-1-602</t>
  </si>
  <si>
    <t>10-1-502</t>
  </si>
  <si>
    <t>10-1-402</t>
  </si>
  <si>
    <t>10-1-302</t>
  </si>
  <si>
    <t>10-1-202</t>
  </si>
  <si>
    <t>10-1-3001</t>
  </si>
  <si>
    <t>10-1-2901</t>
  </si>
  <si>
    <t>10-1-2801</t>
  </si>
  <si>
    <t>10-1-2701</t>
  </si>
  <si>
    <t>10-1-2601</t>
  </si>
  <si>
    <t>10-1-2501</t>
  </si>
  <si>
    <t>10-1-2401</t>
  </si>
  <si>
    <t>10-1-2301</t>
  </si>
  <si>
    <t>10-1-2201</t>
  </si>
  <si>
    <t>10-1-2101</t>
  </si>
  <si>
    <t>10-1-2001</t>
  </si>
  <si>
    <t>10-1-1901</t>
  </si>
  <si>
    <t>10-1-1801</t>
  </si>
  <si>
    <t>10-1-1701</t>
  </si>
  <si>
    <t>10-1-1601</t>
  </si>
  <si>
    <t>10-1-1501</t>
  </si>
  <si>
    <t>10-1-1401</t>
  </si>
  <si>
    <t>10-1-1301</t>
  </si>
  <si>
    <t>10-1-1201</t>
  </si>
  <si>
    <t>10-1-1101</t>
  </si>
  <si>
    <t>10-1-1001</t>
  </si>
  <si>
    <t>10-1-901</t>
  </si>
  <si>
    <t>10-1-801</t>
  </si>
  <si>
    <t>10-1-701</t>
  </si>
  <si>
    <t>10-1-601</t>
  </si>
  <si>
    <t>10-1-501</t>
  </si>
  <si>
    <t>10-1-301</t>
  </si>
  <si>
    <t>10-1-201</t>
  </si>
  <si>
    <t>7-2-3004</t>
  </si>
  <si>
    <t>7-2-2904</t>
  </si>
  <si>
    <t>7-2-2804</t>
  </si>
  <si>
    <t>7-2-2704</t>
  </si>
  <si>
    <t>7-2-2604</t>
  </si>
  <si>
    <t>7-2-2504</t>
  </si>
  <si>
    <t>7-2-2404</t>
  </si>
  <si>
    <t>7-2-2304</t>
  </si>
  <si>
    <t>7-2-2204</t>
  </si>
  <si>
    <t>7-2-2104</t>
  </si>
  <si>
    <t>7-2-2004</t>
  </si>
  <si>
    <t>7-2-1904</t>
  </si>
  <si>
    <t>7-2-1804</t>
  </si>
  <si>
    <t>7-2-1704</t>
  </si>
  <si>
    <t>7-2-1604</t>
  </si>
  <si>
    <t>7-2-1504</t>
  </si>
  <si>
    <t>7-2-1404</t>
  </si>
  <si>
    <t>7-2-1304</t>
  </si>
  <si>
    <t>7-2-1204</t>
  </si>
  <si>
    <t>7-2-1104</t>
  </si>
  <si>
    <t>7-2-1004</t>
  </si>
  <si>
    <t>7-2-904</t>
  </si>
  <si>
    <t>7-2-804</t>
  </si>
  <si>
    <t>7-2-704</t>
  </si>
  <si>
    <t>7-2-604</t>
  </si>
  <si>
    <t>7-2-504</t>
  </si>
  <si>
    <t>7-2-404</t>
  </si>
  <si>
    <t>7-2-304</t>
  </si>
  <si>
    <t>7-2-204</t>
  </si>
  <si>
    <t>7-2-3003</t>
  </si>
  <si>
    <t>7-2-2903</t>
  </si>
  <si>
    <t>7-2-2803</t>
  </si>
  <si>
    <t>7-2-2703</t>
  </si>
  <si>
    <t>7-2-2603</t>
  </si>
  <si>
    <t>7-2-2503</t>
  </si>
  <si>
    <t>7-2-2403</t>
  </si>
  <si>
    <t>7-2-2303</t>
  </si>
  <si>
    <t>7-2-2203</t>
  </si>
  <si>
    <t>7-2-2103</t>
  </si>
  <si>
    <t>7-2-2003</t>
  </si>
  <si>
    <t>7-2-1903</t>
  </si>
  <si>
    <t>7-2-1803</t>
  </si>
  <si>
    <t>7-2-1703</t>
  </si>
  <si>
    <t>7-2-1603</t>
  </si>
  <si>
    <t>7-2-1503</t>
  </si>
  <si>
    <t>7-2-1403</t>
  </si>
  <si>
    <t>7-2-1303</t>
  </si>
  <si>
    <t>7-2-1203</t>
  </si>
  <si>
    <t>7-2-1103</t>
  </si>
  <si>
    <t>7-2-1003</t>
  </si>
  <si>
    <t>7-2-903</t>
  </si>
  <si>
    <t>7-2-803</t>
  </si>
  <si>
    <t>7-2-703</t>
  </si>
  <si>
    <t>7-2-603</t>
  </si>
  <si>
    <t>7-2-503</t>
  </si>
  <si>
    <t>7-2-403</t>
  </si>
  <si>
    <t>7-2-303</t>
  </si>
  <si>
    <t>7-2-203</t>
  </si>
  <si>
    <t>7-2-3002</t>
  </si>
  <si>
    <t>7-2-2902</t>
  </si>
  <si>
    <t>7-2-2802</t>
  </si>
  <si>
    <t>7-2-2702</t>
  </si>
  <si>
    <t>7-2-2602</t>
  </si>
  <si>
    <t>7-2-2502</t>
  </si>
  <si>
    <t>7-2-2402</t>
  </si>
  <si>
    <t>7-2-2302</t>
  </si>
  <si>
    <t>7-2-2202</t>
  </si>
  <si>
    <t>7-2-2102</t>
  </si>
  <si>
    <t>7-2-2002</t>
  </si>
  <si>
    <t>7-2-1902</t>
  </si>
  <si>
    <t>7-2-1802</t>
  </si>
  <si>
    <t>7-2-1702</t>
  </si>
  <si>
    <t>7-2-1602</t>
  </si>
  <si>
    <t>7-2-1502</t>
  </si>
  <si>
    <t>7-2-1402</t>
  </si>
  <si>
    <t>7-2-1302</t>
  </si>
  <si>
    <t>7-2-1202</t>
  </si>
  <si>
    <t>7-2-1102</t>
  </si>
  <si>
    <t>7-2-1002</t>
  </si>
  <si>
    <t>7-2-902</t>
  </si>
  <si>
    <t>7-2-802</t>
  </si>
  <si>
    <t>7-2-702</t>
  </si>
  <si>
    <t>7-2-602</t>
  </si>
  <si>
    <t>7-2-502</t>
  </si>
  <si>
    <t>7-2-402</t>
  </si>
  <si>
    <t>7-2-302</t>
  </si>
  <si>
    <t>7-2-202</t>
  </si>
  <si>
    <t>7-2-3001</t>
  </si>
  <si>
    <t>7-2-2901</t>
  </si>
  <si>
    <t>7-2-2801</t>
  </si>
  <si>
    <t>7-2-2701</t>
  </si>
  <si>
    <t>7-2-2601</t>
  </si>
  <si>
    <t>7-2-2501</t>
  </si>
  <si>
    <t>7-2-2401</t>
  </si>
  <si>
    <t>7-2-2301</t>
  </si>
  <si>
    <t>7-2-2201</t>
  </si>
  <si>
    <t>7-2-2101</t>
  </si>
  <si>
    <t>7-2-2001</t>
  </si>
  <si>
    <t>7-2-1901</t>
  </si>
  <si>
    <t>7-2-1801</t>
  </si>
  <si>
    <t>7-2-1701</t>
  </si>
  <si>
    <t>7-2-1601</t>
  </si>
  <si>
    <t>7-2-1501</t>
  </si>
  <si>
    <t>7-2-1401</t>
  </si>
  <si>
    <t>7-2-1301</t>
  </si>
  <si>
    <t>7-2-1201</t>
  </si>
  <si>
    <t>7-2-1101</t>
  </si>
  <si>
    <t>7-2-1001</t>
  </si>
  <si>
    <t>7-2-901</t>
  </si>
  <si>
    <t>7-2-801</t>
  </si>
  <si>
    <t>7-2-701</t>
  </si>
  <si>
    <t>7-2-601</t>
  </si>
  <si>
    <t>7-2-501</t>
  </si>
  <si>
    <t>7-2-401</t>
  </si>
  <si>
    <t>7-2-301</t>
  </si>
  <si>
    <t>7-2-201</t>
  </si>
  <si>
    <t>7-1-3003</t>
  </si>
  <si>
    <t>7-1-2903</t>
  </si>
  <si>
    <t>7-1-2803</t>
  </si>
  <si>
    <t>7-1-2703</t>
  </si>
  <si>
    <t>7-1-2603</t>
  </si>
  <si>
    <t>7-1-2503</t>
  </si>
  <si>
    <t>7-1-2403</t>
  </si>
  <si>
    <t>7-1-2303</t>
  </si>
  <si>
    <t>7-1-2203</t>
  </si>
  <si>
    <t>7-1-2103</t>
  </si>
  <si>
    <t>7-1-2003</t>
  </si>
  <si>
    <t>7-1-1903</t>
  </si>
  <si>
    <t>7-1-1803</t>
  </si>
  <si>
    <t>7-1-1703</t>
  </si>
  <si>
    <t>7-1-1603</t>
  </si>
  <si>
    <t>7-1-1503</t>
  </si>
  <si>
    <t>7-1-1403</t>
  </si>
  <si>
    <t>7-1-1303</t>
  </si>
  <si>
    <t>7-1-1203</t>
  </si>
  <si>
    <t>7-1-1103</t>
  </si>
  <si>
    <t>7-1-1003</t>
  </si>
  <si>
    <t>7-1-903</t>
  </si>
  <si>
    <t>7-1-803</t>
  </si>
  <si>
    <t>市值</t>
  </si>
  <si>
    <t>面积</t>
  </si>
  <si>
    <t>均价</t>
  </si>
  <si>
    <t>7-1-703</t>
  </si>
  <si>
    <t>未售</t>
  </si>
  <si>
    <t>12-2-3004</t>
  </si>
  <si>
    <t>7-1-603</t>
  </si>
  <si>
    <t>12-2-2904</t>
  </si>
  <si>
    <t>7-1-503</t>
  </si>
  <si>
    <t>12-2-2804</t>
  </si>
  <si>
    <t>7-1-403</t>
  </si>
  <si>
    <t>12-2-2704</t>
  </si>
  <si>
    <t>7-1-203</t>
  </si>
  <si>
    <t>12-2-2604</t>
  </si>
  <si>
    <t>7-1-3002</t>
  </si>
  <si>
    <t>12-2-2504</t>
  </si>
  <si>
    <t>7-1-2902</t>
  </si>
  <si>
    <t>12-2-2404</t>
  </si>
  <si>
    <t>7-1-2802</t>
  </si>
  <si>
    <t>12-2-2304</t>
  </si>
  <si>
    <t>7-1-2702</t>
  </si>
  <si>
    <t>12-2-2204</t>
  </si>
  <si>
    <t>7-1-2602</t>
  </si>
  <si>
    <t>12-2-2104</t>
  </si>
  <si>
    <t>7-1-2502</t>
  </si>
  <si>
    <t>12-2-2004</t>
  </si>
  <si>
    <t>7-1-2402</t>
  </si>
  <si>
    <t>12-2-1904</t>
  </si>
  <si>
    <t>7-1-2302</t>
  </si>
  <si>
    <t>12-2-1804</t>
  </si>
  <si>
    <t>7-1-2202</t>
  </si>
  <si>
    <t>12-2-1704</t>
  </si>
  <si>
    <t>7-1-2102</t>
  </si>
  <si>
    <t>12-2-1604</t>
  </si>
  <si>
    <t>7-1-2002</t>
  </si>
  <si>
    <t>12-2-1504</t>
  </si>
  <si>
    <t>7-1-1902</t>
  </si>
  <si>
    <t>12-2-1404</t>
  </si>
  <si>
    <t>7-1-1802</t>
  </si>
  <si>
    <t>12-2-1304</t>
  </si>
  <si>
    <t>7-1-1702</t>
  </si>
  <si>
    <t>12-2-1204</t>
  </si>
  <si>
    <t>7-1-1602</t>
  </si>
  <si>
    <t>12-2-1104</t>
  </si>
  <si>
    <t>7-1-1502</t>
  </si>
  <si>
    <t>12-2-1004</t>
  </si>
  <si>
    <t>7-1-1402</t>
  </si>
  <si>
    <t>12-2-904</t>
  </si>
  <si>
    <t>7-1-1302</t>
  </si>
  <si>
    <t>12-2-804</t>
  </si>
  <si>
    <t>7-1-1202</t>
  </si>
  <si>
    <t>12-2-704</t>
  </si>
  <si>
    <t>7-1-1102</t>
  </si>
  <si>
    <t>12-2-604</t>
  </si>
  <si>
    <t>7-1-1002</t>
  </si>
  <si>
    <t>12-2-504</t>
  </si>
  <si>
    <t>7-1-902</t>
  </si>
  <si>
    <t>12-2-404</t>
  </si>
  <si>
    <t>7-1-802</t>
  </si>
  <si>
    <t>12-2-304</t>
  </si>
  <si>
    <t>7-1-702</t>
  </si>
  <si>
    <t>12-2-204</t>
  </si>
  <si>
    <t>7-1-602</t>
  </si>
  <si>
    <t>12-2-3003</t>
  </si>
  <si>
    <t>7-1-502</t>
  </si>
  <si>
    <t>12-2-2903</t>
  </si>
  <si>
    <t>7-1-402</t>
  </si>
  <si>
    <t>12-2-2803</t>
  </si>
  <si>
    <t>7-1-302</t>
  </si>
  <si>
    <t>12-2-2703</t>
  </si>
  <si>
    <t>7-1-202</t>
  </si>
  <si>
    <t>12-2-2603</t>
  </si>
  <si>
    <t>7-1-3001</t>
  </si>
  <si>
    <t>12-2-2503</t>
  </si>
  <si>
    <t>7-1-2901</t>
  </si>
  <si>
    <t>12-2-2403</t>
  </si>
  <si>
    <t>7-1-2801</t>
  </si>
  <si>
    <t>12-2-2303</t>
  </si>
  <si>
    <t>7-1-2701</t>
  </si>
  <si>
    <t>12-2-2203</t>
  </si>
  <si>
    <t>7-1-2601</t>
  </si>
  <si>
    <t>12-2-2103</t>
  </si>
  <si>
    <t>7-1-2501</t>
  </si>
  <si>
    <t>12-2-2003</t>
  </si>
  <si>
    <t>7-1-2401</t>
  </si>
  <si>
    <t>12-2-1903</t>
  </si>
  <si>
    <t>7-1-2301</t>
  </si>
  <si>
    <t>12-2-1803</t>
  </si>
  <si>
    <t>7-1-2201</t>
  </si>
  <si>
    <t>12-2-1703</t>
  </si>
  <si>
    <t>7-1-2101</t>
  </si>
  <si>
    <t>12-2-1603</t>
  </si>
  <si>
    <t>7-1-2001</t>
  </si>
  <si>
    <t>12-2-1503</t>
  </si>
  <si>
    <t>7-1-1901</t>
  </si>
  <si>
    <t>12-2-1403</t>
  </si>
  <si>
    <t>7-1-1801</t>
  </si>
  <si>
    <t>12-2-1303</t>
  </si>
  <si>
    <t>7-1-1701</t>
  </si>
  <si>
    <t>12-2-1203</t>
  </si>
  <si>
    <t>7-1-1601</t>
  </si>
  <si>
    <t>12-2-1103</t>
  </si>
  <si>
    <t>7-1-1501</t>
  </si>
  <si>
    <t>12-2-1003</t>
  </si>
  <si>
    <t>7-1-1401</t>
  </si>
  <si>
    <t>12-2-903</t>
  </si>
  <si>
    <t>7-1-1301</t>
  </si>
  <si>
    <t>12-2-803</t>
  </si>
  <si>
    <t>7-1-1201</t>
  </si>
  <si>
    <t>12-2-703</t>
  </si>
  <si>
    <t>7-1-1101</t>
  </si>
  <si>
    <t>12-2-603</t>
  </si>
  <si>
    <t>7-1-1001</t>
  </si>
  <si>
    <t>12-2-503</t>
  </si>
  <si>
    <t>7-1-901</t>
  </si>
  <si>
    <t>12-2-403</t>
  </si>
  <si>
    <t>7-1-801</t>
  </si>
  <si>
    <t>12-2-303</t>
  </si>
  <si>
    <t>7-1-701</t>
  </si>
  <si>
    <t>12-2-203</t>
  </si>
  <si>
    <t>7-1-601</t>
  </si>
  <si>
    <t>12-2-3002</t>
  </si>
  <si>
    <t>7-1-501</t>
  </si>
  <si>
    <t>12-2-2902</t>
  </si>
  <si>
    <t>7-1-401</t>
  </si>
  <si>
    <t>12-2-2802</t>
  </si>
  <si>
    <t>7-1-301</t>
  </si>
  <si>
    <t>12-2-2702</t>
  </si>
  <si>
    <t>7-1-201</t>
  </si>
  <si>
    <t>12-2-2602</t>
  </si>
  <si>
    <t>5-2-1705</t>
  </si>
  <si>
    <t>12-2-2502</t>
  </si>
  <si>
    <t>5-2-1605</t>
  </si>
  <si>
    <t>12-2-2402</t>
  </si>
  <si>
    <t>5-2-1505</t>
  </si>
  <si>
    <t>12-2-2302</t>
  </si>
  <si>
    <t>5-2-1405</t>
  </si>
  <si>
    <t>12-2-2202</t>
  </si>
  <si>
    <t>5-2-1305</t>
  </si>
  <si>
    <t>12-2-2102</t>
  </si>
  <si>
    <t>5-2-1205</t>
  </si>
  <si>
    <t>12-2-2002</t>
  </si>
  <si>
    <t>5-2-1105</t>
  </si>
  <si>
    <t>12-2-1902</t>
  </si>
  <si>
    <t>5-2-1005</t>
  </si>
  <si>
    <t>12-2-1802</t>
  </si>
  <si>
    <t>5-2-905</t>
  </si>
  <si>
    <t>12-2-1702</t>
  </si>
  <si>
    <t>5-2-805</t>
  </si>
  <si>
    <t>12-2-1602</t>
  </si>
  <si>
    <t>5-2-705</t>
  </si>
  <si>
    <t>12-2-1502</t>
  </si>
  <si>
    <t>5-2-605</t>
  </si>
  <si>
    <t>12-2-1402</t>
  </si>
  <si>
    <t>5-2-505</t>
  </si>
  <si>
    <t>12-2-1302</t>
  </si>
  <si>
    <t>5-2-405</t>
  </si>
  <si>
    <t>12-2-1202</t>
  </si>
  <si>
    <t>5-2-305</t>
  </si>
  <si>
    <t>12-2-1102</t>
  </si>
  <si>
    <t>5-2-205</t>
  </si>
  <si>
    <t>12-2-1002</t>
  </si>
  <si>
    <t>5-2-1704</t>
  </si>
  <si>
    <t>12-2-902</t>
  </si>
  <si>
    <t>5-2-1604</t>
  </si>
  <si>
    <t>12-2-802</t>
  </si>
  <si>
    <t>5-2-1504</t>
  </si>
  <si>
    <t>12-2-702</t>
  </si>
  <si>
    <t>5-2-1404</t>
  </si>
  <si>
    <t>12-2-602</t>
  </si>
  <si>
    <t>5-2-1304</t>
  </si>
  <si>
    <t>12-2-502</t>
  </si>
  <si>
    <t>5-2-1204</t>
  </si>
  <si>
    <t>12-2-402</t>
  </si>
  <si>
    <t>5-2-1104</t>
  </si>
  <si>
    <t>12-2-302</t>
  </si>
  <si>
    <t>5-2-1004</t>
  </si>
  <si>
    <t>12-2-202</t>
  </si>
  <si>
    <t>5-2-904</t>
  </si>
  <si>
    <t>12-2-3001</t>
  </si>
  <si>
    <t>5-2-804</t>
  </si>
  <si>
    <t>12-2-2801</t>
  </si>
  <si>
    <t>5-2-704</t>
  </si>
  <si>
    <t>12-2-2601</t>
  </si>
  <si>
    <t>5-2-604</t>
  </si>
  <si>
    <t>12-2-2401</t>
  </si>
  <si>
    <t>5-2-504</t>
  </si>
  <si>
    <t>12-2-2201</t>
  </si>
  <si>
    <t>5-2-404</t>
  </si>
  <si>
    <t>12-2-2001</t>
  </si>
  <si>
    <t>5-2-304</t>
  </si>
  <si>
    <t>12-2-1801</t>
  </si>
  <si>
    <t>5-2-204</t>
  </si>
  <si>
    <t>12-2-1601</t>
  </si>
  <si>
    <t>5-2-1703</t>
  </si>
  <si>
    <t>12-2-1401</t>
  </si>
  <si>
    <t>5-2-1603</t>
  </si>
  <si>
    <t>12-2-1201</t>
  </si>
  <si>
    <t>5-2-1503</t>
  </si>
  <si>
    <t>12-2-1001</t>
  </si>
  <si>
    <t>5-2-1403</t>
  </si>
  <si>
    <t>12-2-801</t>
  </si>
  <si>
    <t>5-2-1303</t>
  </si>
  <si>
    <t>12-2-601</t>
  </si>
  <si>
    <t>5-2-1203</t>
  </si>
  <si>
    <t>12-2-401</t>
  </si>
  <si>
    <t>5-2-1103</t>
  </si>
  <si>
    <t>12-2-201</t>
  </si>
  <si>
    <t>5-2-1003</t>
  </si>
  <si>
    <t>12-1-3004</t>
  </si>
  <si>
    <t>5-2-903</t>
  </si>
  <si>
    <t>12-1-2804</t>
  </si>
  <si>
    <t>5-2-803</t>
  </si>
  <si>
    <t>12-1-2604</t>
  </si>
  <si>
    <t>5-2-703</t>
  </si>
  <si>
    <t>12-1-2404</t>
  </si>
  <si>
    <t>5-2-603</t>
  </si>
  <si>
    <t>12-1-2204</t>
  </si>
  <si>
    <t>5-2-503</t>
  </si>
  <si>
    <t>12-1-2004</t>
  </si>
  <si>
    <t>5-2-403</t>
  </si>
  <si>
    <t>12-1-1804</t>
  </si>
  <si>
    <t>5-2-303</t>
  </si>
  <si>
    <t>12-1-1604</t>
  </si>
  <si>
    <t>5-2-203</t>
  </si>
  <si>
    <t>12-1-1404</t>
  </si>
  <si>
    <t>5-2-1702</t>
  </si>
  <si>
    <t>12-1-1204</t>
  </si>
  <si>
    <t>5-2-1602</t>
  </si>
  <si>
    <t>12-1-1004</t>
  </si>
  <si>
    <t>5-2-1502</t>
  </si>
  <si>
    <t>12-1-804</t>
  </si>
  <si>
    <t>5-2-1402</t>
  </si>
  <si>
    <t>12-1-604</t>
  </si>
  <si>
    <t>5-2-1302</t>
  </si>
  <si>
    <t>12-1-404</t>
  </si>
  <si>
    <t>5-2-1202</t>
  </si>
  <si>
    <t>12-1-204</t>
  </si>
  <si>
    <t>5-2-1102</t>
  </si>
  <si>
    <t>12-1-3003</t>
  </si>
  <si>
    <t>5-2-1002</t>
  </si>
  <si>
    <t>12-1-2903</t>
  </si>
  <si>
    <t>5-2-902</t>
  </si>
  <si>
    <t>12-1-2803</t>
  </si>
  <si>
    <t>5-2-802</t>
  </si>
  <si>
    <t>12-1-2703</t>
  </si>
  <si>
    <t>5-2-702</t>
  </si>
  <si>
    <t>12-1-2603</t>
  </si>
  <si>
    <t>5-2-602</t>
  </si>
  <si>
    <t>12-1-2503</t>
  </si>
  <si>
    <t>5-2-502</t>
  </si>
  <si>
    <t>12-1-2403</t>
  </si>
  <si>
    <t>5-2-402</t>
  </si>
  <si>
    <t>12-1-2303</t>
  </si>
  <si>
    <t>5-2-302</t>
  </si>
  <si>
    <t>12-1-2203</t>
  </si>
  <si>
    <t>5-2-202</t>
  </si>
  <si>
    <t>12-1-2103</t>
  </si>
  <si>
    <t>5-2-1701</t>
  </si>
  <si>
    <t>12-1-2003</t>
  </si>
  <si>
    <t>5-2-1601</t>
  </si>
  <si>
    <t>12-1-1903</t>
  </si>
  <si>
    <t>5-2-1501</t>
  </si>
  <si>
    <t>12-1-1803</t>
  </si>
  <si>
    <t>5-2-1401</t>
  </si>
  <si>
    <t>12-1-1703</t>
  </si>
  <si>
    <t>5-2-1301</t>
  </si>
  <si>
    <t>12-1-1603</t>
  </si>
  <si>
    <t>5-2-1201</t>
  </si>
  <si>
    <t>12-1-1503</t>
  </si>
  <si>
    <t>5-2-1101</t>
  </si>
  <si>
    <t>12-1-1403</t>
  </si>
  <si>
    <t>5-2-1001</t>
  </si>
  <si>
    <t>12-1-1303</t>
  </si>
  <si>
    <t>5-2-901</t>
  </si>
  <si>
    <t>12-1-1203</t>
  </si>
  <si>
    <t>5-2-801</t>
  </si>
  <si>
    <t>12-1-1103</t>
  </si>
  <si>
    <t>5-2-701</t>
  </si>
  <si>
    <t>12-1-1003</t>
  </si>
  <si>
    <t>5-2-601</t>
  </si>
  <si>
    <t>12-1-903</t>
  </si>
  <si>
    <t>5-2-501</t>
  </si>
  <si>
    <t>12-1-803</t>
  </si>
  <si>
    <t>5-2-401</t>
  </si>
  <si>
    <t>12-1-703</t>
  </si>
  <si>
    <t>5-2-301</t>
  </si>
  <si>
    <t>12-1-603</t>
  </si>
  <si>
    <t>5-2-201</t>
  </si>
  <si>
    <t>12-1-503</t>
  </si>
  <si>
    <t>5-1-1705</t>
  </si>
  <si>
    <t>12-1-403</t>
  </si>
  <si>
    <t>5-1-1605</t>
  </si>
  <si>
    <t>12-1-303</t>
  </si>
  <si>
    <t>5-1-1505</t>
  </si>
  <si>
    <t>12-1-203</t>
  </si>
  <si>
    <t>5-1-1405</t>
  </si>
  <si>
    <t>12-1-3002</t>
  </si>
  <si>
    <t>5-1-1305</t>
  </si>
  <si>
    <t>12-1-2902</t>
  </si>
  <si>
    <t>5-1-1205</t>
  </si>
  <si>
    <t>12-1-2802</t>
  </si>
  <si>
    <t>5-1-1105</t>
  </si>
  <si>
    <t>12-1-2702</t>
  </si>
  <si>
    <t>5-1-1005</t>
  </si>
  <si>
    <t>12-1-2602</t>
  </si>
  <si>
    <t>5-1-905</t>
  </si>
  <si>
    <t>12-1-2502</t>
  </si>
  <si>
    <t>5-1-805</t>
  </si>
  <si>
    <t>12-1-2402</t>
  </si>
  <si>
    <t>5-1-705</t>
  </si>
  <si>
    <t>12-1-2302</t>
  </si>
  <si>
    <t>5-1-605</t>
  </si>
  <si>
    <t>12-1-2202</t>
  </si>
  <si>
    <t>5-1-505</t>
  </si>
  <si>
    <t>12-1-2102</t>
  </si>
  <si>
    <t>5-1-405</t>
  </si>
  <si>
    <t>12-1-2002</t>
  </si>
  <si>
    <t>5-1-305</t>
  </si>
  <si>
    <t>12-1-1902</t>
  </si>
  <si>
    <t>5-1-205</t>
  </si>
  <si>
    <t>12-1-1802</t>
  </si>
  <si>
    <t>5-1-1704</t>
  </si>
  <si>
    <t>12-1-1702</t>
  </si>
  <si>
    <t>5-1-1604</t>
  </si>
  <si>
    <t>12-1-1602</t>
  </si>
  <si>
    <t>5-1-1504</t>
  </si>
  <si>
    <t>12-1-1502</t>
  </si>
  <si>
    <t>5-1-1404</t>
  </si>
  <si>
    <t>12-1-1402</t>
  </si>
  <si>
    <t>5-1-1304</t>
  </si>
  <si>
    <t>12-1-1302</t>
  </si>
  <si>
    <t>5-1-1204</t>
  </si>
  <si>
    <t>12-1-1202</t>
  </si>
  <si>
    <t>5-1-1104</t>
  </si>
  <si>
    <t>12-1-1102</t>
  </si>
  <si>
    <t>5-1-1004</t>
  </si>
  <si>
    <t>12-1-1002</t>
  </si>
  <si>
    <t>5-1-904</t>
  </si>
  <si>
    <t>12-1-902</t>
  </si>
  <si>
    <t>5-1-804</t>
  </si>
  <si>
    <t>12-1-802</t>
  </si>
  <si>
    <t>5-1-704</t>
  </si>
  <si>
    <t>12-1-702</t>
  </si>
  <si>
    <t>5-1-604</t>
  </si>
  <si>
    <t>12-1-602</t>
  </si>
  <si>
    <t>5-1-504</t>
  </si>
  <si>
    <t>12-1-502</t>
  </si>
  <si>
    <t>5-1-404</t>
  </si>
  <si>
    <t>12-1-402</t>
  </si>
  <si>
    <t>5-1-304</t>
  </si>
  <si>
    <t>12-1-302</t>
  </si>
  <si>
    <t>5-1-204</t>
  </si>
  <si>
    <t>12-1-202</t>
  </si>
  <si>
    <t>5-1-1703</t>
  </si>
  <si>
    <t>12-1-3001</t>
  </si>
  <si>
    <t>5-1-1603</t>
  </si>
  <si>
    <t>12-1-2901</t>
  </si>
  <si>
    <t>5-1-1503</t>
  </si>
  <si>
    <t>12-1-2801</t>
  </si>
  <si>
    <t>5-1-1403</t>
  </si>
  <si>
    <t>12-1-2701</t>
  </si>
  <si>
    <t>5-1-1303</t>
  </si>
  <si>
    <t>12-1-2601</t>
  </si>
  <si>
    <t>5-1-1203</t>
  </si>
  <si>
    <t>12-1-2501</t>
  </si>
  <si>
    <t>5-1-1103</t>
  </si>
  <si>
    <t>12-1-2401</t>
  </si>
  <si>
    <t>5-1-1003</t>
  </si>
  <si>
    <t>12-1-2301</t>
  </si>
  <si>
    <t>5-1-903</t>
  </si>
  <si>
    <t>12-1-2201</t>
  </si>
  <si>
    <t>5-1-803</t>
  </si>
  <si>
    <t>12-1-2101</t>
  </si>
  <si>
    <t>5-1-703</t>
  </si>
  <si>
    <t>12-1-2001</t>
  </si>
  <si>
    <t>5-1-603</t>
  </si>
  <si>
    <t>12-1-1901</t>
  </si>
  <si>
    <t>5-1-503</t>
  </si>
  <si>
    <t>12-1-1801</t>
  </si>
  <si>
    <t>5-1-403</t>
  </si>
  <si>
    <t>12-1-1701</t>
  </si>
  <si>
    <t>5-1-303</t>
  </si>
  <si>
    <t>12-1-1601</t>
  </si>
  <si>
    <t>5-1-203</t>
  </si>
  <si>
    <t>12-1-1501</t>
  </si>
  <si>
    <t>5-1-1702</t>
  </si>
  <si>
    <t>12-1-1401</t>
  </si>
  <si>
    <t>5-1-1602</t>
  </si>
  <si>
    <t>12-1-1301</t>
  </si>
  <si>
    <t>5-1-1502</t>
  </si>
  <si>
    <t>12-1-1201</t>
  </si>
  <si>
    <t>5-1-1402</t>
  </si>
  <si>
    <t>12-1-1101</t>
  </si>
  <si>
    <t>5-1-1302</t>
  </si>
  <si>
    <t>12-1-1001</t>
  </si>
  <si>
    <t>5-1-1202</t>
  </si>
  <si>
    <t>12-1-901</t>
  </si>
  <si>
    <t>5-1-1102</t>
  </si>
  <si>
    <t>12-1-801</t>
  </si>
  <si>
    <t>5-1-1002</t>
  </si>
  <si>
    <t>12-1-701</t>
  </si>
  <si>
    <t>5-1-902</t>
  </si>
  <si>
    <t>12-1-601</t>
  </si>
  <si>
    <t>5-1-802</t>
  </si>
  <si>
    <t>12-1-501</t>
  </si>
  <si>
    <t>5-1-702</t>
  </si>
  <si>
    <t>12-1-401</t>
  </si>
  <si>
    <t>5-1-602</t>
  </si>
  <si>
    <t>12-1-301</t>
  </si>
  <si>
    <t>5-1-502</t>
  </si>
  <si>
    <t>12-1-201</t>
  </si>
  <si>
    <t>5-1-402</t>
  </si>
  <si>
    <t>11-3-201</t>
  </si>
  <si>
    <t>5-1-302</t>
  </si>
  <si>
    <t>11-2-2904</t>
  </si>
  <si>
    <t>5-1-202</t>
  </si>
  <si>
    <t>11-2-2804</t>
  </si>
  <si>
    <t>5-1-1701</t>
  </si>
  <si>
    <t>11-2-2704</t>
  </si>
  <si>
    <t>5-1-1601</t>
  </si>
  <si>
    <t>11-2-2604</t>
  </si>
  <si>
    <t>5-1-1501</t>
  </si>
  <si>
    <t>11-2-2404</t>
  </si>
  <si>
    <t>5-1-1401</t>
  </si>
  <si>
    <t>11-2-2204</t>
  </si>
  <si>
    <t>5-1-1301</t>
  </si>
  <si>
    <t>11-2-2104</t>
  </si>
  <si>
    <t>5-1-1201</t>
  </si>
  <si>
    <t>11-2-1904</t>
  </si>
  <si>
    <t>5-1-1101</t>
  </si>
  <si>
    <t>11-2-1704</t>
  </si>
  <si>
    <t>5-1-1001</t>
  </si>
  <si>
    <t>11-2-1404</t>
  </si>
  <si>
    <t>5-1-901</t>
  </si>
  <si>
    <t>11-2-1204</t>
  </si>
  <si>
    <t>5-1-801</t>
  </si>
  <si>
    <t>11-2-1104</t>
  </si>
  <si>
    <t>5-1-701</t>
  </si>
  <si>
    <t>11-2-1004</t>
  </si>
  <si>
    <t>5-1-601</t>
  </si>
  <si>
    <t>11-2-904</t>
  </si>
  <si>
    <t>5-1-501</t>
  </si>
  <si>
    <t>11-2-804</t>
  </si>
  <si>
    <t>5-1-401</t>
  </si>
  <si>
    <t>11-2-704</t>
  </si>
  <si>
    <t>5-1-301</t>
  </si>
  <si>
    <t>11-2-604</t>
  </si>
  <si>
    <t>5-1-201</t>
  </si>
  <si>
    <t>11-2-504</t>
  </si>
  <si>
    <t>4-2-2803</t>
  </si>
  <si>
    <t>11-2-404</t>
  </si>
  <si>
    <t>4-2-2703</t>
  </si>
  <si>
    <t>11-2-304</t>
  </si>
  <si>
    <t>4-2-2603</t>
  </si>
  <si>
    <t>11-2-204</t>
  </si>
  <si>
    <t>4-2-2503</t>
  </si>
  <si>
    <t>11-2-2901</t>
  </si>
  <si>
    <t>4-2-2403</t>
  </si>
  <si>
    <t>11-2-2801</t>
  </si>
  <si>
    <t>4-2-2303</t>
  </si>
  <si>
    <t>11-2-2701</t>
  </si>
  <si>
    <t>4-2-2203</t>
  </si>
  <si>
    <t>11-2-2601</t>
  </si>
  <si>
    <t>4-2-2103</t>
  </si>
  <si>
    <t>11-2-2501</t>
  </si>
  <si>
    <t>4-2-2003</t>
  </si>
  <si>
    <t>11-2-2401</t>
  </si>
  <si>
    <t>4-2-1903</t>
  </si>
  <si>
    <t>11-2-2301</t>
  </si>
  <si>
    <t>4-2-1803</t>
  </si>
  <si>
    <t>11-2-2201</t>
  </si>
  <si>
    <t>4-2-1703</t>
  </si>
  <si>
    <t>11-2-2101</t>
  </si>
  <si>
    <t>4-2-1603</t>
  </si>
  <si>
    <t>11-2-2001</t>
  </si>
  <si>
    <t>4-2-1503</t>
  </si>
  <si>
    <t>11-2-1901</t>
  </si>
  <si>
    <t>4-2-1403</t>
  </si>
  <si>
    <t>11-2-1801</t>
  </si>
  <si>
    <t>4-2-1303</t>
  </si>
  <si>
    <t>11-2-1701</t>
  </si>
  <si>
    <t>4-2-1203</t>
  </si>
  <si>
    <t>11-2-1601</t>
  </si>
  <si>
    <t>4-2-1103</t>
  </si>
  <si>
    <t>11-2-1501</t>
  </si>
  <si>
    <t>4-2-1003</t>
  </si>
  <si>
    <t>11-2-1401</t>
  </si>
  <si>
    <t>4-2-903</t>
  </si>
  <si>
    <t>11-2-1301</t>
  </si>
  <si>
    <t>4-2-803</t>
  </si>
  <si>
    <t>11-2-1201</t>
  </si>
  <si>
    <t>4-2-703</t>
  </si>
  <si>
    <t>11-2-1101</t>
  </si>
  <si>
    <t>4-2-603</t>
  </si>
  <si>
    <t>11-2-1001</t>
  </si>
  <si>
    <t>4-2-503</t>
  </si>
  <si>
    <t>11-2-901</t>
  </si>
  <si>
    <t>4-2-403</t>
  </si>
  <si>
    <t>11-2-801</t>
  </si>
  <si>
    <t>4-2-303</t>
  </si>
  <si>
    <t>11-2-701</t>
  </si>
  <si>
    <t>4-2-203</t>
  </si>
  <si>
    <t>11-2-601</t>
  </si>
  <si>
    <t>4-2-2802</t>
  </si>
  <si>
    <t>11-2-501</t>
  </si>
  <si>
    <t>4-2-2702</t>
  </si>
  <si>
    <t>11-2-401</t>
  </si>
  <si>
    <t>4-2-2602</t>
  </si>
  <si>
    <t>11-2-301</t>
  </si>
  <si>
    <t>4-2-2502</t>
  </si>
  <si>
    <t>11-2-201</t>
  </si>
  <si>
    <t>4-2-2402</t>
  </si>
  <si>
    <t>11-1-1703</t>
  </si>
  <si>
    <t>4-2-2302</t>
  </si>
  <si>
    <t>11-1-203</t>
  </si>
  <si>
    <t>4-2-2202</t>
  </si>
  <si>
    <t>10-2-201</t>
  </si>
  <si>
    <t>4-2-2102</t>
  </si>
  <si>
    <t>10-1-403</t>
  </si>
  <si>
    <t>4-2-2002</t>
  </si>
  <si>
    <t>10-1-203</t>
  </si>
  <si>
    <t>4-2-1902</t>
  </si>
  <si>
    <t>10-1-2302</t>
  </si>
  <si>
    <t>4-2-1802</t>
  </si>
  <si>
    <t>10-1-401</t>
  </si>
  <si>
    <t>4-2-1702</t>
  </si>
  <si>
    <t>9-2-3003</t>
  </si>
  <si>
    <t>4-2-1602</t>
  </si>
  <si>
    <t>9-2-2903</t>
  </si>
  <si>
    <t>4-2-1502</t>
  </si>
  <si>
    <t>9-2-2803</t>
  </si>
  <si>
    <t>4-2-1402</t>
  </si>
  <si>
    <t>9-2-2703</t>
  </si>
  <si>
    <t>4-2-1302</t>
  </si>
  <si>
    <t>9-2-2603</t>
  </si>
  <si>
    <t>4-2-1202</t>
  </si>
  <si>
    <t>9-2-2503</t>
  </si>
  <si>
    <t>4-2-1102</t>
  </si>
  <si>
    <t>9-2-2403</t>
  </si>
  <si>
    <t>4-2-1002</t>
  </si>
  <si>
    <t>9-2-2303</t>
  </si>
  <si>
    <t>4-2-902</t>
  </si>
  <si>
    <t>9-2-2203</t>
  </si>
  <si>
    <t>4-2-802</t>
  </si>
  <si>
    <t>9-2-2103</t>
  </si>
  <si>
    <t>4-2-702</t>
  </si>
  <si>
    <t>9-2-2003</t>
  </si>
  <si>
    <t>4-2-602</t>
  </si>
  <si>
    <t>9-2-1903</t>
  </si>
  <si>
    <t>4-2-502</t>
  </si>
  <si>
    <t>9-2-1803</t>
  </si>
  <si>
    <t>4-2-402</t>
  </si>
  <si>
    <t>9-2-1703</t>
  </si>
  <si>
    <t>4-2-302</t>
  </si>
  <si>
    <t>9-2-1603</t>
  </si>
  <si>
    <t>4-2-202</t>
  </si>
  <si>
    <t>9-2-1503</t>
  </si>
  <si>
    <t>4-2-2801</t>
  </si>
  <si>
    <t>9-2-1403</t>
  </si>
  <si>
    <t>4-2-2301</t>
  </si>
  <si>
    <t>9-2-1303</t>
  </si>
  <si>
    <t>4-2-2001</t>
  </si>
  <si>
    <t>9-2-1203</t>
  </si>
  <si>
    <t>4-2-1901</t>
  </si>
  <si>
    <t>9-2-1103</t>
  </si>
  <si>
    <t>4-2-1801</t>
  </si>
  <si>
    <t>9-2-1003</t>
  </si>
  <si>
    <t>4-2-1701</t>
  </si>
  <si>
    <t>9-2-903</t>
  </si>
  <si>
    <t>4-2-1601</t>
  </si>
  <si>
    <t>9-2-803</t>
  </si>
  <si>
    <t>4-2-1501</t>
  </si>
  <si>
    <t>9-2-703</t>
  </si>
  <si>
    <t>4-2-1201</t>
  </si>
  <si>
    <t>9-2-603</t>
  </si>
  <si>
    <t>4-2-1101</t>
  </si>
  <si>
    <t>9-2-503</t>
  </si>
  <si>
    <t>4-2-1001</t>
  </si>
  <si>
    <t>9-2-403</t>
  </si>
  <si>
    <t>4-2-901</t>
  </si>
  <si>
    <t>9-2-303</t>
  </si>
  <si>
    <t>4-2-801</t>
  </si>
  <si>
    <t>9-2-203</t>
  </si>
  <si>
    <t>4-2-601</t>
  </si>
  <si>
    <t>9-2-3002</t>
  </si>
  <si>
    <t>4-2-201</t>
  </si>
  <si>
    <t>9-2-2902</t>
  </si>
  <si>
    <t>4-1-2803</t>
  </si>
  <si>
    <t>9-2-2802</t>
  </si>
  <si>
    <t>4-1-2703</t>
  </si>
  <si>
    <t>9-2-2702</t>
  </si>
  <si>
    <t>4-1-2603</t>
  </si>
  <si>
    <t>9-2-2602</t>
  </si>
  <si>
    <t>4-1-2503</t>
  </si>
  <si>
    <t>9-2-2502</t>
  </si>
  <si>
    <t>4-1-2403</t>
  </si>
  <si>
    <t>9-2-2402</t>
  </si>
  <si>
    <t>4-1-2303</t>
  </si>
  <si>
    <t>9-2-2302</t>
  </si>
  <si>
    <t>4-1-2203</t>
  </si>
  <si>
    <t>9-2-2202</t>
  </si>
  <si>
    <t>4-1-2103</t>
  </si>
  <si>
    <t>9-2-2102</t>
  </si>
  <si>
    <t>4-1-2003</t>
  </si>
  <si>
    <t>9-2-2002</t>
  </si>
  <si>
    <t>4-1-1903</t>
  </si>
  <si>
    <t>9-2-1902</t>
  </si>
  <si>
    <t>4-1-1803</t>
  </si>
  <si>
    <t>9-2-1802</t>
  </si>
  <si>
    <t>4-1-1703</t>
  </si>
  <si>
    <t>9-2-1702</t>
  </si>
  <si>
    <t>4-1-1603</t>
  </si>
  <si>
    <t>9-2-1602</t>
  </si>
  <si>
    <t>4-1-1503</t>
  </si>
  <si>
    <t>9-2-1502</t>
  </si>
  <si>
    <t>4-1-1403</t>
  </si>
  <si>
    <t>9-2-1402</t>
  </si>
  <si>
    <t>4-1-1303</t>
  </si>
  <si>
    <t>9-2-1302</t>
  </si>
  <si>
    <t>4-1-1203</t>
  </si>
  <si>
    <t>9-2-1202</t>
  </si>
  <si>
    <t>4-1-1103</t>
  </si>
  <si>
    <t>9-2-1102</t>
  </si>
  <si>
    <t>4-1-1003</t>
  </si>
  <si>
    <t>9-2-1002</t>
  </si>
  <si>
    <t>4-1-903</t>
  </si>
  <si>
    <t>9-2-902</t>
  </si>
  <si>
    <t>4-1-803</t>
  </si>
  <si>
    <t>9-2-802</t>
  </si>
  <si>
    <t>4-1-703</t>
  </si>
  <si>
    <t>9-2-702</t>
  </si>
  <si>
    <t>4-1-603</t>
  </si>
  <si>
    <t>9-2-602</t>
  </si>
  <si>
    <t>4-1-503</t>
  </si>
  <si>
    <t>9-2-502</t>
  </si>
  <si>
    <t>4-1-403</t>
  </si>
  <si>
    <t>9-2-402</t>
  </si>
  <si>
    <t>4-1-303</t>
  </si>
  <si>
    <t>9-2-302</t>
  </si>
  <si>
    <t>4-1-203</t>
  </si>
  <si>
    <t>9-2-202</t>
  </si>
  <si>
    <t>4-1-2802</t>
  </si>
  <si>
    <t>9-2-3001</t>
  </si>
  <si>
    <t>4-1-2702</t>
  </si>
  <si>
    <t>9-2-2801</t>
  </si>
  <si>
    <t>4-1-2602</t>
  </si>
  <si>
    <t>9-2-2601</t>
  </si>
  <si>
    <t>4-1-2502</t>
  </si>
  <si>
    <t>9-2-2401</t>
  </si>
  <si>
    <t>4-1-2402</t>
  </si>
  <si>
    <t>9-2-2201</t>
  </si>
  <si>
    <t>4-1-2302</t>
  </si>
  <si>
    <t>9-2-2001</t>
  </si>
  <si>
    <t>4-1-2202</t>
  </si>
  <si>
    <t>9-2-1801</t>
  </si>
  <si>
    <t>4-1-2102</t>
  </si>
  <si>
    <t>9-2-1601</t>
  </si>
  <si>
    <t>4-1-2002</t>
  </si>
  <si>
    <t>9-2-1401</t>
  </si>
  <si>
    <t>4-1-1902</t>
  </si>
  <si>
    <t>9-2-1201</t>
  </si>
  <si>
    <t>4-1-1802</t>
  </si>
  <si>
    <t>9-2-1001</t>
  </si>
  <si>
    <t>4-1-1702</t>
  </si>
  <si>
    <t>9-2-801</t>
  </si>
  <si>
    <t>4-1-1602</t>
  </si>
  <si>
    <t>9-2-601</t>
  </si>
  <si>
    <t>4-1-1502</t>
  </si>
  <si>
    <t>9-2-401</t>
  </si>
  <si>
    <t>4-1-1402</t>
  </si>
  <si>
    <t>9-2-201</t>
  </si>
  <si>
    <t>4-1-1302</t>
  </si>
  <si>
    <t>9-1-3004</t>
  </si>
  <si>
    <t>4-1-1202</t>
  </si>
  <si>
    <t>9-1-2804</t>
  </si>
  <si>
    <t>4-1-1102</t>
  </si>
  <si>
    <t>9-1-2604</t>
  </si>
  <si>
    <t>4-1-1002</t>
  </si>
  <si>
    <t>9-1-2404</t>
  </si>
  <si>
    <t>4-1-902</t>
  </si>
  <si>
    <t>9-1-2204</t>
  </si>
  <si>
    <t>4-1-802</t>
  </si>
  <si>
    <t>9-1-2004</t>
  </si>
  <si>
    <t>4-1-702</t>
  </si>
  <si>
    <t>9-1-1804</t>
  </si>
  <si>
    <t>4-1-602</t>
  </si>
  <si>
    <t>9-1-1604</t>
  </si>
  <si>
    <t>4-1-502</t>
  </si>
  <si>
    <t>9-1-1404</t>
  </si>
  <si>
    <t>4-1-402</t>
  </si>
  <si>
    <t>9-1-1204</t>
  </si>
  <si>
    <t>4-1-302</t>
  </si>
  <si>
    <t>9-1-1004</t>
  </si>
  <si>
    <t>4-1-202</t>
  </si>
  <si>
    <t>9-1-804</t>
  </si>
  <si>
    <t>4-1-2801</t>
  </si>
  <si>
    <t>9-1-604</t>
  </si>
  <si>
    <t>4-1-2701</t>
  </si>
  <si>
    <t>9-1-404</t>
  </si>
  <si>
    <t>4-1-2601</t>
  </si>
  <si>
    <t>9-1-204</t>
  </si>
  <si>
    <t>4-1-2501</t>
  </si>
  <si>
    <t>9-1-3003</t>
  </si>
  <si>
    <t>4-1-2401</t>
  </si>
  <si>
    <t>9-1-2903</t>
  </si>
  <si>
    <t>4-1-2301</t>
  </si>
  <si>
    <t>9-1-2803</t>
  </si>
  <si>
    <t>4-1-2201</t>
  </si>
  <si>
    <t>9-1-2703</t>
  </si>
  <si>
    <t>4-1-2101</t>
  </si>
  <si>
    <t>9-1-2603</t>
  </si>
  <si>
    <t>4-1-2001</t>
  </si>
  <si>
    <t>9-1-2503</t>
  </si>
  <si>
    <t>4-1-1901</t>
  </si>
  <si>
    <t>9-1-2403</t>
  </si>
  <si>
    <t>4-1-1801</t>
  </si>
  <si>
    <t>9-1-2303</t>
  </si>
  <si>
    <t>4-1-1701</t>
  </si>
  <si>
    <t>9-1-2203</t>
  </si>
  <si>
    <t>4-1-1601</t>
  </si>
  <si>
    <t>9-1-2103</t>
  </si>
  <si>
    <t>4-1-1501</t>
  </si>
  <si>
    <t>9-1-2003</t>
  </si>
  <si>
    <t>4-1-1401</t>
  </si>
  <si>
    <t>9-1-1903</t>
  </si>
  <si>
    <t>4-1-1301</t>
  </si>
  <si>
    <t>9-1-1803</t>
  </si>
  <si>
    <t>4-1-1201</t>
  </si>
  <si>
    <t>9-1-1703</t>
  </si>
  <si>
    <t>4-1-1101</t>
  </si>
  <si>
    <t>9-1-1603</t>
  </si>
  <si>
    <t>4-1-1001</t>
  </si>
  <si>
    <t>9-1-1503</t>
  </si>
  <si>
    <t>4-1-901</t>
  </si>
  <si>
    <t>9-1-1403</t>
  </si>
  <si>
    <t>4-1-801</t>
  </si>
  <si>
    <t>9-1-1303</t>
  </si>
  <si>
    <t>4-1-701</t>
  </si>
  <si>
    <t>9-1-1203</t>
  </si>
  <si>
    <t>4-1-601</t>
  </si>
  <si>
    <t>9-1-1103</t>
  </si>
  <si>
    <t>4-1-501</t>
  </si>
  <si>
    <t>9-1-1003</t>
  </si>
  <si>
    <t>4-1-401</t>
  </si>
  <si>
    <t>9-1-903</t>
  </si>
  <si>
    <t>4-1-301</t>
  </si>
  <si>
    <t>9-1-803</t>
  </si>
  <si>
    <t>4-1-201</t>
  </si>
  <si>
    <t>9-1-703</t>
  </si>
  <si>
    <t>3-3005</t>
  </si>
  <si>
    <t>9-1-603</t>
  </si>
  <si>
    <t>3-2905</t>
  </si>
  <si>
    <t>9-1-503</t>
  </si>
  <si>
    <t>3-2805</t>
  </si>
  <si>
    <t>9-1-403</t>
  </si>
  <si>
    <t>3-2705</t>
  </si>
  <si>
    <t>9-1-303</t>
  </si>
  <si>
    <t>3-2605</t>
  </si>
  <si>
    <t>9-1-203</t>
  </si>
  <si>
    <t>3-2505</t>
  </si>
  <si>
    <t>9-1-3002</t>
  </si>
  <si>
    <t>3-2405</t>
  </si>
  <si>
    <t>9-1-2902</t>
  </si>
  <si>
    <t>3-2305</t>
  </si>
  <si>
    <t>9-1-2802</t>
  </si>
  <si>
    <t>3-2205</t>
  </si>
  <si>
    <t>9-1-2702</t>
  </si>
  <si>
    <t>3-2105</t>
  </si>
  <si>
    <t>9-1-2602</t>
  </si>
  <si>
    <t>3-2005</t>
  </si>
  <si>
    <t>9-1-2502</t>
  </si>
  <si>
    <t>3-1905</t>
  </si>
  <si>
    <t>9-1-2402</t>
  </si>
  <si>
    <t>3-1805</t>
  </si>
  <si>
    <t>9-1-2302</t>
  </si>
  <si>
    <t>3-1705</t>
  </si>
  <si>
    <t>9-1-2202</t>
  </si>
  <si>
    <t>3-1605</t>
  </si>
  <si>
    <t>9-1-2102</t>
  </si>
  <si>
    <t>3-1505</t>
  </si>
  <si>
    <t>9-1-2002</t>
  </si>
  <si>
    <t>3-1405</t>
  </si>
  <si>
    <t>9-1-1902</t>
  </si>
  <si>
    <t>3-1305</t>
  </si>
  <si>
    <t>9-1-1802</t>
  </si>
  <si>
    <t>3-1205</t>
  </si>
  <si>
    <t>9-1-1702</t>
  </si>
  <si>
    <t>3-1105</t>
  </si>
  <si>
    <t>9-1-1602</t>
  </si>
  <si>
    <t>3-1005</t>
  </si>
  <si>
    <t>9-1-1502</t>
  </si>
  <si>
    <t>3-905</t>
  </si>
  <si>
    <t>9-1-1402</t>
  </si>
  <si>
    <t>3-805</t>
  </si>
  <si>
    <t>9-1-1302</t>
  </si>
  <si>
    <t>3-705</t>
  </si>
  <si>
    <t>9-1-1202</t>
  </si>
  <si>
    <t>3-605</t>
  </si>
  <si>
    <t>9-1-1102</t>
  </si>
  <si>
    <t>3-505</t>
  </si>
  <si>
    <t>9-1-1002</t>
  </si>
  <si>
    <t>3-405</t>
  </si>
  <si>
    <t>9-1-902</t>
  </si>
  <si>
    <t>3-305</t>
  </si>
  <si>
    <t>9-1-802</t>
  </si>
  <si>
    <t>3-205</t>
  </si>
  <si>
    <t>9-1-702</t>
  </si>
  <si>
    <t>3-3004</t>
  </si>
  <si>
    <t>9-1-602</t>
  </si>
  <si>
    <t>3-2904</t>
  </si>
  <si>
    <t>9-1-502</t>
  </si>
  <si>
    <t>3-2804</t>
  </si>
  <si>
    <t>9-1-402</t>
  </si>
  <si>
    <t>3-2704</t>
  </si>
  <si>
    <t>9-1-302</t>
  </si>
  <si>
    <t>3-2604</t>
  </si>
  <si>
    <t>9-1-202</t>
  </si>
  <si>
    <t>3-2504</t>
  </si>
  <si>
    <t>9-1-3001</t>
  </si>
  <si>
    <t>3-2404</t>
  </si>
  <si>
    <t>9-1-2901</t>
  </si>
  <si>
    <t>3-2304</t>
  </si>
  <si>
    <t>9-1-2801</t>
  </si>
  <si>
    <t>3-2204</t>
  </si>
  <si>
    <t>9-1-2701</t>
  </si>
  <si>
    <t>3-2104</t>
  </si>
  <si>
    <t>9-1-2601</t>
  </si>
  <si>
    <t>3-2004</t>
  </si>
  <si>
    <t>9-1-2501</t>
  </si>
  <si>
    <t>3-1904</t>
  </si>
  <si>
    <t>9-1-2401</t>
  </si>
  <si>
    <t>3-1704</t>
  </si>
  <si>
    <t>9-1-2301</t>
  </si>
  <si>
    <t>3-1604</t>
  </si>
  <si>
    <t>9-1-2201</t>
  </si>
  <si>
    <t>3-1504</t>
  </si>
  <si>
    <t>9-1-2101</t>
  </si>
  <si>
    <t>3-1404</t>
  </si>
  <si>
    <t>9-1-2001</t>
  </si>
  <si>
    <t>3-1304</t>
  </si>
  <si>
    <t>9-1-1901</t>
  </si>
  <si>
    <t>3-1204</t>
  </si>
  <si>
    <t>9-1-1801</t>
  </si>
  <si>
    <t>3-1104</t>
  </si>
  <si>
    <t>9-1-1701</t>
  </si>
  <si>
    <t>3-1004</t>
  </si>
  <si>
    <t>9-1-1601</t>
  </si>
  <si>
    <t>3-904</t>
  </si>
  <si>
    <t>9-1-1501</t>
  </si>
  <si>
    <t>3-804</t>
  </si>
  <si>
    <t>9-1-1401</t>
  </si>
  <si>
    <t>3-704</t>
  </si>
  <si>
    <t>9-1-1301</t>
  </si>
  <si>
    <t>3-604</t>
  </si>
  <si>
    <t>9-1-1201</t>
  </si>
  <si>
    <t>3-504</t>
  </si>
  <si>
    <t>9-1-1101</t>
  </si>
  <si>
    <t>3-404</t>
  </si>
  <si>
    <t>9-1-1001</t>
  </si>
  <si>
    <t>3-304</t>
  </si>
  <si>
    <t>9-1-901</t>
  </si>
  <si>
    <t>3-204</t>
  </si>
  <si>
    <t>9-1-801</t>
  </si>
  <si>
    <t>3-3003</t>
  </si>
  <si>
    <t>9-1-701</t>
  </si>
  <si>
    <t>3-2903</t>
  </si>
  <si>
    <t>9-1-601</t>
  </si>
  <si>
    <t>3-2803</t>
  </si>
  <si>
    <t>9-1-501</t>
  </si>
  <si>
    <t>3-2703</t>
  </si>
  <si>
    <t>9-1-401</t>
  </si>
  <si>
    <t>3-2603</t>
  </si>
  <si>
    <t>9-1-301</t>
  </si>
  <si>
    <t>3-2503</t>
  </si>
  <si>
    <t>9-1-201</t>
  </si>
  <si>
    <t>3-2403</t>
  </si>
  <si>
    <t>8-2-3003</t>
  </si>
  <si>
    <t>3-2303</t>
  </si>
  <si>
    <t>8-2-2903</t>
  </si>
  <si>
    <t>3-2203</t>
  </si>
  <si>
    <t>8-2-2803</t>
  </si>
  <si>
    <t>3-2103</t>
  </si>
  <si>
    <t>8-2-2703</t>
  </si>
  <si>
    <t>3-2003</t>
  </si>
  <si>
    <t>8-2-2603</t>
  </si>
  <si>
    <t>3-1903</t>
  </si>
  <si>
    <t>8-2-2503</t>
  </si>
  <si>
    <t>3-1803</t>
  </si>
  <si>
    <t>8-2-2403</t>
  </si>
  <si>
    <t>3-1703</t>
  </si>
  <si>
    <t>8-2-2303</t>
  </si>
  <si>
    <t>3-1603</t>
  </si>
  <si>
    <t>8-2-2203</t>
  </si>
  <si>
    <t>3-1503</t>
  </si>
  <si>
    <t>8-2-2103</t>
  </si>
  <si>
    <t>3-1403</t>
  </si>
  <si>
    <t>8-2-2003</t>
  </si>
  <si>
    <t>3-1303</t>
  </si>
  <si>
    <t>8-2-1903</t>
  </si>
  <si>
    <t>3-1203</t>
  </si>
  <si>
    <t>8-2-1803</t>
  </si>
  <si>
    <t>3-1103</t>
  </si>
  <si>
    <t>8-2-1703</t>
  </si>
  <si>
    <t>3-1003</t>
  </si>
  <si>
    <t>8-2-1603</t>
  </si>
  <si>
    <t>3-903</t>
  </si>
  <si>
    <t>8-2-1503</t>
  </si>
  <si>
    <t>3-803</t>
  </si>
  <si>
    <t>8-2-1403</t>
  </si>
  <si>
    <t>3-703</t>
  </si>
  <si>
    <t>8-2-1303</t>
  </si>
  <si>
    <t>3-603</t>
  </si>
  <si>
    <t>8-2-1203</t>
  </si>
  <si>
    <t>3-503</t>
  </si>
  <si>
    <t>8-2-1103</t>
  </si>
  <si>
    <t>3-403</t>
  </si>
  <si>
    <t>8-2-1003</t>
  </si>
  <si>
    <t>3-303</t>
  </si>
  <si>
    <t>8-2-903</t>
  </si>
  <si>
    <t>3-203</t>
  </si>
  <si>
    <t>8-2-803</t>
  </si>
  <si>
    <t>3-3002</t>
  </si>
  <si>
    <t>8-2-703</t>
  </si>
  <si>
    <t>3-2902</t>
  </si>
  <si>
    <t>8-2-603</t>
  </si>
  <si>
    <t>3-2802</t>
  </si>
  <si>
    <t>8-2-503</t>
  </si>
  <si>
    <t>3-2702</t>
  </si>
  <si>
    <t>8-2-403</t>
  </si>
  <si>
    <t>3-2602</t>
  </si>
  <si>
    <t>8-2-303</t>
  </si>
  <si>
    <t>3-2502</t>
  </si>
  <si>
    <t>8-2-203</t>
  </si>
  <si>
    <t>3-2402</t>
  </si>
  <si>
    <t>8-2-3002</t>
  </si>
  <si>
    <t>3-2302</t>
  </si>
  <si>
    <t>8-2-2902</t>
  </si>
  <si>
    <t>3-2202</t>
  </si>
  <si>
    <t>8-2-2802</t>
  </si>
  <si>
    <t>3-2102</t>
  </si>
  <si>
    <t>8-2-2702</t>
  </si>
  <si>
    <t>3-2002</t>
  </si>
  <si>
    <t>8-2-2602</t>
  </si>
  <si>
    <t>3-1902</t>
  </si>
  <si>
    <t>8-2-2502</t>
  </si>
  <si>
    <t>3-1802</t>
  </si>
  <si>
    <t>8-2-2402</t>
  </si>
  <si>
    <t>3-1702</t>
  </si>
  <si>
    <t>8-2-2302</t>
  </si>
  <si>
    <t>3-1602</t>
  </si>
  <si>
    <t>8-2-2202</t>
  </si>
  <si>
    <t>3-1502</t>
  </si>
  <si>
    <t>8-2-2102</t>
  </si>
  <si>
    <t>3-1402</t>
  </si>
  <si>
    <t>8-2-2002</t>
  </si>
  <si>
    <t>3-1302</t>
  </si>
  <si>
    <t>8-2-1902</t>
  </si>
  <si>
    <t>3-1202</t>
  </si>
  <si>
    <t>8-2-1802</t>
  </si>
  <si>
    <t>3-1102</t>
  </si>
  <si>
    <t>8-2-1702</t>
  </si>
  <si>
    <t>3-1002</t>
  </si>
  <si>
    <t>8-2-1602</t>
  </si>
  <si>
    <t>3-902</t>
  </si>
  <si>
    <t>8-2-1502</t>
  </si>
  <si>
    <t>3-802</t>
  </si>
  <si>
    <t>8-2-1402</t>
  </si>
  <si>
    <t>3-702</t>
  </si>
  <si>
    <t>8-2-1302</t>
  </si>
  <si>
    <t>3-602</t>
  </si>
  <si>
    <t>8-2-1202</t>
  </si>
  <si>
    <t>3-502</t>
  </si>
  <si>
    <t>8-2-1102</t>
  </si>
  <si>
    <t>3-402</t>
  </si>
  <si>
    <t>8-2-1002</t>
  </si>
  <si>
    <t>3-302</t>
  </si>
  <si>
    <t>8-2-902</t>
  </si>
  <si>
    <t>3-202</t>
  </si>
  <si>
    <t>8-2-802</t>
  </si>
  <si>
    <t>3-3001</t>
  </si>
  <si>
    <t>8-2-702</t>
  </si>
  <si>
    <t>3-2901</t>
  </si>
  <si>
    <t>8-2-602</t>
  </si>
  <si>
    <t>3-2801</t>
  </si>
  <si>
    <t>8-2-502</t>
  </si>
  <si>
    <t>3-2701</t>
  </si>
  <si>
    <t>8-2-402</t>
  </si>
  <si>
    <t>3-2601</t>
  </si>
  <si>
    <t>8-2-302</t>
  </si>
  <si>
    <t>3-2501</t>
  </si>
  <si>
    <t>8-2-202</t>
  </si>
  <si>
    <t>3-2401</t>
  </si>
  <si>
    <t>8-2-3001</t>
  </si>
  <si>
    <t>3-2301</t>
  </si>
  <si>
    <t>8-2-2901</t>
  </si>
  <si>
    <t>3-2201</t>
  </si>
  <si>
    <t>8-2-2801</t>
  </si>
  <si>
    <t>3-2101</t>
  </si>
  <si>
    <t>8-2-2701</t>
  </si>
  <si>
    <t>3-2001</t>
  </si>
  <si>
    <t>8-2-2601</t>
  </si>
  <si>
    <t>3-1901</t>
  </si>
  <si>
    <t>8-2-2501</t>
  </si>
  <si>
    <t>3-1801</t>
  </si>
  <si>
    <t>8-2-2401</t>
  </si>
  <si>
    <t>3-1701</t>
  </si>
  <si>
    <t>8-2-2301</t>
  </si>
  <si>
    <t>3-1601</t>
  </si>
  <si>
    <t>8-2-2201</t>
  </si>
  <si>
    <t>3-1501</t>
  </si>
  <si>
    <t>8-2-2101</t>
  </si>
  <si>
    <t>3-1401</t>
  </si>
  <si>
    <t>8-2-2001</t>
  </si>
  <si>
    <t>3-1301</t>
  </si>
  <si>
    <t>8-2-1901</t>
  </si>
  <si>
    <t>3-1201</t>
  </si>
  <si>
    <t>8-2-1801</t>
  </si>
  <si>
    <t>3-1101</t>
  </si>
  <si>
    <t>8-2-1701</t>
  </si>
  <si>
    <t>3-1001</t>
  </si>
  <si>
    <t>8-2-1601</t>
  </si>
  <si>
    <t>3-901</t>
  </si>
  <si>
    <t>8-2-1501</t>
  </si>
  <si>
    <t>3-801</t>
  </si>
  <si>
    <t>8-2-1401</t>
  </si>
  <si>
    <t>3-701</t>
  </si>
  <si>
    <t>8-2-1301</t>
  </si>
  <si>
    <t>3-601</t>
  </si>
  <si>
    <t>8-2-1201</t>
  </si>
  <si>
    <t>3-501</t>
  </si>
  <si>
    <t>8-2-1101</t>
  </si>
  <si>
    <t>3-401</t>
  </si>
  <si>
    <t>8-2-1001</t>
  </si>
  <si>
    <t>3-301</t>
  </si>
  <si>
    <t>8-2-901</t>
  </si>
  <si>
    <t>3-201</t>
  </si>
  <si>
    <t>8-2-801</t>
  </si>
  <si>
    <t>2-3005</t>
  </si>
  <si>
    <t>8-2-701</t>
  </si>
  <si>
    <t>2-2905</t>
  </si>
  <si>
    <t>8-2-601</t>
  </si>
  <si>
    <t>2-2805</t>
  </si>
  <si>
    <t>8-2-501</t>
  </si>
  <si>
    <t>2-2705</t>
  </si>
  <si>
    <t>8-2-401</t>
  </si>
  <si>
    <t>2-2605</t>
  </si>
  <si>
    <t>8-2-301</t>
  </si>
  <si>
    <t>2-2505</t>
  </si>
  <si>
    <t>8-2-201</t>
  </si>
  <si>
    <t>2-2405</t>
  </si>
  <si>
    <t>8-1-3004</t>
  </si>
  <si>
    <t>2-2305</t>
  </si>
  <si>
    <t>8-1-2904</t>
  </si>
  <si>
    <t>2-2205</t>
  </si>
  <si>
    <t>8-1-2804</t>
  </si>
  <si>
    <t>2-2105</t>
  </si>
  <si>
    <t>8-1-2704</t>
  </si>
  <si>
    <t>2-2005</t>
  </si>
  <si>
    <t>8-1-2604</t>
  </si>
  <si>
    <t>2-1905</t>
  </si>
  <si>
    <t>8-1-2504</t>
  </si>
  <si>
    <t>2-1805</t>
  </si>
  <si>
    <t>8-1-2404</t>
  </si>
  <si>
    <t>2-1705</t>
  </si>
  <si>
    <t>8-1-2304</t>
  </si>
  <si>
    <t>2-1605</t>
  </si>
  <si>
    <t>8-1-2204</t>
  </si>
  <si>
    <t>2-1505</t>
  </si>
  <si>
    <t>8-1-2104</t>
  </si>
  <si>
    <t>2-1405</t>
  </si>
  <si>
    <t>8-1-2004</t>
  </si>
  <si>
    <t>2-1305</t>
  </si>
  <si>
    <t>8-1-1904</t>
  </si>
  <si>
    <t>2-1205</t>
  </si>
  <si>
    <t>8-1-1804</t>
  </si>
  <si>
    <t>2-1105</t>
  </si>
  <si>
    <t>8-1-1704</t>
  </si>
  <si>
    <t>2-1005</t>
  </si>
  <si>
    <t>8-1-1604</t>
  </si>
  <si>
    <t>2-905</t>
  </si>
  <si>
    <t>8-1-1504</t>
  </si>
  <si>
    <t>2-805</t>
  </si>
  <si>
    <t>8-1-1404</t>
  </si>
  <si>
    <t>2-705</t>
  </si>
  <si>
    <t>8-1-1304</t>
  </si>
  <si>
    <t>2-605</t>
  </si>
  <si>
    <t>8-1-1204</t>
  </si>
  <si>
    <t>2-505</t>
  </si>
  <si>
    <t>8-1-1104</t>
  </si>
  <si>
    <t>2-405</t>
  </si>
  <si>
    <t>8-1-1004</t>
  </si>
  <si>
    <t>2-305</t>
  </si>
  <si>
    <t>8-1-904</t>
  </si>
  <si>
    <t>2-205</t>
  </si>
  <si>
    <t>8-1-804</t>
  </si>
  <si>
    <t>2-3004</t>
  </si>
  <si>
    <t>8-1-704</t>
  </si>
  <si>
    <t>2-2904</t>
  </si>
  <si>
    <t>8-1-604</t>
  </si>
  <si>
    <t>2-2804</t>
  </si>
  <si>
    <t>8-1-504</t>
  </si>
  <si>
    <t>2-2704</t>
  </si>
  <si>
    <t>8-1-404</t>
  </si>
  <si>
    <t>2-2604</t>
  </si>
  <si>
    <t>8-1-304</t>
  </si>
  <si>
    <t>2-2504</t>
  </si>
  <si>
    <t>8-1-204</t>
  </si>
  <si>
    <t>2-2404</t>
  </si>
  <si>
    <t>8-1-3003</t>
  </si>
  <si>
    <t>2-2304</t>
  </si>
  <si>
    <t>8-1-2903</t>
  </si>
  <si>
    <t>2-2204</t>
  </si>
  <si>
    <t>8-1-2803</t>
  </si>
  <si>
    <t>2-2104</t>
  </si>
  <si>
    <t>8-1-2703</t>
  </si>
  <si>
    <t>2-2004</t>
  </si>
  <si>
    <t>8-1-2603</t>
  </si>
  <si>
    <t>2-1904</t>
  </si>
  <si>
    <t>8-1-2503</t>
  </si>
  <si>
    <t>2-1804</t>
  </si>
  <si>
    <t>8-1-2403</t>
  </si>
  <si>
    <t>2-1704</t>
  </si>
  <si>
    <t>8-1-2303</t>
  </si>
  <si>
    <t>2-1604</t>
  </si>
  <si>
    <t>8-1-2203</t>
  </si>
  <si>
    <t>2-1504</t>
  </si>
  <si>
    <t>8-1-2103</t>
  </si>
  <si>
    <t>2-1404</t>
  </si>
  <si>
    <t>8-1-2003</t>
  </si>
  <si>
    <t>2-1304</t>
  </si>
  <si>
    <t>8-1-1903</t>
  </si>
  <si>
    <t>2-1204</t>
  </si>
  <si>
    <t>8-1-1803</t>
  </si>
  <si>
    <t>2-1104</t>
  </si>
  <si>
    <t>8-1-1703</t>
  </si>
  <si>
    <t>2-1004</t>
  </si>
  <si>
    <t>8-1-1603</t>
  </si>
  <si>
    <t>2-904</t>
  </si>
  <si>
    <t>8-1-1503</t>
  </si>
  <si>
    <t>2-804</t>
  </si>
  <si>
    <t>8-1-1403</t>
  </si>
  <si>
    <t>2-704</t>
  </si>
  <si>
    <t>8-1-1303</t>
  </si>
  <si>
    <t>2-604</t>
  </si>
  <si>
    <t>8-1-1203</t>
  </si>
  <si>
    <t>2-504</t>
  </si>
  <si>
    <t>8-1-1103</t>
  </si>
  <si>
    <t>2-404</t>
  </si>
  <si>
    <t>8-1-1003</t>
  </si>
  <si>
    <t>2-304</t>
  </si>
  <si>
    <t>8-1-903</t>
  </si>
  <si>
    <t>2-204</t>
  </si>
  <si>
    <t>8-1-803</t>
  </si>
  <si>
    <t>2-3003</t>
  </si>
  <si>
    <t>8-1-703</t>
  </si>
  <si>
    <t>2-2903</t>
  </si>
  <si>
    <t>8-1-603</t>
  </si>
  <si>
    <t>2-2803</t>
  </si>
  <si>
    <t>8-1-503</t>
  </si>
  <si>
    <t>2-2703</t>
  </si>
  <si>
    <t>8-1-403</t>
  </si>
  <si>
    <t>2-2603</t>
  </si>
  <si>
    <t>8-1-303</t>
  </si>
  <si>
    <t>2-2503</t>
  </si>
  <si>
    <t>8-1-203</t>
  </si>
  <si>
    <t>2-2403</t>
  </si>
  <si>
    <t>8-1-3002</t>
  </si>
  <si>
    <t>2-2303</t>
  </si>
  <si>
    <t>8-1-2902</t>
  </si>
  <si>
    <t>2-2203</t>
  </si>
  <si>
    <t>8-1-2802</t>
  </si>
  <si>
    <t>2-2103</t>
  </si>
  <si>
    <t>8-1-2702</t>
  </si>
  <si>
    <t>2-2003</t>
  </si>
  <si>
    <t>8-1-2602</t>
  </si>
  <si>
    <t>2-1903</t>
  </si>
  <si>
    <t>8-1-2502</t>
  </si>
  <si>
    <t>2-1803</t>
  </si>
  <si>
    <t>8-1-2402</t>
  </si>
  <si>
    <t>2-1703</t>
  </si>
  <si>
    <t>8-1-2302</t>
  </si>
  <si>
    <t>2-1603</t>
  </si>
  <si>
    <t>8-1-2202</t>
  </si>
  <si>
    <t>2-1503</t>
  </si>
  <si>
    <t>8-1-2102</t>
  </si>
  <si>
    <t>2-1403</t>
  </si>
  <si>
    <t>8-1-2002</t>
  </si>
  <si>
    <t>2-1303</t>
  </si>
  <si>
    <t>8-1-1902</t>
  </si>
  <si>
    <t>2-1203</t>
  </si>
  <si>
    <t>8-1-1802</t>
  </si>
  <si>
    <t>2-1103</t>
  </si>
  <si>
    <t>8-1-1702</t>
  </si>
  <si>
    <t>2-1003</t>
  </si>
  <si>
    <t>8-1-1602</t>
  </si>
  <si>
    <t>2-903</t>
  </si>
  <si>
    <t>8-1-1502</t>
  </si>
  <si>
    <t>2-803</t>
  </si>
  <si>
    <t>8-1-1402</t>
  </si>
  <si>
    <t>2-703</t>
  </si>
  <si>
    <t>8-1-1302</t>
  </si>
  <si>
    <t>2-603</t>
  </si>
  <si>
    <t>8-1-1202</t>
  </si>
  <si>
    <t>2-503</t>
  </si>
  <si>
    <t>8-1-1102</t>
  </si>
  <si>
    <t>2-303</t>
  </si>
  <si>
    <t>8-1-1002</t>
  </si>
  <si>
    <t>2-203</t>
  </si>
  <si>
    <t>8-1-902</t>
  </si>
  <si>
    <t>2-3002</t>
  </si>
  <si>
    <t>8-1-802</t>
  </si>
  <si>
    <t>2-2902</t>
  </si>
  <si>
    <t>8-1-702</t>
  </si>
  <si>
    <t>2-2802</t>
  </si>
  <si>
    <t>8-1-602</t>
  </si>
  <si>
    <t>2-2702</t>
  </si>
  <si>
    <t>8-1-502</t>
  </si>
  <si>
    <t>2-2602</t>
  </si>
  <si>
    <t>8-1-402</t>
  </si>
  <si>
    <t>2-2502</t>
  </si>
  <si>
    <t>8-1-302</t>
  </si>
  <si>
    <t>2-2402</t>
  </si>
  <si>
    <t>8-1-202</t>
  </si>
  <si>
    <t>2-2302</t>
  </si>
  <si>
    <t>8-1-3001</t>
  </si>
  <si>
    <t>2-2202</t>
  </si>
  <si>
    <t>8-1-2901</t>
  </si>
  <si>
    <t>2-2102</t>
  </si>
  <si>
    <t>8-1-2801</t>
  </si>
  <si>
    <t>2-2002</t>
  </si>
  <si>
    <t>8-1-2701</t>
  </si>
  <si>
    <t>2-1902</t>
  </si>
  <si>
    <t>8-1-2601</t>
  </si>
  <si>
    <t>2-1802</t>
  </si>
  <si>
    <t>8-1-2501</t>
  </si>
  <si>
    <t>2-1702</t>
  </si>
  <si>
    <t>8-1-2401</t>
  </si>
  <si>
    <t>2-1602</t>
  </si>
  <si>
    <t>8-1-2301</t>
  </si>
  <si>
    <t>2-1502</t>
  </si>
  <si>
    <t>8-1-2201</t>
  </si>
  <si>
    <t>2-1402</t>
  </si>
  <si>
    <t>8-1-2101</t>
  </si>
  <si>
    <t>2-1302</t>
  </si>
  <si>
    <t>8-1-2001</t>
  </si>
  <si>
    <t>2-1202</t>
  </si>
  <si>
    <t>8-1-1901</t>
  </si>
  <si>
    <t>2-1102</t>
  </si>
  <si>
    <t>8-1-1801</t>
  </si>
  <si>
    <t>2-1002</t>
  </si>
  <si>
    <t>8-1-1701</t>
  </si>
  <si>
    <t>2-902</t>
  </si>
  <si>
    <t>8-1-1601</t>
  </si>
  <si>
    <t>2-802</t>
  </si>
  <si>
    <t>8-1-1501</t>
  </si>
  <si>
    <t>2-702</t>
  </si>
  <si>
    <t>8-1-1401</t>
  </si>
  <si>
    <t>2-602</t>
  </si>
  <si>
    <t>8-1-1301</t>
  </si>
  <si>
    <t>2-502</t>
  </si>
  <si>
    <t>8-1-1201</t>
  </si>
  <si>
    <t>2-402</t>
  </si>
  <si>
    <t>8-1-1101</t>
  </si>
  <si>
    <t>2-302</t>
  </si>
  <si>
    <t>8-1-1001</t>
  </si>
  <si>
    <t>2-202</t>
  </si>
  <si>
    <t>8-1-901</t>
  </si>
  <si>
    <t>2-2901</t>
  </si>
  <si>
    <t>8-1-801</t>
  </si>
  <si>
    <t>2-2801</t>
  </si>
  <si>
    <t>8-1-701</t>
  </si>
  <si>
    <t>2-2701</t>
  </si>
  <si>
    <t>8-1-601</t>
  </si>
  <si>
    <t>2-2601</t>
  </si>
  <si>
    <t>8-1-501</t>
  </si>
  <si>
    <t>2-2501</t>
  </si>
  <si>
    <t>8-1-401</t>
  </si>
  <si>
    <t>2-2401</t>
  </si>
  <si>
    <t>8-1-301</t>
  </si>
  <si>
    <t>2-2301</t>
  </si>
  <si>
    <t>8-1-201</t>
  </si>
  <si>
    <t>2-2201</t>
  </si>
  <si>
    <t>7-1-303</t>
  </si>
  <si>
    <t>2-2101</t>
  </si>
  <si>
    <t>6-3-1703</t>
  </si>
  <si>
    <t>2-2001</t>
  </si>
  <si>
    <t>6-3-1603</t>
  </si>
  <si>
    <t>2-1901</t>
  </si>
  <si>
    <t>6-3-1503</t>
  </si>
  <si>
    <t>2-1801</t>
  </si>
  <si>
    <t>6-3-1403</t>
  </si>
  <si>
    <t>2-1701</t>
  </si>
  <si>
    <t>6-3-1303</t>
  </si>
  <si>
    <t>2-1601</t>
  </si>
  <si>
    <t>6-3-1203</t>
  </si>
  <si>
    <t>2-1501</t>
  </si>
  <si>
    <t>6-3-1103</t>
  </si>
  <si>
    <t>2-1401</t>
  </si>
  <si>
    <t>6-3-1003</t>
  </si>
  <si>
    <t>2-1301</t>
  </si>
  <si>
    <t>6-3-903</t>
  </si>
  <si>
    <t>2-1201</t>
  </si>
  <si>
    <t>6-3-803</t>
  </si>
  <si>
    <t>2-1101</t>
  </si>
  <si>
    <t>6-3-703</t>
  </si>
  <si>
    <t>2-1001</t>
  </si>
  <si>
    <t>6-3-603</t>
  </si>
  <si>
    <t>2-901</t>
  </si>
  <si>
    <t>6-3-503</t>
  </si>
  <si>
    <t>2-801</t>
  </si>
  <si>
    <t>6-3-403</t>
  </si>
  <si>
    <t>2-701</t>
  </si>
  <si>
    <t>6-3-303</t>
  </si>
  <si>
    <t>2-601</t>
  </si>
  <si>
    <t>6-3-203</t>
  </si>
  <si>
    <t>2-501</t>
  </si>
  <si>
    <t>6-3-1702</t>
  </si>
  <si>
    <t>2-401</t>
  </si>
  <si>
    <t>6-3-1602</t>
  </si>
  <si>
    <t>2-301</t>
  </si>
  <si>
    <t>6-3-1502</t>
  </si>
  <si>
    <t>2-201</t>
  </si>
  <si>
    <t>6-3-1402</t>
  </si>
  <si>
    <t>1-2-2703</t>
  </si>
  <si>
    <t>6-3-1302</t>
  </si>
  <si>
    <t>1-2-2603</t>
  </si>
  <si>
    <t>6-3-1202</t>
  </si>
  <si>
    <t>1-2-2503</t>
  </si>
  <si>
    <t>6-3-1102</t>
  </si>
  <si>
    <t>1-2-2403</t>
  </si>
  <si>
    <t>6-3-1002</t>
  </si>
  <si>
    <t>1-2-2303</t>
  </si>
  <si>
    <t>6-3-902</t>
  </si>
  <si>
    <t>1-2-2203</t>
  </si>
  <si>
    <t>6-3-802</t>
  </si>
  <si>
    <t>1-2-2103</t>
  </si>
  <si>
    <t>6-3-702</t>
  </si>
  <si>
    <t>1-2-2003</t>
  </si>
  <si>
    <t>6-3-602</t>
  </si>
  <si>
    <t>1-2-1903</t>
  </si>
  <si>
    <t>6-3-502</t>
  </si>
  <si>
    <t>1-2-1803</t>
  </si>
  <si>
    <t>6-3-402</t>
  </si>
  <si>
    <t>1-2-1703</t>
  </si>
  <si>
    <t>6-3-302</t>
  </si>
  <si>
    <t>1-2-1603</t>
  </si>
  <si>
    <t>6-3-202</t>
  </si>
  <si>
    <t>1-2-1503</t>
  </si>
  <si>
    <t>6-3-1701</t>
  </si>
  <si>
    <t>1-2-1403</t>
  </si>
  <si>
    <t>6-3-1601</t>
  </si>
  <si>
    <t>1-2-1303</t>
  </si>
  <si>
    <t>6-3-1501</t>
  </si>
  <si>
    <t>1-2-1203</t>
  </si>
  <si>
    <t>6-3-1401</t>
  </si>
  <si>
    <t>1-2-1103</t>
  </si>
  <si>
    <t>6-3-1301</t>
  </si>
  <si>
    <t>1-2-1003</t>
  </si>
  <si>
    <t>6-3-1201</t>
  </si>
  <si>
    <t>1-2-903</t>
  </si>
  <si>
    <t>6-3-1101</t>
  </si>
  <si>
    <t>1-2-803</t>
  </si>
  <si>
    <t>6-3-1001</t>
  </si>
  <si>
    <t>1-2-703</t>
  </si>
  <si>
    <t>6-3-901</t>
  </si>
  <si>
    <t>1-2-603</t>
  </si>
  <si>
    <t>6-3-801</t>
  </si>
  <si>
    <t>1-2-503</t>
  </si>
  <si>
    <t>6-3-701</t>
  </si>
  <si>
    <t>1-2-403</t>
  </si>
  <si>
    <t>6-3-601</t>
  </si>
  <si>
    <t>1-2-303</t>
  </si>
  <si>
    <t>6-3-501</t>
  </si>
  <si>
    <t>1-2-203</t>
  </si>
  <si>
    <t>6-3-401</t>
  </si>
  <si>
    <t>1-2-2802</t>
  </si>
  <si>
    <t>6-3-301</t>
  </si>
  <si>
    <t>1-2-2702</t>
  </si>
  <si>
    <t>6-3-201</t>
  </si>
  <si>
    <t>1-2-2602</t>
  </si>
  <si>
    <t>6-2-1704</t>
  </si>
  <si>
    <t>1-2-2502</t>
  </si>
  <si>
    <t>6-2-1604</t>
  </si>
  <si>
    <t>1-2-2402</t>
  </si>
  <si>
    <t>6-2-1504</t>
  </si>
  <si>
    <t>1-2-2302</t>
  </si>
  <si>
    <t>6-2-1404</t>
  </si>
  <si>
    <t>1-2-2202</t>
  </si>
  <si>
    <t>6-2-1304</t>
  </si>
  <si>
    <t>1-2-2102</t>
  </si>
  <si>
    <t>6-2-1204</t>
  </si>
  <si>
    <t>1-2-2002</t>
  </si>
  <si>
    <t>6-2-1104</t>
  </si>
  <si>
    <t>1-2-1902</t>
  </si>
  <si>
    <t>6-2-1004</t>
  </si>
  <si>
    <t>1-2-1802</t>
  </si>
  <si>
    <t>6-2-904</t>
  </si>
  <si>
    <t>1-2-1702</t>
  </si>
  <si>
    <t>6-2-804</t>
  </si>
  <si>
    <t>1-2-1602</t>
  </si>
  <si>
    <t>6-2-704</t>
  </si>
  <si>
    <t>1-2-1502</t>
  </si>
  <si>
    <t>6-2-604</t>
  </si>
  <si>
    <t>1-2-1402</t>
  </si>
  <si>
    <t>6-2-504</t>
  </si>
  <si>
    <t>1-2-1302</t>
  </si>
  <si>
    <t>6-2-404</t>
  </si>
  <si>
    <t>1-2-1202</t>
  </si>
  <si>
    <t>6-2-304</t>
  </si>
  <si>
    <t>1-2-1102</t>
  </si>
  <si>
    <t>6-2-204</t>
  </si>
  <si>
    <t>1-2-1002</t>
  </si>
  <si>
    <t>6-2-1703</t>
  </si>
  <si>
    <t>1-2-902</t>
  </si>
  <si>
    <t>6-2-1603</t>
  </si>
  <si>
    <t>1-2-802</t>
  </si>
  <si>
    <t>6-2-1503</t>
  </si>
  <si>
    <t>1-2-702</t>
  </si>
  <si>
    <t>6-2-1403</t>
  </si>
  <si>
    <t>1-2-602</t>
  </si>
  <si>
    <t>6-2-1303</t>
  </si>
  <si>
    <t>1-2-502</t>
  </si>
  <si>
    <t>6-2-1203</t>
  </si>
  <si>
    <t>1-2-402</t>
  </si>
  <si>
    <t>6-2-1103</t>
  </si>
  <si>
    <t>1-2-302</t>
  </si>
  <si>
    <t>6-2-1003</t>
  </si>
  <si>
    <t>1-2-202</t>
  </si>
  <si>
    <t>6-2-903</t>
  </si>
  <si>
    <t>1-2-2801</t>
  </si>
  <si>
    <t>6-2-803</t>
  </si>
  <si>
    <t>1-2-2701</t>
  </si>
  <si>
    <t>6-2-703</t>
  </si>
  <si>
    <t>1-2-2601</t>
  </si>
  <si>
    <t>6-2-603</t>
  </si>
  <si>
    <t>1-2-2501</t>
  </si>
  <si>
    <t>6-2-503</t>
  </si>
  <si>
    <t>1-2-2401</t>
  </si>
  <si>
    <t>6-2-403</t>
  </si>
  <si>
    <t>1-2-2301</t>
  </si>
  <si>
    <t>6-2-303</t>
  </si>
  <si>
    <t>1-2-2201</t>
  </si>
  <si>
    <t>6-2-203</t>
  </si>
  <si>
    <t>1-2-2101</t>
  </si>
  <si>
    <t>6-2-1702</t>
  </si>
  <si>
    <t>1-2-2001</t>
  </si>
  <si>
    <t>6-2-1602</t>
  </si>
  <si>
    <t>1-2-1901</t>
  </si>
  <si>
    <t>6-2-1502</t>
  </si>
  <si>
    <t>1-2-1801</t>
  </si>
  <si>
    <t>6-2-1402</t>
  </si>
  <si>
    <t>1-2-1701</t>
  </si>
  <si>
    <t>6-2-1302</t>
  </si>
  <si>
    <t>1-2-1601</t>
  </si>
  <si>
    <t>6-2-1202</t>
  </si>
  <si>
    <t>1-2-1501</t>
  </si>
  <si>
    <t>6-2-1102</t>
  </si>
  <si>
    <t>1-2-1401</t>
  </si>
  <si>
    <t>6-2-1002</t>
  </si>
  <si>
    <t>1-2-1301</t>
  </si>
  <si>
    <t>6-2-902</t>
  </si>
  <si>
    <t>1-2-1201</t>
  </si>
  <si>
    <t>6-2-802</t>
  </si>
  <si>
    <t>1-2-1101</t>
  </si>
  <si>
    <t>6-2-702</t>
  </si>
  <si>
    <t>1-2-1001</t>
  </si>
  <si>
    <t>6-2-602</t>
  </si>
  <si>
    <t>1-2-901</t>
  </si>
  <si>
    <t>6-2-502</t>
  </si>
  <si>
    <t>1-2-801</t>
  </si>
  <si>
    <t>6-2-402</t>
  </si>
  <si>
    <t>1-2-701</t>
  </si>
  <si>
    <t>6-2-302</t>
  </si>
  <si>
    <t>1-2-601</t>
  </si>
  <si>
    <t>6-2-202</t>
  </si>
  <si>
    <t>1-2-501</t>
  </si>
  <si>
    <t>6-2-1701</t>
  </si>
  <si>
    <t>1-2-401</t>
  </si>
  <si>
    <t>6-2-1601</t>
  </si>
  <si>
    <t>1-2-301</t>
  </si>
  <si>
    <t>6-2-1501</t>
  </si>
  <si>
    <t>1-2-201</t>
  </si>
  <si>
    <t>6-2-1401</t>
  </si>
  <si>
    <t>1-1-2803</t>
  </si>
  <si>
    <t>6-2-1301</t>
  </si>
  <si>
    <t>1-1-2703</t>
  </si>
  <si>
    <t>6-2-1201</t>
  </si>
  <si>
    <t>1-1-2603</t>
  </si>
  <si>
    <t>6-2-1101</t>
  </si>
  <si>
    <t>1-1-2503</t>
  </si>
  <si>
    <t>6-2-1001</t>
  </si>
  <si>
    <t>1-1-2403</t>
  </si>
  <si>
    <t>6-2-901</t>
  </si>
  <si>
    <t>1-1-2303</t>
  </si>
  <si>
    <t>6-2-801</t>
  </si>
  <si>
    <t>1-1-2203</t>
  </si>
  <si>
    <t>6-2-701</t>
  </si>
  <si>
    <t>1-1-2103</t>
  </si>
  <si>
    <t>6-2-601</t>
  </si>
  <si>
    <t>1-1-2003</t>
  </si>
  <si>
    <t>6-2-501</t>
  </si>
  <si>
    <t>1-1-1903</t>
  </si>
  <si>
    <t>6-2-401</t>
  </si>
  <si>
    <t>1-1-1803</t>
  </si>
  <si>
    <t>6-2-301</t>
  </si>
  <si>
    <t>1-1-1703</t>
  </si>
  <si>
    <t>6-2-201</t>
  </si>
  <si>
    <t>1-1-1603</t>
  </si>
  <si>
    <t>6-1-1703</t>
  </si>
  <si>
    <t>1-1-1503</t>
  </si>
  <si>
    <t>6-1-1603</t>
  </si>
  <si>
    <t>1-1-1403</t>
  </si>
  <si>
    <t>6-1-1503</t>
  </si>
  <si>
    <t>1-1-1303</t>
  </si>
  <si>
    <t>6-1-1403</t>
  </si>
  <si>
    <t>1-1-1203</t>
  </si>
  <si>
    <t>6-1-1303</t>
  </si>
  <si>
    <t>1-1-1103</t>
  </si>
  <si>
    <t>6-1-1203</t>
  </si>
  <si>
    <t>1-1-1003</t>
  </si>
  <si>
    <t>6-1-1103</t>
  </si>
  <si>
    <t>1-1-903</t>
  </si>
  <si>
    <t>6-1-1003</t>
  </si>
  <si>
    <t>1-1-803</t>
  </si>
  <si>
    <t>6-1-903</t>
  </si>
  <si>
    <t>1-1-703</t>
  </si>
  <si>
    <t>6-1-803</t>
  </si>
  <si>
    <t>1-1-603</t>
  </si>
  <si>
    <t>6-1-703</t>
  </si>
  <si>
    <t>1-1-503</t>
  </si>
  <si>
    <t>6-1-603</t>
  </si>
  <si>
    <t>1-1-403</t>
  </si>
  <si>
    <t>6-1-503</t>
  </si>
  <si>
    <t>1-1-303</t>
  </si>
  <si>
    <t>6-1-403</t>
  </si>
  <si>
    <t>1-1-203</t>
  </si>
  <si>
    <t>6-1-303</t>
  </si>
  <si>
    <t>1-1-2802</t>
  </si>
  <si>
    <t>6-1-203</t>
  </si>
  <si>
    <t>1-1-2602</t>
  </si>
  <si>
    <t>6-1-1702</t>
  </si>
  <si>
    <t>1-1-2502</t>
  </si>
  <si>
    <t>6-1-1602</t>
  </si>
  <si>
    <t>1-1-2402</t>
  </si>
  <si>
    <t>6-1-1502</t>
  </si>
  <si>
    <t>1-1-2302</t>
  </si>
  <si>
    <t>6-1-1402</t>
  </si>
  <si>
    <t>1-1-2202</t>
  </si>
  <si>
    <t>6-1-1302</t>
  </si>
  <si>
    <t>1-1-2102</t>
  </si>
  <si>
    <t>6-1-1202</t>
  </si>
  <si>
    <t>1-1-2002</t>
  </si>
  <si>
    <t>6-1-1102</t>
  </si>
  <si>
    <t>1-1-1902</t>
  </si>
  <si>
    <t>6-1-1002</t>
  </si>
  <si>
    <t>1-1-1802</t>
  </si>
  <si>
    <t>6-1-902</t>
  </si>
  <si>
    <t>1-1-1702</t>
  </si>
  <si>
    <t>6-1-802</t>
  </si>
  <si>
    <t>1-1-1602</t>
  </si>
  <si>
    <t>6-1-702</t>
  </si>
  <si>
    <t>1-1-1502</t>
  </si>
  <si>
    <t>6-1-602</t>
  </si>
  <si>
    <t>1-1-1402</t>
  </si>
  <si>
    <t>6-1-502</t>
  </si>
  <si>
    <t>1-1-1302</t>
  </si>
  <si>
    <t>6-1-402</t>
  </si>
  <si>
    <t>1-1-1202</t>
  </si>
  <si>
    <t>6-1-302</t>
  </si>
  <si>
    <t>1-1-1102</t>
  </si>
  <si>
    <t>6-1-202</t>
  </si>
  <si>
    <t>1-1-1002</t>
  </si>
  <si>
    <t>6-1-1701</t>
  </si>
  <si>
    <t>1-1-902</t>
  </si>
  <si>
    <t>6-1-1601</t>
  </si>
  <si>
    <t>1-1-802</t>
  </si>
  <si>
    <t>6-1-1501</t>
  </si>
  <si>
    <t>1-1-702</t>
  </si>
  <si>
    <t>6-1-1401</t>
  </si>
  <si>
    <t>1-1-602</t>
  </si>
  <si>
    <t>6-1-1301</t>
  </si>
  <si>
    <t>1-1-402</t>
  </si>
  <si>
    <t>6-1-1201</t>
  </si>
  <si>
    <t>1-1-302</t>
  </si>
  <si>
    <t>6-1-1101</t>
  </si>
  <si>
    <t>1-1-202</t>
  </si>
  <si>
    <t>6-1-1001</t>
  </si>
  <si>
    <t>1-1-2801</t>
  </si>
  <si>
    <t>6-1-901</t>
  </si>
  <si>
    <t>1-1-2701</t>
  </si>
  <si>
    <t>6-1-801</t>
  </si>
  <si>
    <t>1-1-2601</t>
  </si>
  <si>
    <t>6-1-701</t>
  </si>
  <si>
    <t>1-1-2501</t>
  </si>
  <si>
    <t>6-1-601</t>
  </si>
  <si>
    <t>1-1-2401</t>
  </si>
  <si>
    <t>6-1-501</t>
  </si>
  <si>
    <t>1-1-2301</t>
  </si>
  <si>
    <t>6-1-401</t>
  </si>
  <si>
    <t>1-1-2201</t>
  </si>
  <si>
    <t>6-1-301</t>
  </si>
  <si>
    <t>1-1-2101</t>
  </si>
  <si>
    <t>6-1-201</t>
  </si>
  <si>
    <t>1-1-2001</t>
  </si>
  <si>
    <t>4-2-2701</t>
  </si>
  <si>
    <t>1-1-1901</t>
  </si>
  <si>
    <t>4-2-2601</t>
  </si>
  <si>
    <t>1-1-1801</t>
  </si>
  <si>
    <t>4-2-2501</t>
  </si>
  <si>
    <t>1-1-1701</t>
  </si>
  <si>
    <t>4-2-2401</t>
  </si>
  <si>
    <t>1-1-1601</t>
  </si>
  <si>
    <t>4-2-2201</t>
  </si>
  <si>
    <t>1-1-1501</t>
  </si>
  <si>
    <t>4-2-2101</t>
  </si>
  <si>
    <t>1-1-1401</t>
  </si>
  <si>
    <t>4-2-1401</t>
  </si>
  <si>
    <t>1-1-1301</t>
  </si>
  <si>
    <t>4-2-1301</t>
  </si>
  <si>
    <t>1-1-1201</t>
  </si>
  <si>
    <t>4-2-701</t>
  </si>
  <si>
    <t>1-1-1101</t>
  </si>
  <si>
    <t>4-2-501</t>
  </si>
  <si>
    <t>1-1-1001</t>
  </si>
  <si>
    <t>4-2-401</t>
  </si>
  <si>
    <t>1-1-901</t>
  </si>
  <si>
    <t>4-2-301</t>
  </si>
  <si>
    <t>1-1-801</t>
  </si>
  <si>
    <t>3-1804</t>
  </si>
  <si>
    <t>1-1-701</t>
  </si>
  <si>
    <t>2-403</t>
  </si>
  <si>
    <t>1-1-601</t>
  </si>
  <si>
    <t>2-3001</t>
  </si>
  <si>
    <t>1-1-501</t>
  </si>
  <si>
    <t>1-2-2803</t>
  </si>
  <si>
    <t>1-1-401</t>
  </si>
  <si>
    <t>1-1-2702</t>
  </si>
  <si>
    <t>1-1-301</t>
  </si>
  <si>
    <t>1-1-502</t>
  </si>
  <si>
    <t>1-1-201</t>
  </si>
  <si>
    <t>销售情况</t>
  </si>
  <si>
    <t>实测面积</t>
  </si>
  <si>
    <t>房号</t>
  </si>
  <si>
    <t>住宅未售</t>
  </si>
  <si>
    <t>住宅已售</t>
  </si>
  <si>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</si>
  <si>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</si>
  <si>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</si>
  <si>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</si>
  <si>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</si>
  <si>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</si>
  <si>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</si>
  <si>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</si>
  <si>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</si>
  <si>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</si>
  <si>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</si>
  <si>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</si>
  <si>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</si>
  <si>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</si>
  <si>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</si>
  <si>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</si>
  <si>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</si>
  <si>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</si>
  <si>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</si>
  <si>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</si>
  <si>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</si>
  <si>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</si>
  <si>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</si>
  <si>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</si>
  <si>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</si>
  <si>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</si>
  <si>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</si>
  <si>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</si>
  <si>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</si>
  <si>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</si>
  <si>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</si>
  <si>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</si>
  <si>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</si>
  <si>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</si>
  <si>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</si>
  <si>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</si>
  <si>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</si>
  <si>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</si>
  <si>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</si>
  <si>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</si>
  <si>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</si>
  <si>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</si>
  <si>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</si>
  <si>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</si>
  <si>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</si>
  <si>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</si>
  <si>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</si>
  <si>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</si>
  <si>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</si>
  <si>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</si>
  <si>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</si>
  <si>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</si>
  <si>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</si>
  <si>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</si>
  <si>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</si>
  <si>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</si>
  <si>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</si>
  <si>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</si>
  <si>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</si>
  <si>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</si>
  <si>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</si>
  <si>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</si>
  <si>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</si>
  <si>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</si>
  <si>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</si>
  <si>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</si>
  <si>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</si>
  <si>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</si>
  <si>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</si>
  <si>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</si>
  <si>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</si>
  <si>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</si>
  <si>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</si>
  <si>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</si>
  <si>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</si>
  <si>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</si>
  <si>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</si>
  <si>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</si>
  <si>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</si>
  <si>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</si>
  <si>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</si>
  <si>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</si>
  <si>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</si>
  <si>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</si>
  <si>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</si>
  <si>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</si>
  <si>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</si>
  <si>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</si>
  <si>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</si>
  <si>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</si>
  <si>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</si>
  <si>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</si>
  <si>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</si>
  <si>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</si>
  <si>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</si>
  <si>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</si>
  <si>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</si>
  <si>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</si>
  <si>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</si>
  <si>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</si>
  <si>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</si>
  <si>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</si>
  <si>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</si>
  <si>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</si>
  <si>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</si>
  <si>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</si>
  <si>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</si>
  <si>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</si>
  <si>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</si>
  <si>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</si>
  <si>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</si>
  <si>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</si>
  <si>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</si>
  <si>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</si>
  <si>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</si>
  <si>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</si>
  <si>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</si>
  <si>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</si>
  <si>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</si>
  <si>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</si>
  <si>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</si>
  <si>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</si>
  <si>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</si>
  <si>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</si>
  <si>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</si>
  <si>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</si>
  <si>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</si>
  <si>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</si>
  <si>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</si>
  <si>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</si>
  <si>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</si>
  <si>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</si>
  <si>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</si>
  <si>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</si>
  <si>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</si>
  <si>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</si>
  <si>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</si>
  <si>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</si>
  <si>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</si>
  <si>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</si>
  <si>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</si>
  <si>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</si>
  <si>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</si>
  <si>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</si>
  <si>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</si>
  <si>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</si>
  <si>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</si>
  <si>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</si>
  <si>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</si>
  <si>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</si>
  <si>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</si>
  <si>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</si>
  <si>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</si>
  <si>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</si>
  <si>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</si>
  <si>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</si>
  <si>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</si>
  <si>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</si>
  <si>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</si>
  <si>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</si>
  <si>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</si>
  <si>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</si>
  <si>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</si>
  <si>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</si>
  <si>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</si>
  <si>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</si>
  <si>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</si>
  <si>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</si>
  <si>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</si>
  <si>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</si>
  <si>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</si>
  <si>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</si>
  <si>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</si>
  <si>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</si>
  <si>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</si>
  <si>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</si>
  <si>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</si>
  <si>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</si>
  <si>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</si>
  <si>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</si>
  <si>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</si>
  <si>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</si>
  <si>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</si>
  <si>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</si>
  <si>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</si>
  <si>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</si>
  <si>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</si>
  <si>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</si>
  <si>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</si>
  <si>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</si>
  <si>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</si>
  <si>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</si>
  <si>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</si>
  <si>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</si>
  <si>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</si>
  <si>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</si>
  <si>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</si>
  <si>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</si>
  <si>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</si>
  <si>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</si>
  <si>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</si>
  <si>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</si>
  <si>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</si>
  <si>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</si>
  <si>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</si>
  <si>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</si>
  <si>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</si>
  <si>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</si>
  <si>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</si>
  <si>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</si>
  <si>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</si>
  <si>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</si>
  <si>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</si>
  <si>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</si>
  <si>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</si>
  <si>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</si>
  <si>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</si>
  <si>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</si>
  <si>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</si>
  <si>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</si>
  <si>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</si>
  <si>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</si>
  <si>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</si>
  <si>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</si>
  <si>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</si>
  <si>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</si>
  <si>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</si>
  <si>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</si>
  <si>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</si>
  <si>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</si>
  <si>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</si>
  <si>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</si>
  <si>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</si>
  <si>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</si>
  <si>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</si>
  <si>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</si>
  <si>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</si>
  <si>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</si>
  <si>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</si>
  <si>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</si>
  <si>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</si>
  <si>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</si>
  <si>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</si>
  <si>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</si>
  <si>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</si>
  <si>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</si>
  <si>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</si>
  <si>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</si>
  <si>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</si>
  <si>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</si>
  <si>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</si>
  <si>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</si>
  <si>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</si>
  <si>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</si>
  <si>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11</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</si>
  <si>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</si>
  <si>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</si>
  <si>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</si>
  <si>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</si>
  <si>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</si>
  <si>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</si>
  <si>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</si>
  <si>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</si>
  <si>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</si>
  <si>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</si>
  <si>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</si>
  <si>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</si>
  <si>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</si>
  <si>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</si>
  <si>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</si>
  <si>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</si>
  <si>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</si>
  <si>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</si>
  <si>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</si>
  <si>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</si>
  <si>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</si>
  <si>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</si>
  <si>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</si>
  <si>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</si>
  <si>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</si>
  <si>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</si>
  <si>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</si>
  <si>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</si>
  <si>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</si>
  <si>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</si>
  <si>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</si>
  <si>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</si>
  <si>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</si>
  <si>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</si>
  <si>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</si>
  <si>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</si>
  <si>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</si>
  <si>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</si>
  <si>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</si>
  <si>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</si>
  <si>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</si>
  <si>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</si>
  <si>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</si>
  <si>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</si>
  <si>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</si>
  <si>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</si>
  <si>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</si>
  <si>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</si>
  <si>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</si>
  <si>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</si>
  <si>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</si>
  <si>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</si>
  <si>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</si>
  <si>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</si>
  <si>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</si>
  <si>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</si>
  <si>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</si>
  <si>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</si>
  <si>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</si>
  <si>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</si>
  <si>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</si>
  <si>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</si>
  <si>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</si>
  <si>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</si>
  <si>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</si>
  <si>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</si>
  <si>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</si>
  <si>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</si>
  <si>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</si>
  <si>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</si>
  <si>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</si>
  <si>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</si>
  <si>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</si>
  <si>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</si>
  <si>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</si>
  <si>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</si>
  <si>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</si>
  <si>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</si>
  <si>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t>浙（</t>
    </r>
    <r>
      <rPr>
        <sz val="12"/>
        <color indexed="8"/>
        <rFont val="Tahoma"/>
        <family val="2"/>
      </rPr>
      <t>2016</t>
    </r>
    <r>
      <rPr>
        <sz val="12"/>
        <color indexed="8"/>
        <rFont val="宋体"/>
        <family val="3"/>
        <charset val="134"/>
      </rPr>
      <t>）第</t>
    </r>
    <r>
      <rPr>
        <sz val="12"/>
        <color indexed="8"/>
        <rFont val="Tahoma"/>
        <family val="2"/>
      </rPr>
      <t>0033195</t>
    </r>
    <r>
      <rPr>
        <sz val="12"/>
        <color indexed="8"/>
        <rFont val="宋体"/>
        <family val="3"/>
        <charset val="134"/>
      </rPr>
      <t>号</t>
    </r>
  </si>
  <si>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</si>
  <si>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</si>
  <si>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</si>
  <si>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</si>
  <si>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</si>
  <si>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</si>
  <si>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</si>
  <si>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</si>
  <si>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</si>
  <si>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</si>
  <si>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</si>
  <si>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</si>
  <si>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</si>
  <si>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</si>
  <si>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</si>
  <si>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</si>
  <si>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</si>
  <si>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</si>
  <si>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</si>
  <si>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</si>
  <si>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</si>
  <si>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</si>
  <si>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</si>
  <si>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</si>
  <si>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</si>
  <si>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</si>
  <si>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</si>
  <si>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</si>
  <si>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</si>
  <si>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</si>
  <si>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</si>
  <si>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</si>
  <si>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</si>
  <si>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</si>
  <si>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</si>
  <si>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</si>
  <si>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</si>
  <si>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</si>
  <si>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</si>
  <si>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</si>
  <si>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</si>
  <si>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</si>
  <si>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</si>
  <si>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</si>
  <si>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</si>
  <si>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</si>
  <si>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</si>
  <si>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</si>
  <si>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</si>
  <si>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</si>
  <si>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</si>
  <si>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</si>
  <si>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</si>
  <si>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</si>
  <si>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</si>
  <si>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</si>
  <si>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</si>
  <si>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</si>
  <si>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</si>
  <si>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</si>
  <si>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</si>
  <si>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</si>
  <si>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</si>
  <si>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</si>
  <si>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</si>
  <si>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</si>
  <si>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</si>
  <si>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</si>
  <si>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</si>
  <si>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</si>
  <si>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</si>
  <si>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</si>
  <si>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</si>
  <si>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</si>
  <si>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</si>
  <si>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</si>
  <si>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</si>
  <si>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</si>
  <si>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</si>
  <si>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</si>
  <si>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</si>
  <si>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</si>
  <si>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</si>
  <si>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</si>
  <si>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</si>
  <si>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</si>
  <si>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</si>
  <si>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</si>
  <si>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</si>
  <si>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</si>
  <si>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</si>
  <si>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</si>
  <si>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</si>
  <si>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</si>
  <si>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</si>
  <si>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</si>
  <si>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</si>
  <si>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</si>
  <si>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</si>
  <si>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</si>
  <si>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</si>
  <si>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</si>
  <si>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</si>
  <si>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</si>
  <si>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</si>
  <si>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</si>
  <si>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</si>
  <si>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</si>
  <si>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</si>
  <si>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</si>
  <si>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</si>
  <si>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</si>
  <si>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</si>
  <si>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</si>
  <si>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</si>
  <si>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</si>
  <si>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</si>
  <si>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</si>
  <si>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</si>
  <si>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</si>
  <si>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</si>
  <si>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</si>
  <si>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</si>
  <si>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</si>
  <si>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</si>
  <si>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</si>
  <si>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</si>
  <si>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</si>
  <si>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</si>
  <si>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</si>
  <si>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</si>
  <si>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</si>
  <si>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</si>
  <si>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</si>
  <si>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</si>
  <si>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</si>
  <si>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</si>
  <si>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</si>
  <si>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</si>
  <si>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</si>
  <si>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</si>
  <si>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</si>
  <si>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</si>
  <si>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</si>
  <si>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</si>
  <si>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</si>
  <si>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</si>
  <si>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</si>
  <si>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</si>
  <si>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</si>
  <si>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</si>
  <si>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</si>
  <si>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</si>
  <si>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</si>
  <si>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</si>
  <si>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</si>
  <si>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</si>
  <si>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</si>
  <si>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</si>
  <si>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</si>
  <si>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</si>
  <si>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</si>
  <si>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</si>
  <si>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</si>
  <si>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</si>
  <si>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</si>
  <si>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</si>
  <si>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</si>
  <si>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</si>
  <si>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</si>
  <si>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</si>
  <si>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</si>
  <si>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</si>
  <si>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</si>
  <si>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</si>
  <si>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</si>
  <si>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</si>
  <si>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</si>
  <si>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</si>
  <si>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</si>
  <si>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</si>
  <si>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</si>
  <si>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</si>
  <si>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</si>
  <si>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</si>
  <si>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</si>
  <si>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</si>
  <si>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</si>
  <si>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</si>
  <si>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</si>
  <si>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</si>
  <si>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</si>
  <si>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</si>
  <si>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</si>
  <si>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</si>
  <si>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</si>
  <si>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</si>
  <si>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</si>
  <si>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</si>
  <si>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</si>
  <si>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</si>
  <si>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</si>
  <si>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</si>
  <si>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</si>
  <si>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</si>
  <si>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</si>
  <si>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</si>
  <si>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</si>
  <si>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</si>
  <si>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</si>
  <si>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</si>
  <si>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</si>
  <si>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</si>
  <si>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</si>
  <si>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</si>
  <si>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</si>
  <si>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</si>
  <si>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</si>
  <si>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</si>
  <si>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</si>
  <si>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</si>
  <si>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0033112</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</si>
  <si>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</si>
  <si>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0033191</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</si>
  <si>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</si>
  <si>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</si>
  <si>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</si>
  <si>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</si>
  <si>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</si>
  <si>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</si>
  <si>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</si>
  <si>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</si>
  <si>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</si>
  <si>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</si>
  <si>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</si>
  <si>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</si>
  <si>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</si>
  <si>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</si>
  <si>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</si>
  <si>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</si>
  <si>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</si>
  <si>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</si>
  <si>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</si>
  <si>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0033180</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</si>
  <si>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</si>
  <si>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0033104</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</si>
  <si>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</si>
  <si>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</si>
  <si>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</si>
  <si>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</si>
  <si>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</si>
  <si>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</si>
  <si>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</si>
  <si>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0033049</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</si>
  <si>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</si>
  <si>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0033137</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</si>
  <si>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</si>
  <si>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0033076</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</si>
  <si>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</si>
  <si>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0033138</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</si>
  <si>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</si>
  <si>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</si>
  <si>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0033075</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</si>
  <si>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</si>
  <si>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0033083</t>
    </r>
    <r>
      <rPr>
        <sz val="12"/>
        <color indexed="8"/>
        <rFont val="宋体"/>
        <family val="3"/>
        <charset val="134"/>
      </rPr>
      <t>号</t>
    </r>
    <phoneticPr fontId="208" type="noConversion"/>
  </si>
  <si>
    <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</si>
  <si>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</si>
  <si>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</si>
  <si>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</si>
  <si>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</si>
  <si>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</si>
  <si>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</si>
  <si>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</si>
  <si>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</si>
  <si>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t>浙（2016）第0032902号</t>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</si>
  <si>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</si>
  <si>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</si>
  <si>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</si>
  <si>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</si>
  <si>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</si>
  <si>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</si>
  <si>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</si>
  <si>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</si>
  <si>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</si>
  <si>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</si>
  <si>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</si>
  <si>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</si>
  <si>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</si>
  <si>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</si>
  <si>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</si>
  <si>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</si>
  <si>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</si>
  <si>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</si>
  <si>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</si>
  <si>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</si>
  <si>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</si>
  <si>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</si>
  <si>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</si>
  <si>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</si>
  <si>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</si>
  <si>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</si>
  <si>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</si>
  <si>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</si>
  <si>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</si>
  <si>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</si>
  <si>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</si>
  <si>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</si>
  <si>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</si>
  <si>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</si>
  <si>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</si>
  <si>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t>浙（2016）第0032932号</t>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</si>
  <si>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</si>
  <si>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</si>
  <si>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</si>
  <si>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</si>
  <si>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</si>
  <si>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</si>
  <si>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</si>
  <si>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</si>
  <si>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</si>
  <si>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</si>
  <si>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</si>
  <si>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</si>
  <si>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</si>
  <si>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</si>
  <si>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</si>
  <si>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</si>
  <si>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</si>
  <si>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</si>
  <si>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</si>
  <si>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</si>
  <si>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</si>
  <si>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</si>
  <si>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</si>
  <si>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</si>
  <si>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</si>
  <si>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</si>
  <si>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</si>
  <si>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</si>
  <si>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</si>
  <si>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</si>
  <si>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</si>
  <si>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</si>
  <si>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</si>
  <si>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</si>
  <si>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</si>
  <si>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</si>
  <si>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</si>
  <si>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</si>
  <si>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</si>
  <si>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</si>
  <si>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</si>
  <si>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</si>
  <si>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</si>
  <si>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</si>
  <si>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</si>
  <si>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</si>
  <si>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</si>
  <si>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</si>
  <si>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</si>
  <si>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</si>
  <si>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</si>
  <si>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</si>
  <si>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</si>
  <si>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</si>
  <si>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</si>
  <si>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</si>
  <si>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</si>
  <si>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</si>
  <si>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</si>
  <si>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</si>
  <si>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</si>
  <si>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</si>
  <si>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</si>
  <si>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</si>
  <si>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</si>
  <si>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</si>
  <si>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</si>
  <si>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</si>
  <si>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</si>
  <si>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</si>
  <si>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</si>
  <si>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</si>
  <si>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</si>
  <si>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</si>
  <si>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</si>
  <si>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</si>
  <si>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</si>
  <si>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</si>
  <si>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</si>
  <si>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t>浙（2016）第0032987号</t>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</si>
  <si>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</si>
  <si>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</si>
  <si>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</si>
  <si>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</si>
  <si>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</si>
  <si>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</si>
  <si>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</si>
  <si>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</si>
  <si>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</si>
  <si>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t>浙（2016）第0032900号</t>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</si>
  <si>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</si>
  <si>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</si>
  <si>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</si>
  <si>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</si>
  <si>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</si>
  <si>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</si>
  <si>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</si>
  <si>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</si>
  <si>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</si>
  <si>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</si>
  <si>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</si>
  <si>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</si>
  <si>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</si>
  <si>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</si>
  <si>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</si>
  <si>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</si>
  <si>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</si>
  <si>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</si>
  <si>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</si>
  <si>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</si>
  <si>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</si>
  <si>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</si>
  <si>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</si>
  <si>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</si>
  <si>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</si>
  <si>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</si>
  <si>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</si>
  <si>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</si>
  <si>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</si>
  <si>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</si>
  <si>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</si>
  <si>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</si>
  <si>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</si>
  <si>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</si>
  <si>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</si>
  <si>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t>浙（2016）第0032935号</t>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</si>
  <si>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</si>
  <si>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</si>
  <si>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</si>
  <si>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</si>
  <si>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</si>
  <si>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</si>
  <si>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</si>
  <si>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</si>
  <si>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</si>
  <si>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</si>
  <si>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</si>
  <si>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</si>
  <si>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</si>
  <si>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</si>
  <si>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</si>
  <si>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</si>
  <si>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</si>
  <si>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</si>
  <si>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</si>
  <si>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</si>
  <si>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</si>
  <si>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</si>
  <si>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</si>
  <si>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</si>
  <si>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</si>
  <si>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</si>
  <si>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</si>
  <si>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</si>
  <si>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</si>
  <si>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</si>
  <si>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</si>
  <si>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</si>
  <si>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</si>
  <si>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</si>
  <si>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</si>
  <si>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</si>
  <si>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</si>
  <si>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</si>
  <si>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</si>
  <si>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</si>
  <si>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</si>
  <si>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</si>
  <si>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</si>
  <si>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</si>
  <si>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</si>
  <si>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</si>
  <si>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</si>
  <si>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</si>
  <si>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</si>
  <si>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</si>
  <si>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</si>
  <si>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</si>
  <si>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</si>
  <si>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</si>
  <si>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</si>
  <si>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</si>
  <si>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</si>
  <si>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</si>
  <si>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</si>
  <si>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</si>
  <si>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</si>
  <si>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</si>
  <si>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</si>
  <si>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</si>
  <si>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</si>
  <si>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</si>
  <si>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</si>
  <si>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</si>
  <si>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</si>
  <si>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</si>
  <si>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</si>
  <si>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</si>
  <si>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</si>
  <si>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</si>
  <si>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</si>
  <si>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</si>
  <si>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</si>
  <si>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</si>
  <si>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</si>
  <si>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</si>
  <si>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</si>
  <si>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</si>
  <si>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</si>
  <si>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</si>
  <si>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</si>
  <si>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</si>
  <si>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</si>
  <si>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</si>
  <si>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</si>
  <si>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</si>
  <si>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</si>
  <si>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</si>
  <si>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</si>
  <si>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</si>
  <si>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</si>
  <si>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</si>
  <si>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</si>
  <si>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</si>
  <si>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</si>
  <si>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</si>
  <si>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</si>
  <si>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</si>
  <si>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</si>
  <si>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</si>
  <si>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</si>
  <si>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</si>
  <si>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</si>
  <si>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</si>
  <si>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</si>
  <si>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0032839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</si>
  <si>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</si>
  <si>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</si>
  <si>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</si>
  <si>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</si>
  <si>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</si>
  <si>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</si>
  <si>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</si>
  <si>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</si>
  <si>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</si>
  <si>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</si>
  <si>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</si>
  <si>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</si>
  <si>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</si>
  <si>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</si>
  <si>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</si>
  <si>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</si>
  <si>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</si>
  <si>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</si>
  <si>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</si>
  <si>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</si>
  <si>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</si>
  <si>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</si>
  <si>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</si>
  <si>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</si>
  <si>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</si>
  <si>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</si>
  <si>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</si>
  <si>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</si>
  <si>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</si>
  <si>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</si>
  <si>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</si>
  <si>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</si>
  <si>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</si>
  <si>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</si>
  <si>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</si>
  <si>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</si>
  <si>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</si>
  <si>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</si>
  <si>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</si>
  <si>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</si>
  <si>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</si>
  <si>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</si>
  <si>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</si>
  <si>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</si>
  <si>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</si>
  <si>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</si>
  <si>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</si>
  <si>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</si>
  <si>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</si>
  <si>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</si>
  <si>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</si>
  <si>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</si>
  <si>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</si>
  <si>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</si>
  <si>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</si>
  <si>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</si>
  <si>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</si>
  <si>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</si>
  <si>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</si>
  <si>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</si>
  <si>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</si>
  <si>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</si>
  <si>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</si>
  <si>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</si>
  <si>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</si>
  <si>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</si>
  <si>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</si>
  <si>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</si>
  <si>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</si>
  <si>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</si>
  <si>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</si>
  <si>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</si>
  <si>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</si>
  <si>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</si>
  <si>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</si>
  <si>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</si>
  <si>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</si>
  <si>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</si>
  <si>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</si>
  <si>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</si>
  <si>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</si>
  <si>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</si>
  <si>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</si>
  <si>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</si>
  <si>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</si>
  <si>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</si>
  <si>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</si>
  <si>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</si>
  <si>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</si>
  <si>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0033005</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</si>
  <si>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</si>
  <si>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0032948</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</si>
  <si>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</si>
  <si>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</si>
  <si>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</si>
  <si>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</si>
  <si>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</si>
  <si>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0032934</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</si>
  <si>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</si>
  <si>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</si>
  <si>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</si>
  <si>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</si>
  <si>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</si>
  <si>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</si>
  <si>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</si>
  <si>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</si>
  <si>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</si>
  <si>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0032912</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</si>
  <si>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</si>
  <si>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</si>
  <si>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</si>
  <si>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0032923</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</si>
  <si>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</si>
  <si>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0032961</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</si>
  <si>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</si>
  <si>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</si>
  <si>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</si>
  <si>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0032990</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</si>
  <si>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</si>
  <si>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0032857</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</si>
  <si>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</si>
  <si>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0032896</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</si>
  <si>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</si>
  <si>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0032849</t>
    </r>
    <r>
      <rPr>
        <sz val="12"/>
        <color indexed="8"/>
        <rFont val="宋体"/>
        <family val="3"/>
        <charset val="134"/>
      </rPr>
      <t>号</t>
    </r>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</si>
  <si>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</si>
  <si>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</si>
  <si>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</si>
  <si>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</si>
  <si>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</si>
  <si>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</si>
  <si>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</si>
  <si>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</si>
  <si>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</si>
  <si>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</si>
  <si>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</si>
  <si>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</si>
  <si>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</si>
  <si>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</si>
  <si>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</si>
  <si>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</si>
  <si>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</si>
  <si>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</si>
  <si>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</si>
  <si>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</si>
  <si>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</si>
  <si>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</si>
  <si>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</si>
  <si>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</si>
  <si>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</si>
  <si>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</si>
  <si>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</si>
  <si>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</si>
  <si>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</si>
  <si>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</si>
  <si>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</si>
  <si>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</si>
  <si>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</si>
  <si>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</si>
  <si>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</si>
  <si>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</si>
  <si>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</si>
  <si>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</si>
  <si>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</si>
  <si>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</si>
  <si>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</si>
  <si>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</si>
  <si>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</si>
  <si>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</si>
  <si>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</si>
  <si>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</si>
  <si>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</si>
  <si>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</si>
  <si>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</si>
  <si>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</si>
  <si>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</si>
  <si>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</si>
  <si>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</si>
  <si>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</si>
  <si>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</si>
  <si>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</si>
  <si>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</si>
  <si>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</si>
  <si>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</si>
  <si>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</si>
  <si>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</si>
  <si>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</si>
  <si>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</si>
  <si>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</si>
  <si>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</si>
  <si>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</si>
  <si>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</si>
  <si>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</si>
  <si>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</si>
  <si>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</si>
  <si>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</si>
  <si>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</si>
  <si>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</si>
  <si>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</si>
  <si>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</si>
  <si>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</si>
  <si>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</si>
  <si>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</si>
  <si>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</si>
  <si>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</si>
  <si>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</si>
  <si>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</si>
  <si>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</si>
  <si>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</si>
  <si>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</si>
  <si>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</si>
  <si>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</si>
  <si>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</si>
  <si>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</si>
  <si>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</si>
  <si>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</si>
  <si>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</si>
  <si>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</si>
  <si>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</si>
  <si>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</si>
  <si>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</si>
  <si>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</si>
  <si>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</si>
  <si>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</si>
  <si>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</si>
  <si>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</si>
  <si>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</si>
  <si>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</si>
  <si>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</si>
  <si>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</si>
  <si>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</si>
  <si>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</si>
  <si>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</si>
  <si>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</si>
  <si>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</si>
  <si>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</si>
  <si>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</si>
  <si>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</si>
  <si>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</si>
  <si>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</si>
  <si>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</si>
  <si>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</si>
  <si>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</si>
  <si>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</si>
  <si>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</si>
  <si>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</si>
  <si>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</si>
  <si>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</si>
  <si>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</si>
  <si>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</si>
  <si>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</si>
  <si>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</si>
  <si>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</si>
  <si>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</si>
  <si>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</si>
  <si>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</si>
  <si>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</si>
  <si>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</si>
  <si>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</si>
  <si>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</si>
  <si>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</si>
  <si>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</si>
  <si>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</si>
  <si>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</si>
  <si>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</si>
  <si>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</si>
  <si>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</si>
  <si>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</si>
  <si>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</si>
  <si>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</si>
  <si>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</si>
  <si>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</si>
  <si>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</si>
  <si>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</si>
  <si>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</si>
  <si>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</si>
  <si>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</si>
  <si>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</si>
  <si>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</si>
  <si>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</si>
  <si>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</si>
  <si>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</si>
  <si>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</si>
  <si>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</si>
  <si>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</si>
  <si>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</si>
  <si>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</si>
  <si>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</si>
  <si>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</si>
  <si>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</si>
  <si>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</si>
  <si>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</si>
  <si>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</si>
  <si>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</si>
  <si>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</si>
  <si>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</si>
  <si>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phoneticPr fontId="208" type="noConversion"/>
  </si>
  <si>
    <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phoneticPr fontId="208" type="noConversion"/>
  </si>
  <si>
    <t>建筑面积（平方米）</t>
    <phoneticPr fontId="208" type="noConversion"/>
  </si>
  <si>
    <t>不动产权证号</t>
    <phoneticPr fontId="208" type="noConversion"/>
  </si>
  <si>
    <t>幢号房号</t>
    <phoneticPr fontId="208" type="noConversion"/>
  </si>
  <si>
    <t>不动产坐落：杭州市余杭区良渚街道名城博园</t>
    <phoneticPr fontId="208" type="noConversion"/>
  </si>
  <si>
    <t>抵押物清单</t>
    <phoneticPr fontId="208" type="noConversion"/>
  </si>
  <si>
    <t>已核对原件</t>
  </si>
  <si>
    <t>万元</t>
  </si>
  <si>
    <t>总价</t>
  </si>
  <si>
    <t>无租约</t>
  </si>
  <si>
    <r>
      <t>12</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phoneticPr fontId="208" type="noConversion"/>
  </si>
  <si>
    <r>
      <t>3</t>
    </r>
    <r>
      <rPr>
        <sz val="12"/>
        <color rgb="FFFF0000"/>
        <rFont val="宋体"/>
        <family val="3"/>
        <charset val="134"/>
      </rPr>
      <t>幢</t>
    </r>
    <r>
      <rPr>
        <sz val="12"/>
        <color rgb="FFFF0000"/>
        <rFont val="Tahoma"/>
        <family val="2"/>
      </rPr>
      <t>1804</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</si>
  <si>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502</t>
    </r>
    <r>
      <rPr>
        <sz val="12"/>
        <color rgb="FFFF0000"/>
        <rFont val="宋体"/>
        <family val="3"/>
        <charset val="134"/>
      </rPr>
      <t>室</t>
    </r>
    <phoneticPr fontId="208" type="noConversion"/>
  </si>
  <si>
    <r>
      <t>2</t>
    </r>
    <r>
      <rPr>
        <sz val="12"/>
        <color rgb="FFFF0000"/>
        <rFont val="宋体"/>
        <family val="3"/>
        <charset val="134"/>
      </rPr>
      <t>幢</t>
    </r>
    <r>
      <rPr>
        <sz val="12"/>
        <color rgb="FFFF0000"/>
        <rFont val="Tahoma"/>
        <family val="2"/>
      </rPr>
      <t>403</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</si>
  <si>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2702</t>
    </r>
    <r>
      <rPr>
        <sz val="12"/>
        <color rgb="FFFF0000"/>
        <rFont val="宋体"/>
        <family val="3"/>
        <charset val="134"/>
      </rPr>
      <t>室</t>
    </r>
    <phoneticPr fontId="208" type="noConversion"/>
  </si>
  <si>
    <r>
      <t>2</t>
    </r>
    <r>
      <rPr>
        <sz val="12"/>
        <color rgb="FFFF0000"/>
        <rFont val="宋体"/>
        <family val="3"/>
        <charset val="134"/>
      </rPr>
      <t>幢</t>
    </r>
    <r>
      <rPr>
        <sz val="12"/>
        <color rgb="FFFF0000"/>
        <rFont val="Tahoma"/>
        <family val="2"/>
      </rPr>
      <t>3001</t>
    </r>
    <r>
      <rPr>
        <sz val="12"/>
        <color rgb="FFFF0000"/>
        <rFont val="宋体"/>
        <family val="3"/>
        <charset val="134"/>
      </rPr>
      <t>室</t>
    </r>
    <phoneticPr fontId="208" type="noConversion"/>
  </si>
  <si>
    <r>
      <t>7</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303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</si>
  <si>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</si>
  <si>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</si>
  <si>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201</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</si>
  <si>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401</t>
    </r>
    <r>
      <rPr>
        <sz val="12"/>
        <color rgb="FFFF0000"/>
        <rFont val="宋体"/>
        <family val="3"/>
        <charset val="134"/>
      </rPr>
      <t>室</t>
    </r>
    <phoneticPr fontId="208" type="noConversion"/>
  </si>
  <si>
    <r>
      <t>1</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2803</t>
    </r>
    <r>
      <rPr>
        <sz val="12"/>
        <color rgb="FFFF0000"/>
        <rFont val="宋体"/>
        <family val="3"/>
        <charset val="134"/>
      </rPr>
      <t>室</t>
    </r>
    <phoneticPr fontId="208" type="noConversion"/>
  </si>
  <si>
    <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phoneticPr fontId="208" type="noConversion"/>
  </si>
  <si>
    <t>商住</t>
  </si>
  <si>
    <t>商住</t>
    <phoneticPr fontId="44" type="noConversion"/>
  </si>
  <si>
    <t>住宅</t>
    <phoneticPr fontId="44" type="noConversion"/>
  </si>
  <si>
    <r>
      <rPr>
        <sz val="11"/>
        <color indexed="8"/>
        <rFont val="宋体"/>
        <family val="3"/>
        <charset val="134"/>
      </rPr>
      <t>商业</t>
    </r>
    <r>
      <rPr>
        <sz val="11"/>
        <color indexed="8"/>
        <rFont val="Arial"/>
        <family val="2"/>
      </rPr>
      <t>40</t>
    </r>
    <r>
      <rPr>
        <sz val="11"/>
        <color indexed="8"/>
        <rFont val="宋体"/>
        <family val="3"/>
        <charset val="134"/>
      </rPr>
      <t>、住宅</t>
    </r>
    <r>
      <rPr>
        <sz val="11"/>
        <color indexed="8"/>
        <rFont val="Arial"/>
        <family val="2"/>
      </rPr>
      <t>70</t>
    </r>
    <phoneticPr fontId="44" type="noConversion"/>
  </si>
  <si>
    <r>
      <rPr>
        <sz val="11"/>
        <color indexed="8"/>
        <rFont val="宋体"/>
        <family val="3"/>
        <charset val="134"/>
      </rPr>
      <t>商业</t>
    </r>
    <r>
      <rPr>
        <sz val="11"/>
        <color indexed="8"/>
        <rFont val="Arial"/>
        <family val="2"/>
      </rPr>
      <t>40</t>
    </r>
    <r>
      <rPr>
        <sz val="11"/>
        <color indexed="8"/>
        <rFont val="宋体"/>
        <family val="3"/>
        <charset val="134"/>
      </rPr>
      <t>、住宅</t>
    </r>
    <r>
      <rPr>
        <sz val="11"/>
        <color indexed="8"/>
        <rFont val="Arial"/>
        <family val="2"/>
      </rPr>
      <t>70</t>
    </r>
    <phoneticPr fontId="44" type="noConversion"/>
  </si>
  <si>
    <t>余政储出〔2015〕48号</t>
    <phoneticPr fontId="4" type="noConversion"/>
  </si>
  <si>
    <t>良运家园、风雅乐府</t>
    <phoneticPr fontId="44" type="noConversion"/>
  </si>
  <si>
    <t>65</t>
    <phoneticPr fontId="44" type="noConversion"/>
  </si>
  <si>
    <t>良山学校、勾庄镇运河小学、浙商银行(杭州良渚支行)、中国农业银行(杭州金恒路支行)、中国邮政(好运街邮政所)</t>
    <phoneticPr fontId="44" type="noConversion"/>
  </si>
  <si>
    <t>六通</t>
    <phoneticPr fontId="44" type="noConversion"/>
  </si>
  <si>
    <t>海德公园</t>
    <phoneticPr fontId="44" type="noConversion"/>
  </si>
  <si>
    <r>
      <rPr>
        <sz val="11"/>
        <rFont val="宋体"/>
        <family val="3"/>
        <charset val="134"/>
      </rPr>
      <t>勾庄镇运河小学、良山学校、浙商银行</t>
    </r>
    <r>
      <rPr>
        <sz val="11"/>
        <rFont val="Arial"/>
        <family val="2"/>
      </rPr>
      <t>(</t>
    </r>
    <r>
      <rPr>
        <sz val="11"/>
        <rFont val="宋体"/>
        <family val="3"/>
        <charset val="134"/>
      </rPr>
      <t>杭州良渚支行</t>
    </r>
    <r>
      <rPr>
        <sz val="11"/>
        <rFont val="Arial"/>
        <family val="2"/>
      </rPr>
      <t>)</t>
    </r>
    <r>
      <rPr>
        <sz val="11"/>
        <rFont val="宋体"/>
        <family val="3"/>
        <charset val="134"/>
      </rPr>
      <t>、中国农业银行</t>
    </r>
    <r>
      <rPr>
        <sz val="11"/>
        <rFont val="Arial"/>
        <family val="2"/>
      </rPr>
      <t>(</t>
    </r>
    <r>
      <rPr>
        <sz val="11"/>
        <rFont val="宋体"/>
        <family val="3"/>
        <charset val="134"/>
      </rPr>
      <t>杭州金恒路支行</t>
    </r>
    <r>
      <rPr>
        <sz val="11"/>
        <rFont val="Arial"/>
        <family val="2"/>
      </rPr>
      <t>)</t>
    </r>
    <r>
      <rPr>
        <sz val="11"/>
        <rFont val="宋体"/>
        <family val="3"/>
        <charset val="134"/>
      </rPr>
      <t>、中国邮政</t>
    </r>
    <r>
      <rPr>
        <sz val="11"/>
        <rFont val="Arial"/>
        <family val="2"/>
      </rPr>
      <t>(</t>
    </r>
    <r>
      <rPr>
        <sz val="11"/>
        <rFont val="宋体"/>
        <family val="3"/>
        <charset val="134"/>
      </rPr>
      <t>好运街邮政所</t>
    </r>
    <r>
      <rPr>
        <sz val="11"/>
        <rFont val="Arial"/>
        <family val="2"/>
      </rPr>
      <t>)</t>
    </r>
    <phoneticPr fontId="44" type="noConversion"/>
  </si>
  <si>
    <t>赞成·美树</t>
    <phoneticPr fontId="44" type="noConversion"/>
  </si>
  <si>
    <r>
      <rPr>
        <sz val="11"/>
        <rFont val="宋体"/>
        <family val="3"/>
        <charset val="134"/>
      </rPr>
      <t>赞成</t>
    </r>
    <r>
      <rPr>
        <sz val="11"/>
        <rFont val="Arial"/>
        <family val="2"/>
      </rPr>
      <t>·</t>
    </r>
    <r>
      <rPr>
        <sz val="11"/>
        <rFont val="宋体"/>
        <family val="3"/>
        <charset val="134"/>
      </rPr>
      <t>美树</t>
    </r>
    <phoneticPr fontId="44" type="noConversion"/>
  </si>
  <si>
    <r>
      <t>191</t>
    </r>
    <r>
      <rPr>
        <sz val="11"/>
        <rFont val="宋体"/>
        <family val="3"/>
        <charset val="134"/>
      </rPr>
      <t>、</t>
    </r>
    <r>
      <rPr>
        <sz val="11"/>
        <rFont val="Arial"/>
        <family val="2"/>
      </rPr>
      <t>488</t>
    </r>
    <phoneticPr fontId="44" type="noConversion"/>
  </si>
  <si>
    <r>
      <t>191</t>
    </r>
    <r>
      <rPr>
        <sz val="11"/>
        <rFont val="宋体"/>
        <family val="3"/>
        <charset val="134"/>
      </rPr>
      <t>、</t>
    </r>
    <r>
      <rPr>
        <sz val="11"/>
        <rFont val="Arial"/>
        <family val="2"/>
      </rPr>
      <t>488</t>
    </r>
    <phoneticPr fontId="44" type="noConversion"/>
  </si>
  <si>
    <t>规整</t>
  </si>
  <si>
    <t>规整</t>
    <phoneticPr fontId="44" type="noConversion"/>
  </si>
  <si>
    <t>适宜</t>
  </si>
  <si>
    <t>适宜</t>
    <phoneticPr fontId="44" type="noConversion"/>
  </si>
  <si>
    <t>六通一平</t>
  </si>
  <si>
    <t>六通一平</t>
    <phoneticPr fontId="44" type="noConversion"/>
  </si>
  <si>
    <t>主干道</t>
  </si>
  <si>
    <t>主干道</t>
    <phoneticPr fontId="44" type="noConversion"/>
  </si>
  <si>
    <t>杭州地价增长率情况一览表</t>
  </si>
  <si>
    <t>年度</t>
  </si>
  <si>
    <t>季度</t>
  </si>
  <si>
    <t>综合</t>
  </si>
  <si>
    <t>商服</t>
  </si>
  <si>
    <t>-</t>
  </si>
  <si>
    <t>东至锦江路，南至郁宅港，西至彩虹河，北至郁宅路</t>
    <phoneticPr fontId="4" type="noConversion"/>
  </si>
  <si>
    <t>余政储出〔2015〕64号</t>
    <phoneticPr fontId="4" type="noConversion"/>
  </si>
  <si>
    <t>余政储出〔2015〕65号</t>
    <phoneticPr fontId="4" type="noConversion"/>
  </si>
  <si>
    <t>东至上塘路，南至郁宅港，西至锦江路，北至郁宅路</t>
    <phoneticPr fontId="4" type="noConversion"/>
  </si>
  <si>
    <t>东至空地，南至谢村港，西至杭行路，北至规划道路</t>
    <phoneticPr fontId="4" type="noConversion"/>
  </si>
  <si>
    <t>较好</t>
    <phoneticPr fontId="44" type="noConversion"/>
  </si>
  <si>
    <t>良运街</t>
    <phoneticPr fontId="44" type="noConversion"/>
  </si>
  <si>
    <t>金恒路</t>
    <phoneticPr fontId="44" type="noConversion"/>
  </si>
  <si>
    <t>双面临街</t>
  </si>
  <si>
    <t>单面临街</t>
  </si>
  <si>
    <t>赞成赞城、逸居城</t>
    <phoneticPr fontId="61" type="noConversion"/>
  </si>
  <si>
    <t>192路 764路 778路</t>
    <phoneticPr fontId="61" type="noConversion"/>
  </si>
  <si>
    <t>余杭区良渚二小、勾庄镇中星桥小学、良渚街道社区卫生服务中心勾庄院区、中信银行(杭州良渚支行)、中信银行(杭州良渚支行)</t>
    <phoneticPr fontId="61" type="noConversion"/>
  </si>
  <si>
    <t>六通</t>
    <phoneticPr fontId="33" type="noConversion"/>
  </si>
  <si>
    <t>海德公园</t>
    <phoneticPr fontId="61" type="noConversion"/>
  </si>
  <si>
    <t>主干道-博园西路</t>
    <phoneticPr fontId="33" type="noConversion"/>
  </si>
  <si>
    <t>赞成赞城</t>
    <phoneticPr fontId="4" type="noConversion"/>
  </si>
  <si>
    <t>海德公园</t>
    <phoneticPr fontId="4" type="noConversion"/>
  </si>
  <si>
    <t>旭辉万家之星</t>
    <phoneticPr fontId="4" type="noConversion"/>
  </si>
  <si>
    <t>名城博园</t>
    <phoneticPr fontId="4" type="noConversion"/>
  </si>
  <si>
    <t>住宅</t>
    <phoneticPr fontId="33" type="noConversion"/>
  </si>
  <si>
    <t>60-70（含）</t>
  </si>
  <si>
    <t>名城博园</t>
    <phoneticPr fontId="33" type="noConversion"/>
  </si>
  <si>
    <t>万科杭宸</t>
    <phoneticPr fontId="33" type="noConversion"/>
  </si>
  <si>
    <t>192路 764路 778路</t>
    <phoneticPr fontId="33" type="noConversion"/>
  </si>
  <si>
    <t>余杭区良渚二小、杭州金凤凰幼儿园、浙江泰隆商业银行(余杭良渚小微企业专营支行)、良渚街道社区卫生服务中心勾庄院区</t>
    <phoneticPr fontId="33" type="noConversion"/>
  </si>
  <si>
    <t>主干道</t>
    <phoneticPr fontId="33" type="noConversion"/>
  </si>
  <si>
    <t>高板</t>
  </si>
  <si>
    <t>高板</t>
    <phoneticPr fontId="33" type="noConversion"/>
  </si>
  <si>
    <t>钢混</t>
  </si>
  <si>
    <t>钢混</t>
    <phoneticPr fontId="33" type="noConversion"/>
  </si>
  <si>
    <t>精装修</t>
  </si>
  <si>
    <t>精装修</t>
    <phoneticPr fontId="33" type="noConversion"/>
  </si>
  <si>
    <t>高档</t>
  </si>
  <si>
    <t>高档</t>
    <phoneticPr fontId="33" type="noConversion"/>
  </si>
  <si>
    <t>专业</t>
    <phoneticPr fontId="33" type="noConversion"/>
  </si>
  <si>
    <t>六通</t>
    <phoneticPr fontId="33" type="noConversion"/>
  </si>
  <si>
    <t>毛坯</t>
  </si>
  <si>
    <t>毛坯</t>
    <phoneticPr fontId="33" type="noConversion"/>
  </si>
  <si>
    <t>普通装修</t>
    <phoneticPr fontId="33" type="noConversion"/>
  </si>
  <si>
    <t>65路</t>
    <phoneticPr fontId="33" type="noConversion"/>
  </si>
  <si>
    <t>勾庄镇运河小学、良山学校、叶纪昌西医内科诊所、余杭区农村商业银行(良渚支行金恒路分理处)</t>
    <phoneticPr fontId="33" type="noConversion"/>
  </si>
  <si>
    <t>主干道</t>
    <phoneticPr fontId="33" type="noConversion"/>
  </si>
  <si>
    <t>良运家园</t>
    <phoneticPr fontId="33" type="noConversion"/>
  </si>
  <si>
    <t>65</t>
    <phoneticPr fontId="33" type="noConversion"/>
  </si>
  <si>
    <t>平层</t>
    <phoneticPr fontId="4" type="noConversion"/>
  </si>
  <si>
    <t>平层</t>
  </si>
  <si>
    <t>南北</t>
  </si>
  <si>
    <t>南北</t>
    <phoneticPr fontId="33" type="noConversion"/>
  </si>
  <si>
    <t>比较法-住宅</t>
  </si>
  <si>
    <t>收益法</t>
  </si>
  <si>
    <t>售价</t>
  </si>
  <si>
    <t>楼层</t>
    <phoneticPr fontId="33" type="noConversion"/>
  </si>
  <si>
    <t>朝向</t>
    <phoneticPr fontId="33" type="noConversion"/>
  </si>
  <si>
    <t>房型</t>
    <phoneticPr fontId="33" type="noConversion"/>
  </si>
  <si>
    <t>平层</t>
    <phoneticPr fontId="33" type="noConversion"/>
  </si>
  <si>
    <t>跃层</t>
  </si>
  <si>
    <t>跃层</t>
    <phoneticPr fontId="33" type="noConversion"/>
  </si>
  <si>
    <t>楼层</t>
    <phoneticPr fontId="208" type="noConversion"/>
  </si>
  <si>
    <t>低</t>
    <phoneticPr fontId="33" type="noConversion"/>
  </si>
  <si>
    <t xml:space="preserve">楼层 </t>
    <phoneticPr fontId="33" type="noConversion"/>
  </si>
  <si>
    <t>低</t>
    <phoneticPr fontId="33" type="noConversion"/>
  </si>
  <si>
    <t>高</t>
    <phoneticPr fontId="33" type="noConversion"/>
  </si>
  <si>
    <t>中&amp;顶层</t>
    <phoneticPr fontId="33" type="noConversion"/>
  </si>
  <si>
    <t>抵押物清单</t>
  </si>
  <si>
    <t>不动产坐落：杭州市余杭区良渚街道名城博园</t>
  </si>
  <si>
    <t>幢号房号</t>
  </si>
  <si>
    <t>总楼层</t>
  </si>
  <si>
    <t>房型（平层or跃层）</t>
    <phoneticPr fontId="208" type="noConversion"/>
  </si>
  <si>
    <t>不动产权证号</t>
  </si>
  <si>
    <t>建筑面积（平方米）</t>
  </si>
  <si>
    <r>
      <rPr>
        <sz val="12"/>
        <color rgb="FFFF0000"/>
        <rFont val="Tahoma"/>
        <family val="2"/>
      </rP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502</t>
    </r>
    <r>
      <rPr>
        <sz val="12"/>
        <color rgb="FFFF0000"/>
        <rFont val="宋体"/>
        <family val="3"/>
        <charset val="134"/>
      </rPr>
      <t>室</t>
    </r>
  </si>
  <si>
    <t>南北</t>
    <phoneticPr fontId="208" type="noConversion"/>
  </si>
  <si>
    <r>
      <rPr>
        <sz val="12"/>
        <color rgb="FFFF0000"/>
        <rFont val="Tahoma"/>
        <family val="2"/>
      </rPr>
      <t>1</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2702</t>
    </r>
    <r>
      <rPr>
        <sz val="12"/>
        <color rgb="FFFF0000"/>
        <rFont val="宋体"/>
        <family val="3"/>
        <charset val="134"/>
      </rPr>
      <t>室</t>
    </r>
  </si>
  <si>
    <r>
      <rPr>
        <sz val="12"/>
        <color rgb="FFFF0000"/>
        <rFont val="Tahoma"/>
        <family val="2"/>
      </rPr>
      <t>1</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2803</t>
    </r>
    <r>
      <rPr>
        <sz val="12"/>
        <color rgb="FFFF0000"/>
        <rFont val="宋体"/>
        <family val="3"/>
        <charset val="134"/>
      </rPr>
      <t>室</t>
    </r>
  </si>
  <si>
    <r>
      <rPr>
        <sz val="12"/>
        <color rgb="FFFF0000"/>
        <rFont val="Tahoma"/>
        <family val="2"/>
      </rPr>
      <t>2</t>
    </r>
    <r>
      <rPr>
        <sz val="12"/>
        <color rgb="FFFF0000"/>
        <rFont val="宋体"/>
        <family val="3"/>
        <charset val="134"/>
      </rPr>
      <t>幢</t>
    </r>
    <r>
      <rPr>
        <sz val="12"/>
        <color rgb="FFFF0000"/>
        <rFont val="Tahoma"/>
        <family val="2"/>
      </rPr>
      <t>3001</t>
    </r>
    <r>
      <rPr>
        <sz val="12"/>
        <color rgb="FFFF0000"/>
        <rFont val="宋体"/>
        <family val="3"/>
        <charset val="134"/>
      </rPr>
      <t>室</t>
    </r>
  </si>
  <si>
    <r>
      <rPr>
        <sz val="12"/>
        <color rgb="FFFF0000"/>
        <rFont val="Tahoma"/>
        <family val="2"/>
      </rPr>
      <t>2</t>
    </r>
    <r>
      <rPr>
        <sz val="12"/>
        <color rgb="FFFF0000"/>
        <rFont val="宋体"/>
        <family val="3"/>
        <charset val="134"/>
      </rPr>
      <t>幢</t>
    </r>
    <r>
      <rPr>
        <sz val="12"/>
        <color rgb="FFFF0000"/>
        <rFont val="Tahoma"/>
        <family val="2"/>
      </rPr>
      <t>403</t>
    </r>
    <r>
      <rPr>
        <sz val="12"/>
        <color rgb="FFFF0000"/>
        <rFont val="宋体"/>
        <family val="3"/>
        <charset val="134"/>
      </rPr>
      <t>室</t>
    </r>
  </si>
  <si>
    <t>南北</t>
    <phoneticPr fontId="208" type="noConversion"/>
  </si>
  <si>
    <r>
      <rPr>
        <sz val="12"/>
        <color rgb="FFFF0000"/>
        <rFont val="Tahoma"/>
        <family val="2"/>
      </rPr>
      <t>3</t>
    </r>
    <r>
      <rPr>
        <sz val="12"/>
        <color rgb="FFFF0000"/>
        <rFont val="宋体"/>
        <family val="3"/>
        <charset val="134"/>
      </rPr>
      <t>幢</t>
    </r>
    <r>
      <rPr>
        <sz val="12"/>
        <color rgb="FFFF0000"/>
        <rFont val="Tahoma"/>
        <family val="2"/>
      </rPr>
      <t>1804</t>
    </r>
    <r>
      <rPr>
        <sz val="12"/>
        <color rgb="FFFF0000"/>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</si>
  <si>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</si>
  <si>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</si>
  <si>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</si>
  <si>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</si>
  <si>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</si>
  <si>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</si>
  <si>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</si>
  <si>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</si>
  <si>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</si>
  <si>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</si>
  <si>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</si>
  <si>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4</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</si>
  <si>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</si>
  <si>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</si>
  <si>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</si>
  <si>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</si>
  <si>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</si>
  <si>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</si>
  <si>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</si>
  <si>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</si>
  <si>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</si>
  <si>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</si>
  <si>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</si>
  <si>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</si>
  <si>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</si>
  <si>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</si>
  <si>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</si>
  <si>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</si>
  <si>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</si>
  <si>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t>南北</t>
    <phoneticPr fontId="208" type="noConversion"/>
  </si>
  <si>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</si>
  <si>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</si>
  <si>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</si>
  <si>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</si>
  <si>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</si>
  <si>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</si>
  <si>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</si>
  <si>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</si>
  <si>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</si>
  <si>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</si>
  <si>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</si>
  <si>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</si>
  <si>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</si>
  <si>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</si>
  <si>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</si>
  <si>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</si>
  <si>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</si>
  <si>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</si>
  <si>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</si>
  <si>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</si>
  <si>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</si>
  <si>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</si>
  <si>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</si>
  <si>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</si>
  <si>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</si>
  <si>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</si>
  <si>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</si>
  <si>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</si>
  <si>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</si>
  <si>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</si>
  <si>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</si>
  <si>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</si>
  <si>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</si>
  <si>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</si>
  <si>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</si>
  <si>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</si>
  <si>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</si>
  <si>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t>南北</t>
    <phoneticPr fontId="208" type="noConversion"/>
  </si>
  <si>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</si>
  <si>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</si>
  <si>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</si>
  <si>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</si>
  <si>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</si>
  <si>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</si>
  <si>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</si>
  <si>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</si>
  <si>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</si>
  <si>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</si>
  <si>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</si>
  <si>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</si>
  <si>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</si>
  <si>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</si>
  <si>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</si>
  <si>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</si>
  <si>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</si>
  <si>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</si>
  <si>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</si>
  <si>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</si>
  <si>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</si>
  <si>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</si>
  <si>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</si>
  <si>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</si>
  <si>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</si>
  <si>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</si>
  <si>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</si>
  <si>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</si>
  <si>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</si>
  <si>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</si>
  <si>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</si>
  <si>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</si>
  <si>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</si>
  <si>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</si>
  <si>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</si>
  <si>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</si>
  <si>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</si>
  <si>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</si>
  <si>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</si>
  <si>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</si>
  <si>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</si>
  <si>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</si>
  <si>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</si>
  <si>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</si>
  <si>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</si>
  <si>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</si>
  <si>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</si>
  <si>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</si>
  <si>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</si>
  <si>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</si>
  <si>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</si>
  <si>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</si>
  <si>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</si>
  <si>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</si>
  <si>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</si>
  <si>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</si>
  <si>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</si>
  <si>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</si>
  <si>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</si>
  <si>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</si>
  <si>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</si>
  <si>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</si>
  <si>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</si>
  <si>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</si>
  <si>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</si>
  <si>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</si>
  <si>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</si>
  <si>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</si>
  <si>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</si>
  <si>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</si>
  <si>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</si>
  <si>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</si>
  <si>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</si>
  <si>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</si>
  <si>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</si>
  <si>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</si>
  <si>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</si>
  <si>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</si>
  <si>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</si>
  <si>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</si>
  <si>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</si>
  <si>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</si>
  <si>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</si>
  <si>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</si>
  <si>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</si>
  <si>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</si>
  <si>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</si>
  <si>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</si>
  <si>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</si>
  <si>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</si>
  <si>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</si>
  <si>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</si>
  <si>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</si>
  <si>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</si>
  <si>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</si>
  <si>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</si>
  <si>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</si>
  <si>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</si>
  <si>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</si>
  <si>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</si>
  <si>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</si>
  <si>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</si>
  <si>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</si>
  <si>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</si>
  <si>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</si>
  <si>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6</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1703</t>
    </r>
    <r>
      <rPr>
        <sz val="12"/>
        <color indexed="8"/>
        <rFont val="宋体"/>
        <family val="3"/>
        <charset val="134"/>
      </rPr>
      <t>室</t>
    </r>
  </si>
  <si>
    <r>
      <rPr>
        <sz val="12"/>
        <color rgb="FFFF0000"/>
        <rFont val="Tahoma"/>
        <family val="2"/>
      </rPr>
      <t>7</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303</t>
    </r>
    <r>
      <rPr>
        <sz val="12"/>
        <color rgb="FFFF0000"/>
        <rFont val="宋体"/>
        <family val="3"/>
        <charset val="134"/>
      </rPr>
      <t>室</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</si>
  <si>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</si>
  <si>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</si>
  <si>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</si>
  <si>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</si>
  <si>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</si>
  <si>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</si>
  <si>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</si>
  <si>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</si>
  <si>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</si>
  <si>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</si>
  <si>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</si>
  <si>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</si>
  <si>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</si>
  <si>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</si>
  <si>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</si>
  <si>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</si>
  <si>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</si>
  <si>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</si>
  <si>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</si>
  <si>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</si>
  <si>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</si>
  <si>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</si>
  <si>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</si>
  <si>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</si>
  <si>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</si>
  <si>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</si>
  <si>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</si>
  <si>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</si>
  <si>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</si>
  <si>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</si>
  <si>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</si>
  <si>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</si>
  <si>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</si>
  <si>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</si>
  <si>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</si>
  <si>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</si>
  <si>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</si>
  <si>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</si>
  <si>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</si>
  <si>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</si>
  <si>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</si>
  <si>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</si>
  <si>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</si>
  <si>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</si>
  <si>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</si>
  <si>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</si>
  <si>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</si>
  <si>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</si>
  <si>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</si>
  <si>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</si>
  <si>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</si>
  <si>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</si>
  <si>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</si>
  <si>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</si>
  <si>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</si>
  <si>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</si>
  <si>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</si>
  <si>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</si>
  <si>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</si>
  <si>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</si>
  <si>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</si>
  <si>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</si>
  <si>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</si>
  <si>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</si>
  <si>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</si>
  <si>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</si>
  <si>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</si>
  <si>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</si>
  <si>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</si>
  <si>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</si>
  <si>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</si>
  <si>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</si>
  <si>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</si>
  <si>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</si>
  <si>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</si>
  <si>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</si>
  <si>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</si>
  <si>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</si>
  <si>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</si>
  <si>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</si>
  <si>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</si>
  <si>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</si>
  <si>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</si>
  <si>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</si>
  <si>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</si>
  <si>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</si>
  <si>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</si>
  <si>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</si>
  <si>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</si>
  <si>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</si>
  <si>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</si>
  <si>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</si>
  <si>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</si>
  <si>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</si>
  <si>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</si>
  <si>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</si>
  <si>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</si>
  <si>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</si>
  <si>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</si>
  <si>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</si>
  <si>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</si>
  <si>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</si>
  <si>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</si>
  <si>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</si>
  <si>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</si>
  <si>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</si>
  <si>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</si>
  <si>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</si>
  <si>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</si>
  <si>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</si>
  <si>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</si>
  <si>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</si>
  <si>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</si>
  <si>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</si>
  <si>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</si>
  <si>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</si>
  <si>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</si>
  <si>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</si>
  <si>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</si>
  <si>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</si>
  <si>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</si>
  <si>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</si>
  <si>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</si>
  <si>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</si>
  <si>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</si>
  <si>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</si>
  <si>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</si>
  <si>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</si>
  <si>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</si>
  <si>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</si>
  <si>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</si>
  <si>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</si>
  <si>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</si>
  <si>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</si>
  <si>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</si>
  <si>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</si>
  <si>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</si>
  <si>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</si>
  <si>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</si>
  <si>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</si>
  <si>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</si>
  <si>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</si>
  <si>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</si>
  <si>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</si>
  <si>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</si>
  <si>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</si>
  <si>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</si>
  <si>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</si>
  <si>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</si>
  <si>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</si>
  <si>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</si>
  <si>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</si>
  <si>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</si>
  <si>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</si>
  <si>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</si>
  <si>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</si>
  <si>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</si>
  <si>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</si>
  <si>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</si>
  <si>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</si>
  <si>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</si>
  <si>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</si>
  <si>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</si>
  <si>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</si>
  <si>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</si>
  <si>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</si>
  <si>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</si>
  <si>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</si>
  <si>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</si>
  <si>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</si>
  <si>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</si>
  <si>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</si>
  <si>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0033003</t>
    </r>
    <r>
      <rPr>
        <sz val="12"/>
        <color indexed="8"/>
        <rFont val="宋体"/>
        <family val="3"/>
        <charset val="134"/>
      </rPr>
      <t>号</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</si>
  <si>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</si>
  <si>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</si>
  <si>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</si>
  <si>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</si>
  <si>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</si>
  <si>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</si>
  <si>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</si>
  <si>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</si>
  <si>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</si>
  <si>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</si>
  <si>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</si>
  <si>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</si>
  <si>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</si>
  <si>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</si>
  <si>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</si>
  <si>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</si>
  <si>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</si>
  <si>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</si>
  <si>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</si>
  <si>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</si>
  <si>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</si>
  <si>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</si>
  <si>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</si>
  <si>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</si>
  <si>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</si>
  <si>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</si>
  <si>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</si>
  <si>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</si>
  <si>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</si>
  <si>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</si>
  <si>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</si>
  <si>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</si>
  <si>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</si>
  <si>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</si>
  <si>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</si>
  <si>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</si>
  <si>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</si>
  <si>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</si>
  <si>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</si>
  <si>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</si>
  <si>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</si>
  <si>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</si>
  <si>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</si>
  <si>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</si>
  <si>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</si>
  <si>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</si>
  <si>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</si>
  <si>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</si>
  <si>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</si>
  <si>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</si>
  <si>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</si>
  <si>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</si>
  <si>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</si>
  <si>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</si>
  <si>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</si>
  <si>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</si>
  <si>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</si>
  <si>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</si>
  <si>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</si>
  <si>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</si>
  <si>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t>浙（2016）第0032935号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</si>
  <si>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</si>
  <si>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</si>
  <si>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</si>
  <si>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</si>
  <si>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</si>
  <si>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</si>
  <si>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</si>
  <si>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</si>
  <si>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</si>
  <si>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</si>
  <si>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</si>
  <si>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</si>
  <si>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</si>
  <si>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</si>
  <si>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</si>
  <si>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</si>
  <si>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</si>
  <si>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</si>
  <si>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</si>
  <si>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</si>
  <si>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</si>
  <si>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</si>
  <si>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</si>
  <si>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</si>
  <si>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</si>
  <si>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</si>
  <si>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</si>
  <si>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</si>
  <si>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</si>
  <si>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</si>
  <si>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</si>
  <si>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</si>
  <si>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</si>
  <si>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</si>
  <si>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</si>
  <si>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t>浙（2016）第0032900号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</si>
  <si>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</si>
  <si>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</si>
  <si>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</si>
  <si>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</si>
  <si>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</si>
  <si>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</si>
  <si>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</si>
  <si>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</si>
  <si>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</si>
  <si>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t>浙（2016）第0032987号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</si>
  <si>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</si>
  <si>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</si>
  <si>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</si>
  <si>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</si>
  <si>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</si>
  <si>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</si>
  <si>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</si>
  <si>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0032965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</si>
  <si>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</si>
  <si>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</si>
  <si>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</si>
  <si>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</si>
  <si>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</si>
  <si>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</si>
  <si>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</si>
  <si>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</si>
  <si>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</si>
  <si>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</si>
  <si>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</si>
  <si>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</si>
  <si>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</si>
  <si>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</si>
  <si>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</si>
  <si>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</si>
  <si>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</si>
  <si>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</si>
  <si>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</si>
  <si>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</si>
  <si>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</si>
  <si>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</si>
  <si>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</si>
  <si>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</si>
  <si>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</si>
  <si>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0033022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</si>
  <si>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</si>
  <si>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</si>
  <si>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</si>
  <si>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</si>
  <si>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</si>
  <si>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</si>
  <si>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</si>
  <si>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</si>
  <si>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</si>
  <si>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</si>
  <si>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</si>
  <si>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</si>
  <si>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</si>
  <si>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</si>
  <si>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</si>
  <si>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0033015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</si>
  <si>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</si>
  <si>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</si>
  <si>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</si>
  <si>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</si>
  <si>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</si>
  <si>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0032887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</si>
  <si>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</si>
  <si>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</si>
  <si>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</si>
  <si>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0032927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</si>
  <si>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</si>
  <si>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0032958</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</si>
  <si>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</si>
  <si>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</si>
  <si>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</si>
  <si>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</si>
  <si>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</si>
  <si>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</si>
  <si>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</si>
  <si>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</si>
  <si>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</si>
  <si>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0032983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</si>
  <si>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</si>
  <si>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</si>
  <si>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</si>
  <si>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</si>
  <si>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</si>
  <si>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</si>
  <si>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</si>
  <si>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t>浙（2016）第0032932号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</si>
  <si>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</si>
  <si>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0032903</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</si>
  <si>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</si>
  <si>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</si>
  <si>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</si>
  <si>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</si>
  <si>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</si>
  <si>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0032864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</si>
  <si>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</si>
  <si>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0033004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</si>
  <si>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</si>
  <si>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</si>
  <si>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</si>
  <si>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</si>
  <si>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</si>
  <si>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</si>
  <si>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</si>
  <si>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0032950</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</si>
  <si>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</si>
  <si>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0033037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</si>
  <si>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</si>
  <si>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0032854</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</si>
  <si>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</si>
  <si>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</si>
  <si>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</si>
  <si>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0032941</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</si>
  <si>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</si>
  <si>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</si>
  <si>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</si>
  <si>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0032872</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</si>
  <si>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</si>
  <si>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0032936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</si>
  <si>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</si>
  <si>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0032976</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</si>
  <si>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</si>
  <si>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t>浙（2016）第0032902号</t>
  </si>
  <si>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</si>
  <si>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0032907</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</si>
  <si>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</si>
  <si>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0032995</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</si>
  <si>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</si>
  <si>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0032919</t>
    </r>
    <r>
      <rPr>
        <sz val="12"/>
        <color indexed="8"/>
        <rFont val="宋体"/>
        <family val="3"/>
        <charset val="134"/>
      </rPr>
      <t>号</t>
    </r>
  </si>
  <si>
    <r>
      <rPr>
        <sz val="12"/>
        <color indexed="8"/>
        <rFont val="Tahoma"/>
        <family val="2"/>
      </rPr>
      <t>8</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</si>
  <si>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</si>
  <si>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</si>
  <si>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</si>
  <si>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</si>
  <si>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</si>
  <si>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</si>
  <si>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</si>
  <si>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</si>
  <si>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</si>
  <si>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</si>
  <si>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</si>
  <si>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</si>
  <si>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</si>
  <si>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</si>
  <si>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</si>
  <si>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</si>
  <si>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</si>
  <si>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</si>
  <si>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</si>
  <si>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</si>
  <si>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</si>
  <si>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</si>
  <si>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</si>
  <si>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</si>
  <si>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</si>
  <si>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</si>
  <si>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</si>
  <si>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</si>
  <si>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</si>
  <si>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</si>
  <si>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</si>
  <si>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</si>
  <si>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</si>
  <si>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</si>
  <si>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</si>
  <si>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</si>
  <si>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</si>
  <si>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</si>
  <si>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</si>
  <si>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</si>
  <si>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</si>
  <si>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</si>
  <si>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</si>
  <si>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</si>
  <si>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</si>
  <si>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</si>
  <si>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</si>
  <si>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</si>
  <si>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</si>
  <si>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</si>
  <si>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</si>
  <si>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</si>
  <si>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</si>
  <si>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</si>
  <si>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</si>
  <si>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</si>
  <si>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</si>
  <si>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</si>
  <si>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</si>
  <si>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</si>
  <si>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</si>
  <si>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</si>
  <si>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</si>
  <si>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</si>
  <si>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</si>
  <si>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</si>
  <si>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</si>
  <si>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</si>
  <si>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</si>
  <si>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</si>
  <si>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</si>
  <si>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</si>
  <si>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</si>
  <si>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</si>
  <si>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</si>
  <si>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</si>
  <si>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</si>
  <si>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</si>
  <si>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</si>
  <si>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</si>
  <si>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</si>
  <si>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</si>
  <si>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</si>
  <si>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</si>
  <si>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</si>
  <si>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</si>
  <si>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</si>
  <si>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</si>
  <si>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</si>
  <si>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</si>
  <si>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</si>
  <si>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</si>
  <si>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</si>
  <si>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</si>
  <si>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</si>
  <si>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</si>
  <si>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</si>
  <si>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</si>
  <si>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</si>
  <si>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</si>
  <si>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</si>
  <si>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</si>
  <si>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</si>
  <si>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</si>
  <si>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</si>
  <si>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</si>
  <si>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</si>
  <si>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</si>
  <si>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</si>
  <si>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</si>
  <si>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</si>
  <si>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</si>
  <si>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</si>
  <si>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</si>
  <si>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</si>
  <si>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</si>
  <si>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</si>
  <si>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</si>
  <si>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</si>
  <si>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</si>
  <si>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</si>
  <si>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</si>
  <si>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</si>
  <si>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</si>
  <si>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</si>
  <si>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</si>
  <si>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</si>
  <si>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</si>
  <si>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</si>
  <si>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</si>
  <si>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</si>
  <si>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</si>
  <si>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</si>
  <si>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</si>
  <si>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</si>
  <si>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</si>
  <si>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</si>
  <si>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</si>
  <si>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</si>
  <si>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</si>
  <si>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</si>
  <si>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</si>
  <si>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</si>
  <si>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</si>
  <si>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</si>
  <si>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</si>
  <si>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</si>
  <si>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</si>
  <si>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</si>
  <si>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</si>
  <si>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</si>
  <si>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</si>
  <si>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</si>
  <si>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</si>
  <si>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</si>
  <si>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</si>
  <si>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</si>
  <si>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</si>
  <si>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</si>
  <si>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</si>
  <si>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</si>
  <si>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</si>
  <si>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</si>
  <si>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</si>
  <si>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</si>
  <si>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</si>
  <si>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</si>
  <si>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</si>
  <si>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</si>
  <si>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</si>
  <si>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</si>
  <si>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</si>
  <si>
    <t>跃层</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</si>
  <si>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</si>
  <si>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</si>
  <si>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</si>
  <si>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</si>
  <si>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</si>
  <si>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</si>
  <si>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</si>
  <si>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</si>
  <si>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</si>
  <si>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</si>
  <si>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</si>
  <si>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</si>
  <si>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</si>
  <si>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</si>
  <si>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</si>
  <si>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</si>
  <si>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</si>
  <si>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</si>
  <si>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</si>
  <si>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</si>
  <si>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</si>
  <si>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</si>
  <si>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</si>
  <si>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</si>
  <si>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</si>
  <si>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</si>
  <si>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</si>
  <si>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</si>
  <si>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</si>
  <si>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</si>
  <si>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</si>
  <si>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</si>
  <si>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</si>
  <si>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</si>
  <si>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</si>
  <si>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</si>
  <si>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</si>
  <si>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</si>
  <si>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</si>
  <si>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</si>
  <si>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</si>
  <si>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</si>
  <si>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</si>
  <si>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</si>
  <si>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</si>
  <si>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</si>
  <si>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</si>
  <si>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</si>
  <si>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</si>
  <si>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</si>
  <si>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</si>
  <si>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</si>
  <si>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</si>
  <si>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</si>
  <si>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</si>
  <si>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</si>
  <si>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0033046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</si>
  <si>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</si>
  <si>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</si>
  <si>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</si>
  <si>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</si>
  <si>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</si>
  <si>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</si>
  <si>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</si>
  <si>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</si>
  <si>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</si>
  <si>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</si>
  <si>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</si>
  <si>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</si>
  <si>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</si>
  <si>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</si>
  <si>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</si>
  <si>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</si>
  <si>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</si>
  <si>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0033188</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</si>
  <si>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</si>
  <si>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</si>
  <si>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</si>
  <si>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</si>
  <si>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</si>
  <si>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</si>
  <si>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</si>
  <si>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</si>
  <si>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</si>
  <si>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</si>
  <si>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</si>
  <si>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0033163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</si>
  <si>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</si>
  <si>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</si>
  <si>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</si>
  <si>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</si>
  <si>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</si>
  <si>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</si>
  <si>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</si>
  <si>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</si>
  <si>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</si>
  <si>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</si>
  <si>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</si>
  <si>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0033184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</si>
  <si>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</si>
  <si>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</si>
  <si>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</si>
  <si>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</si>
  <si>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</si>
  <si>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</si>
  <si>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</si>
  <si>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</si>
  <si>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</si>
  <si>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</si>
  <si>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</si>
  <si>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</si>
  <si>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</si>
  <si>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0033061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</si>
  <si>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</si>
  <si>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</si>
  <si>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</si>
  <si>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</si>
  <si>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</si>
  <si>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</si>
  <si>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</si>
  <si>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0033089</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</si>
  <si>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</si>
  <si>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</si>
  <si>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</si>
  <si>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</si>
  <si>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</si>
  <si>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</si>
  <si>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</si>
  <si>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0033080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</si>
  <si>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</si>
  <si>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</si>
  <si>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</si>
  <si>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</si>
  <si>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</si>
  <si>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</si>
  <si>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</si>
  <si>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</si>
  <si>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</si>
  <si>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0033155</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</si>
  <si>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</si>
  <si>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0033117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</si>
  <si>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</si>
  <si>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</si>
  <si>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</si>
  <si>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</si>
  <si>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</si>
  <si>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0033176</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</si>
  <si>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</si>
  <si>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</si>
  <si>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</si>
  <si>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0033140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</si>
  <si>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</si>
  <si>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0033091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</si>
  <si>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</si>
  <si>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0033122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</si>
  <si>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</si>
  <si>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0033207</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</si>
  <si>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</si>
  <si>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0033101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</si>
  <si>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</si>
  <si>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0033204</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</si>
  <si>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</si>
  <si>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0033051</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</si>
  <si>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</si>
  <si>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0033210</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</si>
  <si>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</si>
  <si>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</si>
  <si>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</si>
  <si>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0033192</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</si>
  <si>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</si>
  <si>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0033173</t>
    </r>
    <r>
      <rPr>
        <sz val="12"/>
        <color indexed="8"/>
        <rFont val="宋体"/>
        <family val="3"/>
        <charset val="134"/>
      </rPr>
      <t>号</t>
    </r>
  </si>
  <si>
    <r>
      <rPr>
        <sz val="12"/>
        <color indexed="8"/>
        <rFont val="Tahoma"/>
        <family val="2"/>
      </rPr>
      <t>9</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</si>
  <si>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0033130</t>
    </r>
    <r>
      <rPr>
        <sz val="12"/>
        <color indexed="8"/>
        <rFont val="宋体"/>
        <family val="3"/>
        <charset val="134"/>
      </rPr>
      <t>号</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</si>
  <si>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401</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</si>
  <si>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</si>
  <si>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203</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</si>
  <si>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403</t>
    </r>
    <r>
      <rPr>
        <sz val="12"/>
        <color rgb="FFFF0000"/>
        <rFont val="宋体"/>
        <family val="3"/>
        <charset val="134"/>
      </rPr>
      <t>室</t>
    </r>
  </si>
  <si>
    <r>
      <rPr>
        <sz val="12"/>
        <color rgb="FFFF0000"/>
        <rFont val="Tahoma"/>
        <family val="2"/>
      </rPr>
      <t>10</t>
    </r>
    <r>
      <rPr>
        <sz val="12"/>
        <color rgb="FFFF0000"/>
        <rFont val="宋体"/>
        <family val="3"/>
        <charset val="134"/>
      </rPr>
      <t>幢</t>
    </r>
    <r>
      <rPr>
        <sz val="12"/>
        <color rgb="FFFF0000"/>
        <rFont val="Tahoma"/>
        <family val="2"/>
      </rPr>
      <t>2</t>
    </r>
    <r>
      <rPr>
        <sz val="12"/>
        <color rgb="FFFF0000"/>
        <rFont val="宋体"/>
        <family val="3"/>
        <charset val="134"/>
      </rPr>
      <t>单元</t>
    </r>
    <r>
      <rPr>
        <sz val="12"/>
        <color rgb="FFFF0000"/>
        <rFont val="Tahoma"/>
        <family val="2"/>
      </rPr>
      <t>201</t>
    </r>
    <r>
      <rPr>
        <sz val="12"/>
        <color rgb="FFFF0000"/>
        <rFont val="宋体"/>
        <family val="3"/>
        <charset val="134"/>
      </rPr>
      <t>室</t>
    </r>
  </si>
  <si>
    <r>
      <t>11</t>
    </r>
    <r>
      <rPr>
        <sz val="12"/>
        <rFont val="宋体"/>
        <family val="3"/>
        <charset val="134"/>
      </rPr>
      <t>幢</t>
    </r>
    <r>
      <rPr>
        <sz val="12"/>
        <rFont val="Tahoma"/>
        <family val="2"/>
      </rPr>
      <t>1</t>
    </r>
    <r>
      <rPr>
        <sz val="12"/>
        <rFont val="宋体"/>
        <family val="3"/>
        <charset val="134"/>
      </rPr>
      <t>单元</t>
    </r>
    <r>
      <rPr>
        <sz val="12"/>
        <rFont val="Tahoma"/>
        <family val="2"/>
      </rPr>
      <t>203</t>
    </r>
    <r>
      <rPr>
        <sz val="12"/>
        <rFont val="宋体"/>
        <family val="3"/>
        <charset val="134"/>
      </rPr>
      <t>室</t>
    </r>
  </si>
  <si>
    <r>
      <t>11</t>
    </r>
    <r>
      <rPr>
        <sz val="12"/>
        <rFont val="宋体"/>
        <family val="3"/>
        <charset val="134"/>
      </rPr>
      <t>幢</t>
    </r>
    <r>
      <rPr>
        <sz val="12"/>
        <rFont val="Tahoma"/>
        <family val="2"/>
      </rPr>
      <t>1</t>
    </r>
    <r>
      <rPr>
        <sz val="12"/>
        <rFont val="宋体"/>
        <family val="3"/>
        <charset val="134"/>
      </rPr>
      <t>单元</t>
    </r>
    <r>
      <rPr>
        <sz val="12"/>
        <rFont val="Tahoma"/>
        <family val="2"/>
      </rPr>
      <t>1703</t>
    </r>
    <r>
      <rPr>
        <sz val="12"/>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</si>
  <si>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</si>
  <si>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</si>
  <si>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</si>
  <si>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</si>
  <si>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</si>
  <si>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</si>
  <si>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</si>
  <si>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</si>
  <si>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</si>
  <si>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</si>
  <si>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</si>
  <si>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</si>
  <si>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</si>
  <si>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</si>
  <si>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</si>
  <si>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</si>
  <si>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</si>
  <si>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</si>
  <si>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</si>
  <si>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</si>
  <si>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</si>
  <si>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</si>
  <si>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</si>
  <si>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</si>
  <si>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</si>
  <si>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</si>
  <si>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</si>
  <si>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</si>
  <si>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</si>
  <si>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</si>
  <si>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</si>
  <si>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</si>
  <si>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</si>
  <si>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</si>
  <si>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</si>
  <si>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</si>
  <si>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</si>
  <si>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</si>
  <si>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</si>
  <si>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</si>
  <si>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</si>
  <si>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</si>
  <si>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</si>
  <si>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</si>
  <si>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</si>
  <si>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</si>
  <si>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</si>
  <si>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</si>
  <si>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</si>
  <si>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Tahoma"/>
        <family val="2"/>
      </rPr>
      <t>11</t>
    </r>
    <r>
      <rPr>
        <sz val="12"/>
        <color indexed="8"/>
        <rFont val="宋体"/>
        <family val="3"/>
        <charset val="134"/>
      </rPr>
      <t>幢</t>
    </r>
    <r>
      <rPr>
        <sz val="12"/>
        <color indexed="8"/>
        <rFont val="Tahoma"/>
        <family val="2"/>
      </rPr>
      <t>3</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</si>
  <si>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</si>
  <si>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</si>
  <si>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</si>
  <si>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</si>
  <si>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</si>
  <si>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</si>
  <si>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</si>
  <si>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</si>
  <si>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</si>
  <si>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</si>
  <si>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</si>
  <si>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</si>
  <si>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</si>
  <si>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</si>
  <si>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</si>
  <si>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</si>
  <si>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</si>
  <si>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</si>
  <si>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</si>
  <si>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</si>
  <si>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</si>
  <si>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</si>
  <si>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</si>
  <si>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</si>
  <si>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</si>
  <si>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</si>
  <si>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</si>
  <si>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</si>
  <si>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</si>
  <si>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</si>
  <si>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</si>
  <si>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</si>
  <si>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</si>
  <si>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</si>
  <si>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</si>
  <si>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</si>
  <si>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</si>
  <si>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</si>
  <si>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</si>
  <si>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</si>
  <si>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</si>
  <si>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</si>
  <si>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</si>
  <si>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</si>
  <si>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</si>
  <si>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</si>
  <si>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</si>
  <si>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</si>
  <si>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</si>
  <si>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2202</t>
    </r>
    <r>
      <rPr>
        <sz val="12"/>
        <color indexed="8"/>
        <rFont val="宋体"/>
        <family val="3"/>
        <charset val="134"/>
      </rPr>
      <t>室</t>
    </r>
  </si>
  <si>
    <r>
      <rPr>
        <sz val="12"/>
        <color rgb="FFFF0000"/>
        <rFont val="Tahoma"/>
        <family val="2"/>
      </rPr>
      <t>12</t>
    </r>
    <r>
      <rPr>
        <sz val="12"/>
        <color rgb="FFFF0000"/>
        <rFont val="宋体"/>
        <family val="3"/>
        <charset val="134"/>
      </rPr>
      <t>幢</t>
    </r>
    <r>
      <rPr>
        <sz val="12"/>
        <color rgb="FFFF0000"/>
        <rFont val="Tahoma"/>
        <family val="2"/>
      </rPr>
      <t>1</t>
    </r>
    <r>
      <rPr>
        <sz val="12"/>
        <color rgb="FFFF0000"/>
        <rFont val="宋体"/>
        <family val="3"/>
        <charset val="134"/>
      </rPr>
      <t>单元</t>
    </r>
    <r>
      <rPr>
        <sz val="12"/>
        <color rgb="FFFF0000"/>
        <rFont val="Tahoma"/>
        <family val="2"/>
      </rPr>
      <t>2302</t>
    </r>
    <r>
      <rPr>
        <sz val="12"/>
        <color rgb="FFFF0000"/>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</si>
  <si>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</si>
  <si>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</si>
  <si>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</si>
  <si>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</si>
  <si>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</si>
  <si>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</si>
  <si>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</si>
  <si>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</si>
  <si>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</si>
  <si>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</si>
  <si>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</si>
  <si>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</si>
  <si>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</si>
  <si>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</si>
  <si>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</si>
  <si>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</si>
  <si>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</si>
  <si>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</si>
  <si>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</si>
  <si>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</si>
  <si>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</si>
  <si>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</si>
  <si>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</si>
  <si>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</si>
  <si>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</si>
  <si>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</si>
  <si>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</si>
  <si>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</si>
  <si>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</si>
  <si>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</si>
  <si>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</si>
  <si>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</si>
  <si>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</si>
  <si>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</si>
  <si>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</si>
  <si>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</si>
  <si>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</si>
  <si>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</si>
  <si>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</si>
  <si>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</si>
  <si>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</si>
  <si>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</si>
  <si>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</si>
  <si>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</si>
  <si>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</si>
  <si>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</si>
  <si>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</si>
  <si>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</si>
  <si>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</si>
  <si>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</si>
  <si>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3004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</si>
  <si>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</si>
  <si>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</si>
  <si>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</si>
  <si>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</si>
  <si>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</si>
  <si>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</si>
  <si>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</si>
  <si>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</si>
  <si>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</si>
  <si>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</si>
  <si>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</si>
  <si>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</si>
  <si>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</si>
  <si>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</si>
  <si>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3001</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</si>
  <si>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</si>
  <si>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</si>
  <si>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</si>
  <si>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</si>
  <si>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</si>
  <si>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</si>
  <si>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</si>
  <si>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</si>
  <si>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</si>
  <si>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</si>
  <si>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</si>
  <si>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</si>
  <si>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</si>
  <si>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</si>
  <si>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</si>
  <si>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</si>
  <si>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</si>
  <si>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</si>
  <si>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</si>
  <si>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</si>
  <si>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</si>
  <si>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</si>
  <si>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</si>
  <si>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</si>
  <si>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</si>
  <si>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</si>
  <si>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</si>
  <si>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</si>
  <si>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3002</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</si>
  <si>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</si>
  <si>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</si>
  <si>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</si>
  <si>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</si>
  <si>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</si>
  <si>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</si>
  <si>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</si>
  <si>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</si>
  <si>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</si>
  <si>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</si>
  <si>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</si>
  <si>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</si>
  <si>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</si>
  <si>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</si>
  <si>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</si>
  <si>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</si>
  <si>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</si>
  <si>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</si>
  <si>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</si>
  <si>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</si>
  <si>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</si>
  <si>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</si>
  <si>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</si>
  <si>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</si>
  <si>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</si>
  <si>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</si>
  <si>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</si>
  <si>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</si>
  <si>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3003</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</si>
  <si>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</si>
  <si>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</si>
  <si>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</si>
  <si>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</si>
  <si>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</si>
  <si>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</si>
  <si>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</si>
  <si>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</si>
  <si>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</si>
  <si>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1104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</si>
  <si>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</si>
  <si>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</si>
  <si>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</si>
  <si>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</si>
  <si>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</si>
  <si>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</si>
  <si>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</si>
  <si>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1904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</si>
  <si>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2004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</si>
  <si>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2104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</si>
  <si>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2204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</si>
  <si>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2304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</si>
  <si>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2404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</si>
  <si>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2504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</si>
  <si>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2604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</si>
  <si>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2704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</si>
  <si>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2804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</si>
  <si>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2904</t>
    </r>
    <r>
      <rPr>
        <sz val="12"/>
        <color indexed="8"/>
        <rFont val="宋体"/>
        <family val="3"/>
        <charset val="134"/>
      </rPr>
      <t>室</t>
    </r>
  </si>
  <si>
    <r>
      <rPr>
        <sz val="12"/>
        <color indexed="8"/>
        <rFont val="Tahoma"/>
        <family val="2"/>
      </rPr>
      <t>12</t>
    </r>
    <r>
      <rPr>
        <sz val="12"/>
        <color indexed="8"/>
        <rFont val="宋体"/>
        <family val="3"/>
        <charset val="134"/>
      </rPr>
      <t>幢</t>
    </r>
    <r>
      <rPr>
        <sz val="12"/>
        <color indexed="8"/>
        <rFont val="Tahoma"/>
        <family val="2"/>
      </rPr>
      <t>2</t>
    </r>
    <r>
      <rPr>
        <sz val="12"/>
        <color indexed="8"/>
        <rFont val="宋体"/>
        <family val="3"/>
        <charset val="134"/>
      </rPr>
      <t>单元</t>
    </r>
    <r>
      <rPr>
        <sz val="12"/>
        <color indexed="8"/>
        <rFont val="Tahoma"/>
        <family val="2"/>
      </rPr>
      <t>3004</t>
    </r>
    <r>
      <rPr>
        <sz val="12"/>
        <color indexed="8"/>
        <rFont val="宋体"/>
        <family val="3"/>
        <charset val="134"/>
      </rPr>
      <t>室</t>
    </r>
  </si>
  <si>
    <t>南北西</t>
    <phoneticPr fontId="208" type="noConversion"/>
  </si>
  <si>
    <t>南北东</t>
    <phoneticPr fontId="208" type="noConversion"/>
  </si>
  <si>
    <t>南北西</t>
    <phoneticPr fontId="208" type="noConversion"/>
  </si>
  <si>
    <t>南北东</t>
    <phoneticPr fontId="33" type="noConversion"/>
  </si>
  <si>
    <t>南北西</t>
    <phoneticPr fontId="33" type="noConversion"/>
  </si>
  <si>
    <t>南北</t>
    <phoneticPr fontId="33" type="noConversion"/>
  </si>
  <si>
    <t>南</t>
    <phoneticPr fontId="33" type="noConversion"/>
  </si>
  <si>
    <t>低1-10</t>
  </si>
  <si>
    <t>低1-10</t>
    <phoneticPr fontId="33" type="noConversion"/>
  </si>
  <si>
    <t>高21-30</t>
  </si>
  <si>
    <t>中11-20</t>
  </si>
  <si>
    <t>土地面积</t>
    <phoneticPr fontId="208" type="noConversion"/>
  </si>
  <si>
    <r>
      <t>8</t>
    </r>
    <r>
      <rPr>
        <sz val="12"/>
        <color indexed="8"/>
        <rFont val="宋体"/>
        <family val="3"/>
        <charset val="134"/>
      </rPr>
      <t>幢</t>
    </r>
    <r>
      <rPr>
        <sz val="12"/>
        <color indexed="8"/>
        <rFont val="Tahoma"/>
        <family val="2"/>
      </rPr>
      <t>1</t>
    </r>
    <r>
      <rPr>
        <sz val="12"/>
        <color indexed="8"/>
        <rFont val="宋体"/>
        <family val="3"/>
        <charset val="134"/>
      </rPr>
      <t>单元</t>
    </r>
    <r>
      <rPr>
        <sz val="12"/>
        <color indexed="8"/>
        <rFont val="Tahoma"/>
        <family val="2"/>
      </rPr>
      <t>204</t>
    </r>
    <r>
      <rPr>
        <sz val="12"/>
        <color indexed="8"/>
        <rFont val="宋体"/>
        <family val="3"/>
        <charset val="134"/>
      </rPr>
      <t>室</t>
    </r>
    <phoneticPr fontId="208" type="noConversion"/>
  </si>
  <si>
    <t>土地面积</t>
    <phoneticPr fontId="208" type="noConversion"/>
  </si>
  <si>
    <t>建筑面积</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</si>
  <si>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0033153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</si>
  <si>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0033077</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</si>
  <si>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0032849</t>
    </r>
    <r>
      <rPr>
        <sz val="12"/>
        <color indexed="8"/>
        <rFont val="宋体"/>
        <family val="3"/>
        <charset val="134"/>
      </rPr>
      <t>号</t>
    </r>
    <phoneticPr fontId="208" type="noConversion"/>
  </si>
  <si>
    <t>浙（2016）余杭区不动产权第0032354号</t>
    <phoneticPr fontId="208" type="noConversion"/>
  </si>
  <si>
    <t>浙（2016）余杭区不动产权第0032207号</t>
    <phoneticPr fontId="208" type="noConversion"/>
  </si>
  <si>
    <t>浙（2016）余杭区不动产权第0032540号</t>
    <phoneticPr fontId="208" type="noConversion"/>
  </si>
  <si>
    <t>浙（2016）余杭区不动产权第0032388号</t>
    <phoneticPr fontId="208" type="noConversion"/>
  </si>
  <si>
    <t>浙（2016）余杭区不动产权第0032237号</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</si>
  <si>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0033333</t>
    </r>
    <r>
      <rPr>
        <sz val="12"/>
        <color indexed="8"/>
        <rFont val="宋体"/>
        <family val="3"/>
        <charset val="134"/>
      </rPr>
      <t>号</t>
    </r>
    <phoneticPr fontId="208" type="noConversion"/>
  </si>
  <si>
    <t>浙（2016）余杭区不动产权第0032153号</t>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</si>
  <si>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0033343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</si>
  <si>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0033345</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</si>
  <si>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0032808</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</si>
  <si>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0033279</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</si>
  <si>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0033276</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</si>
  <si>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）余杭区不动产权第</t>
    </r>
    <r>
      <rPr>
        <sz val="12"/>
        <color indexed="8"/>
        <rFont val="Tahoma"/>
        <family val="2"/>
      </rPr>
      <t>0033189</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</si>
  <si>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0033135</t>
    </r>
    <r>
      <rPr>
        <sz val="12"/>
        <color indexed="8"/>
        <rFont val="宋体"/>
        <family val="3"/>
        <charset val="134"/>
      </rPr>
      <t>号</t>
    </r>
    <phoneticPr fontId="208" type="noConversion"/>
  </si>
  <si>
    <t>浙（2017）余杭区不动产权第0099283号</t>
    <phoneticPr fontId="208" type="noConversion"/>
  </si>
  <si>
    <t>浙（2017）余杭区不动产权第号</t>
  </si>
  <si>
    <t>浙（2017）余杭区不动产权第0099210号</t>
    <phoneticPr fontId="208" type="noConversion"/>
  </si>
  <si>
    <t>浙（2017）余杭区不动产权第0099365号</t>
    <phoneticPr fontId="208" type="noConversion"/>
  </si>
  <si>
    <t>浙（2017）余杭区不动产权第0099289号</t>
    <phoneticPr fontId="208" type="noConversion"/>
  </si>
  <si>
    <t>浙（2017）余杭区不动产权第0099317号</t>
    <phoneticPr fontId="208" type="noConversion"/>
  </si>
  <si>
    <t>浙（2017）余杭区不动产权第0099332号</t>
    <phoneticPr fontId="208" type="noConversion"/>
  </si>
  <si>
    <t>浙（2017）余杭区不动产权第0099359号</t>
    <phoneticPr fontId="208" type="noConversion"/>
  </si>
  <si>
    <t>浙（2017）余杭区不动产权第0099285号</t>
    <phoneticPr fontId="208" type="noConversion"/>
  </si>
  <si>
    <t>浙（2017）余杭区不动产权第0099206号</t>
    <phoneticPr fontId="208" type="noConversion"/>
  </si>
  <si>
    <t>浙（2017）余杭区不动产权第0099212号</t>
    <phoneticPr fontId="208" type="noConversion"/>
  </si>
  <si>
    <t>浙（2017）余杭区不动产权第0099286号</t>
    <phoneticPr fontId="208" type="noConversion"/>
  </si>
  <si>
    <t>浙（2017）余杭区不动产权第0099291号</t>
    <phoneticPr fontId="208" type="noConversion"/>
  </si>
  <si>
    <t>浙（2017）余杭区不动产权第0099501号</t>
    <phoneticPr fontId="208" type="noConversion"/>
  </si>
  <si>
    <t>浙（2017）余杭区不动产权第0099379号</t>
    <phoneticPr fontId="208" type="noConversion"/>
  </si>
  <si>
    <t>浙（2017）余杭区不动产权第0099488号</t>
    <phoneticPr fontId="208" type="noConversion"/>
  </si>
  <si>
    <t>浙（2017）余杭区不动产权第0099463号</t>
    <phoneticPr fontId="208" type="noConversion"/>
  </si>
  <si>
    <t>浙（2017）余杭区不动产权第0099507号</t>
    <phoneticPr fontId="208" type="noConversion"/>
  </si>
  <si>
    <t>浙（2017）余杭区不动产权第0099521号</t>
    <phoneticPr fontId="208" type="noConversion"/>
  </si>
  <si>
    <t>浙（2017）余杭区不动产权第0099450号</t>
    <phoneticPr fontId="208" type="noConversion"/>
  </si>
  <si>
    <t>浙（2017）余杭区不动产权第0099471号</t>
    <phoneticPr fontId="208" type="noConversion"/>
  </si>
  <si>
    <t>浙（2017）余杭区不动产权第0099399号</t>
    <phoneticPr fontId="208" type="noConversion"/>
  </si>
  <si>
    <t>浙（2017）余杭区不动产权第0099492号</t>
    <phoneticPr fontId="208" type="noConversion"/>
  </si>
  <si>
    <t>浙（2017）余杭区不动产权第0099394号</t>
    <phoneticPr fontId="208" type="noConversion"/>
  </si>
  <si>
    <t>浙（2017）余杭区不动产权第0099483号</t>
    <phoneticPr fontId="208" type="noConversion"/>
  </si>
  <si>
    <t>浙（2017）余杭区不动产权第0099411号</t>
    <phoneticPr fontId="208" type="noConversion"/>
  </si>
  <si>
    <t>浙（2017）余杭区不动产权第0099452号</t>
    <phoneticPr fontId="208" type="noConversion"/>
  </si>
  <si>
    <t>浙（2017）余杭区不动产权第0099377号</t>
    <phoneticPr fontId="208" type="noConversion"/>
  </si>
  <si>
    <t>浙（2017）余杭区不动产权第0099376号</t>
    <phoneticPr fontId="208" type="noConversion"/>
  </si>
  <si>
    <t>浙（2017）余杭区不动产权第0099462号</t>
    <phoneticPr fontId="208" type="noConversion"/>
  </si>
  <si>
    <t>浙（2017）余杭区不动产权第0099397号</t>
    <phoneticPr fontId="208" type="noConversion"/>
  </si>
  <si>
    <t>浙（2017）余杭区不动产权第0099485号</t>
    <phoneticPr fontId="208" type="noConversion"/>
  </si>
  <si>
    <t>浙（2017）余杭区不动产权第0099391号</t>
    <phoneticPr fontId="208" type="noConversion"/>
  </si>
  <si>
    <t>浙（2017）余杭区不动产权第0099402号</t>
    <phoneticPr fontId="208" type="noConversion"/>
  </si>
  <si>
    <t>浙（2017）余杭区不动产权第0099440号</t>
    <phoneticPr fontId="208" type="noConversion"/>
  </si>
  <si>
    <t>浙（2017）余杭区不动产权第0099491号</t>
    <phoneticPr fontId="208" type="noConversion"/>
  </si>
  <si>
    <t>浙（2017）余杭区不动产权第0099388号</t>
    <phoneticPr fontId="208" type="noConversion"/>
  </si>
  <si>
    <t>浙（2017）余杭区不动产权第0099433号</t>
    <phoneticPr fontId="208" type="noConversion"/>
  </si>
  <si>
    <t>浙（2017）余杭区不动产权第0099531号</t>
    <phoneticPr fontId="208" type="noConversion"/>
  </si>
  <si>
    <t>浙（2017）余杭区不动产权第0099466号</t>
    <phoneticPr fontId="208" type="noConversion"/>
  </si>
  <si>
    <t>浙（2017）余杭区不动产权第0099456号</t>
    <phoneticPr fontId="208" type="noConversion"/>
  </si>
  <si>
    <t>浙（2017）余杭区不动产权第0099504号</t>
    <phoneticPr fontId="208" type="noConversion"/>
  </si>
  <si>
    <t>浙（2017）余杭区不动产权第0099381号</t>
    <phoneticPr fontId="208" type="noConversion"/>
  </si>
  <si>
    <t>浙（2017）余杭区不动产权第0099410号</t>
    <phoneticPr fontId="208" type="noConversion"/>
  </si>
  <si>
    <t>浙（2017）余杭区不动产权第0099434号</t>
    <phoneticPr fontId="208" type="noConversion"/>
  </si>
  <si>
    <t>浙（2017）余杭区不动产权第0099514号</t>
    <phoneticPr fontId="208" type="noConversion"/>
  </si>
  <si>
    <t>浙（2017）余杭区不动产权第0099495号</t>
    <phoneticPr fontId="208" type="noConversion"/>
  </si>
  <si>
    <t>浙（2017）余杭区不动产权第0099528号</t>
    <phoneticPr fontId="208" type="noConversion"/>
  </si>
  <si>
    <t>浙（2017）余杭区不动产权第0099481号</t>
    <phoneticPr fontId="208" type="noConversion"/>
  </si>
  <si>
    <t>浙（2017）余杭区不动产权第0099490号</t>
    <phoneticPr fontId="208" type="noConversion"/>
  </si>
  <si>
    <t>浙（2017）余杭区不动产权第0099526号</t>
    <phoneticPr fontId="208" type="noConversion"/>
  </si>
  <si>
    <t>浙（2017）余杭区不动产权第0099516号</t>
    <phoneticPr fontId="208" type="noConversion"/>
  </si>
  <si>
    <t>浙（2017）余杭区不动产权第0099427号</t>
    <phoneticPr fontId="208" type="noConversion"/>
  </si>
  <si>
    <t>浙（2017）余杭区不动产权第0099461号</t>
    <phoneticPr fontId="208" type="noConversion"/>
  </si>
  <si>
    <t>浙（2017）余杭区不动产权第0099442号</t>
    <phoneticPr fontId="208" type="noConversion"/>
  </si>
  <si>
    <t>浙（2017）余杭区不动产权第0099464号</t>
    <phoneticPr fontId="208" type="noConversion"/>
  </si>
  <si>
    <t>浙（2017）余杭区不动产权第0099479号</t>
    <phoneticPr fontId="208" type="noConversion"/>
  </si>
  <si>
    <t>浙（2017）余杭区不动产权第0099505号</t>
    <phoneticPr fontId="208" type="noConversion"/>
  </si>
  <si>
    <t>浙（2017）余杭区不动产权第0099500号</t>
    <phoneticPr fontId="208" type="noConversion"/>
  </si>
  <si>
    <t>浙（2017）余杭区不动产权第号</t>
    <phoneticPr fontId="208" type="noConversion"/>
  </si>
  <si>
    <t>浙（2017）余杭区不动产权第0099520号</t>
    <phoneticPr fontId="208" type="noConversion"/>
  </si>
  <si>
    <t>浙（2017）余杭区不动产权第0099510号</t>
    <phoneticPr fontId="208" type="noConversion"/>
  </si>
  <si>
    <t>浙（2017）余杭区不动产权第0099439号</t>
    <phoneticPr fontId="208" type="noConversion"/>
  </si>
  <si>
    <t>浙（2017）余杭区不动产权第0099534号</t>
    <phoneticPr fontId="208" type="noConversion"/>
  </si>
  <si>
    <t>浙（2017）余杭区不动产权第0099414号</t>
    <phoneticPr fontId="208" type="noConversion"/>
  </si>
  <si>
    <t>浙（2017）余杭区不动产权第0099506号</t>
    <phoneticPr fontId="208" type="noConversion"/>
  </si>
  <si>
    <t>浙（2017）余杭区不动产权第0099467号</t>
    <phoneticPr fontId="208" type="noConversion"/>
  </si>
  <si>
    <t>浙（2017）余杭区不动产权第0099386号</t>
    <phoneticPr fontId="208" type="noConversion"/>
  </si>
  <si>
    <t>浙（2017）余杭区不动产权第0099437号</t>
    <phoneticPr fontId="208" type="noConversion"/>
  </si>
  <si>
    <t>浙（2017）余杭区不动产权第0099413号</t>
    <phoneticPr fontId="208" type="noConversion"/>
  </si>
  <si>
    <t>浙（2017）余杭区不动产权第0099444号</t>
    <phoneticPr fontId="208" type="noConversion"/>
  </si>
  <si>
    <t>浙（2017）余杭区不动产权第0099465号</t>
    <phoneticPr fontId="208" type="noConversion"/>
  </si>
  <si>
    <t>浙（2017）余杭区不动产权第0099497号</t>
    <phoneticPr fontId="208" type="noConversion"/>
  </si>
  <si>
    <t>浙（2017）余杭区不动产权第0099487号</t>
    <phoneticPr fontId="208" type="noConversion"/>
  </si>
  <si>
    <t>浙（2017）余杭区不动产权第0099405号</t>
    <phoneticPr fontId="208" type="noConversion"/>
  </si>
  <si>
    <t>浙（2017）余杭区不动产权第0099424号</t>
    <phoneticPr fontId="208" type="noConversion"/>
  </si>
  <si>
    <t>浙（2017）余杭区不动产权第0099454号</t>
    <phoneticPr fontId="208" type="noConversion"/>
  </si>
  <si>
    <t>浙（2017）余杭区不动产权第0099395号</t>
    <phoneticPr fontId="208" type="noConversion"/>
  </si>
  <si>
    <t>浙（2017）余杭区不动产权第0099393号</t>
    <phoneticPr fontId="208" type="noConversion"/>
  </si>
  <si>
    <t>浙（2017）余杭区不动产权第0099447号</t>
    <phoneticPr fontId="208" type="noConversion"/>
  </si>
  <si>
    <t>浙（2017）余杭区不动产权第0099429号</t>
    <phoneticPr fontId="208" type="noConversion"/>
  </si>
  <si>
    <t>浙（2017）余杭区不动产权第0099375号</t>
    <phoneticPr fontId="208" type="noConversion"/>
  </si>
  <si>
    <t>浙（2017）余杭区不动产权第0099426号</t>
    <phoneticPr fontId="208" type="noConversion"/>
  </si>
  <si>
    <t>浙（2017）余杭区不动产权第0099387号</t>
    <phoneticPr fontId="208" type="noConversion"/>
  </si>
  <si>
    <t>浙（2017）余杭区不动产权第0099419号</t>
    <phoneticPr fontId="208" type="noConversion"/>
  </si>
  <si>
    <t>浙（2017）余杭区不动产权第0099469号</t>
    <phoneticPr fontId="208" type="noConversion"/>
  </si>
  <si>
    <t>浙（2017）余杭区不动产权第0099496号</t>
    <phoneticPr fontId="208" type="noConversion"/>
  </si>
  <si>
    <t>浙（2017）余杭区不动产权第0099392号</t>
    <phoneticPr fontId="208" type="noConversion"/>
  </si>
  <si>
    <t>浙（2017）余杭区不动产权第0099480号</t>
    <phoneticPr fontId="208" type="noConversion"/>
  </si>
  <si>
    <t>浙（2017）余杭区不动产权第0099451号</t>
    <phoneticPr fontId="208" type="noConversion"/>
  </si>
  <si>
    <t>浙（2017）余杭区不动产权第0099473号</t>
    <phoneticPr fontId="208" type="noConversion"/>
  </si>
  <si>
    <t>浙（2017）余杭区不动产权第0099441号</t>
    <phoneticPr fontId="208" type="noConversion"/>
  </si>
  <si>
    <t>浙（2017）余杭区不动产权第0099523号</t>
    <phoneticPr fontId="208" type="noConversion"/>
  </si>
  <si>
    <t>浙（2017）余杭区不动产权第0099525号</t>
    <phoneticPr fontId="208" type="noConversion"/>
  </si>
  <si>
    <t>浙（2017）余杭区不动产权第0099404号</t>
    <phoneticPr fontId="208" type="noConversion"/>
  </si>
  <si>
    <t>浙（2017）余杭区不动产权第0099448号</t>
    <phoneticPr fontId="208" type="noConversion"/>
  </si>
  <si>
    <t>浙（2017）余杭区不动产权第0099532号</t>
    <phoneticPr fontId="208" type="noConversion"/>
  </si>
  <si>
    <t>浙（2017）余杭区不动产权第0099407号</t>
    <phoneticPr fontId="208" type="noConversion"/>
  </si>
  <si>
    <t>浙（2017）余杭区不动产权第0099430号</t>
    <phoneticPr fontId="208" type="noConversion"/>
  </si>
  <si>
    <t>浙（2017）余杭区不动产权第0099412号</t>
    <phoneticPr fontId="208" type="noConversion"/>
  </si>
  <si>
    <t>浙（2017）余杭区不动产权第0099438号</t>
    <phoneticPr fontId="208" type="noConversion"/>
  </si>
  <si>
    <t>浙（2017）余杭区不动产权第0099519号</t>
    <phoneticPr fontId="208" type="noConversion"/>
  </si>
  <si>
    <t>浙（2017）余杭区不动产权第0099494号</t>
    <phoneticPr fontId="208" type="noConversion"/>
  </si>
  <si>
    <t>浙（2017）余杭区不动产权第0099383号</t>
    <phoneticPr fontId="208" type="noConversion"/>
  </si>
  <si>
    <t>浙（2017）余杭区不动产权第0099380号</t>
    <phoneticPr fontId="208" type="noConversion"/>
  </si>
  <si>
    <t>浙（2017）余杭区不动产权第0099425号</t>
    <phoneticPr fontId="208" type="noConversion"/>
  </si>
  <si>
    <t>浙（2017）余杭区不动产权第0099423号</t>
    <phoneticPr fontId="208" type="noConversion"/>
  </si>
  <si>
    <t>浙（2017）余杭区不动产权第0099418号</t>
    <phoneticPr fontId="208" type="noConversion"/>
  </si>
  <si>
    <t>浙（2017）余杭区不动产权第0099533号</t>
    <phoneticPr fontId="208" type="noConversion"/>
  </si>
  <si>
    <t>浙（2017）余杭区不动产权第0099515号</t>
    <phoneticPr fontId="208" type="noConversion"/>
  </si>
  <si>
    <t>浙（2017）余杭区不动产权第0099498号</t>
    <phoneticPr fontId="208" type="noConversion"/>
  </si>
  <si>
    <t>浙（2017）余杭区不动产权第0099517号</t>
    <phoneticPr fontId="208" type="noConversion"/>
  </si>
  <si>
    <t>浙（2017）余杭区不动产权第0099398号</t>
    <phoneticPr fontId="208" type="noConversion"/>
  </si>
  <si>
    <t>浙（2017）余杭区不动产权第0099420号</t>
    <phoneticPr fontId="208" type="noConversion"/>
  </si>
  <si>
    <t>浙（2017）余杭区不动产权第0099468号</t>
    <phoneticPr fontId="208" type="noConversion"/>
  </si>
  <si>
    <t>浙（2017）余杭区不动产权第0099503号</t>
    <phoneticPr fontId="208" type="noConversion"/>
  </si>
  <si>
    <t>浙（2017）余杭区不动产权第0099384号</t>
    <phoneticPr fontId="208" type="noConversion"/>
  </si>
  <si>
    <t>浙（2017）余杭区不动产权第0099421号</t>
    <phoneticPr fontId="208" type="noConversion"/>
  </si>
  <si>
    <t>浙（2017）余杭区不动产权第0099446号</t>
    <phoneticPr fontId="208" type="noConversion"/>
  </si>
  <si>
    <t>浙（2017）余杭区不动产权第0099474号</t>
    <phoneticPr fontId="208" type="noConversion"/>
  </si>
  <si>
    <t>浙（2017）余杭区不动产权第0099445号</t>
    <phoneticPr fontId="208" type="noConversion"/>
  </si>
  <si>
    <t>浙（2017）余杭区不动产权第0099385号</t>
    <phoneticPr fontId="208" type="noConversion"/>
  </si>
  <si>
    <t>浙（2017）余杭区不动产权第0099529号</t>
    <phoneticPr fontId="208" type="noConversion"/>
  </si>
  <si>
    <t>浙（2017）余杭区不动产权第0099378号</t>
    <phoneticPr fontId="208" type="noConversion"/>
  </si>
  <si>
    <t>浙（2017）余杭区不动产权第0099409号</t>
    <phoneticPr fontId="208" type="noConversion"/>
  </si>
  <si>
    <t>浙（2017）余杭区不动产权第0099406号</t>
    <phoneticPr fontId="208" type="noConversion"/>
  </si>
  <si>
    <t>浙（2017）余杭区不动产权第0099435号</t>
    <phoneticPr fontId="208" type="noConversion"/>
  </si>
  <si>
    <t>浙（2017）余杭区不动产权第0099428号</t>
    <phoneticPr fontId="208" type="noConversion"/>
  </si>
  <si>
    <t>浙（2017）余杭区不动产权第0099389号</t>
    <phoneticPr fontId="208" type="noConversion"/>
  </si>
  <si>
    <t>浙（2017）余杭区不动产权第0099472号</t>
    <phoneticPr fontId="208" type="noConversion"/>
  </si>
  <si>
    <t>浙（2017）余杭区不动产权第0099499号</t>
    <phoneticPr fontId="208" type="noConversion"/>
  </si>
  <si>
    <t>浙（2017）余杭区不动产权第0099475号</t>
    <phoneticPr fontId="208" type="noConversion"/>
  </si>
  <si>
    <t>浙（2017）余杭区不动产权第0099400号</t>
    <phoneticPr fontId="208" type="noConversion"/>
  </si>
  <si>
    <t>浙（2017）余杭区不动产权第0099457号</t>
    <phoneticPr fontId="208" type="noConversion"/>
  </si>
  <si>
    <t>浙（2017）余杭区不动产权第0099477号</t>
    <phoneticPr fontId="208" type="noConversion"/>
  </si>
  <si>
    <t>浙（2017）余杭区不动产权第0099416号</t>
    <phoneticPr fontId="208" type="noConversion"/>
  </si>
  <si>
    <t>浙（2017）余杭区不动产权第0099455号</t>
    <phoneticPr fontId="208" type="noConversion"/>
  </si>
  <si>
    <t>浙（2017）余杭区不动产权第0099524号</t>
    <phoneticPr fontId="208" type="noConversion"/>
  </si>
  <si>
    <t>浙（2017）余杭区不动产权第0099396号</t>
    <phoneticPr fontId="208" type="noConversion"/>
  </si>
  <si>
    <t>浙（2017）余杭区不动产权第0099511号</t>
    <phoneticPr fontId="208" type="noConversion"/>
  </si>
  <si>
    <t>浙（2017）余杭区不动产权第0099443号</t>
    <phoneticPr fontId="208" type="noConversion"/>
  </si>
  <si>
    <t>浙（2017）余杭区不动产权第0099460号</t>
    <phoneticPr fontId="208" type="noConversion"/>
  </si>
  <si>
    <t>浙（2017）余杭区不动产权第0099508号</t>
    <phoneticPr fontId="208" type="noConversion"/>
  </si>
  <si>
    <t>浙（2017）余杭区不动产权第0099482号</t>
    <phoneticPr fontId="208" type="noConversion"/>
  </si>
  <si>
    <t>浙（2017）余杭区不动产权第0099453号</t>
    <phoneticPr fontId="208" type="noConversion"/>
  </si>
  <si>
    <t>浙（2017）余杭区不动产权第0099417号</t>
    <phoneticPr fontId="208" type="noConversion"/>
  </si>
  <si>
    <t>浙（2017）余杭区不动产权第0099436号</t>
    <phoneticPr fontId="208" type="noConversion"/>
  </si>
  <si>
    <t>浙（2017）余杭区不动产权第0099518号</t>
    <phoneticPr fontId="208" type="noConversion"/>
  </si>
  <si>
    <t>浙（2017）余杭区不动产权第0099522号</t>
    <phoneticPr fontId="208" type="noConversion"/>
  </si>
  <si>
    <t>浙（2017）余杭区不动产权第0099527号</t>
    <phoneticPr fontId="208" type="noConversion"/>
  </si>
  <si>
    <t>浙（2017）余杭区不动产权第0099422号</t>
    <phoneticPr fontId="208" type="noConversion"/>
  </si>
  <si>
    <t>浙（2017）余杭区不动产权第0099502号</t>
    <phoneticPr fontId="208" type="noConversion"/>
  </si>
  <si>
    <t>浙（2017）余杭区不动产权第0099382号</t>
    <phoneticPr fontId="208" type="noConversion"/>
  </si>
  <si>
    <t>浙（2017）余杭区不动产权第0099509号</t>
    <phoneticPr fontId="208" type="noConversion"/>
  </si>
  <si>
    <t>浙（2017）余杭区不动产权第0099484号</t>
    <phoneticPr fontId="208" type="noConversion"/>
  </si>
  <si>
    <t>浙（2017）余杭区不动产权第0099530号</t>
    <phoneticPr fontId="208" type="noConversion"/>
  </si>
  <si>
    <t>浙（2017）余杭区不动产权第0099489号</t>
    <phoneticPr fontId="208" type="noConversion"/>
  </si>
  <si>
    <t>浙（2017）余杭区不动产权第0099449号</t>
    <phoneticPr fontId="208" type="noConversion"/>
  </si>
  <si>
    <t>浙（2017）余杭区不动产权第0099431号</t>
    <phoneticPr fontId="208" type="noConversion"/>
  </si>
  <si>
    <t>浙（2017）余杭区不动产权第0099390号</t>
    <phoneticPr fontId="208" type="noConversion"/>
  </si>
  <si>
    <t>浙（2017）余杭区不动产权第0099408号</t>
    <phoneticPr fontId="208" type="noConversion"/>
  </si>
  <si>
    <t>浙（2017）余杭区不动产权第0099513号</t>
    <phoneticPr fontId="208" type="noConversion"/>
  </si>
  <si>
    <t>浙（2017）余杭区不动产权第0099493号</t>
    <phoneticPr fontId="208" type="noConversion"/>
  </si>
  <si>
    <t>浙（2017）余杭区不动产权第0099415号</t>
    <phoneticPr fontId="208" type="noConversion"/>
  </si>
  <si>
    <t>浙（2017）余杭区不动产权第0099403号</t>
    <phoneticPr fontId="208" type="noConversion"/>
  </si>
  <si>
    <t>浙（2017）余杭区不动产权第0099512号</t>
    <phoneticPr fontId="208" type="noConversion"/>
  </si>
  <si>
    <t>浙（2017）余杭区不动产权第0099459号</t>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</si>
  <si>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0099809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</si>
  <si>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</si>
  <si>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0099873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</si>
  <si>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</si>
  <si>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</si>
  <si>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</si>
  <si>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</si>
  <si>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0099687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</si>
  <si>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</si>
  <si>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0099690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</si>
  <si>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0099844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</si>
  <si>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</si>
  <si>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0099883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</si>
  <si>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0099713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</si>
  <si>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0099627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</si>
  <si>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</si>
  <si>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0099631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</si>
  <si>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</si>
  <si>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0099719</t>
    </r>
    <r>
      <rPr>
        <sz val="12"/>
        <color indexed="8"/>
        <rFont val="宋体"/>
        <family val="3"/>
        <charset val="134"/>
      </rPr>
      <t>号</t>
    </r>
    <phoneticPr fontId="208" type="noConversion"/>
  </si>
  <si>
    <r>
      <rPr>
        <sz val="12"/>
        <rFont val="宋体"/>
        <family val="3"/>
        <charset val="134"/>
      </rPr>
      <t>浙（</t>
    </r>
    <r>
      <rPr>
        <sz val="12"/>
        <rFont val="Tahoma"/>
        <family val="2"/>
      </rPr>
      <t>2017）余杭区不动产权第号</t>
    </r>
    <r>
      <rPr>
        <sz val="12"/>
        <rFont val="宋体"/>
        <family val="3"/>
        <charset val="134"/>
      </rPr>
      <t/>
    </r>
  </si>
  <si>
    <r>
      <rPr>
        <sz val="12"/>
        <color indexed="8"/>
        <rFont val="宋体"/>
        <family val="3"/>
        <charset val="134"/>
      </rPr>
      <t>浙（</t>
    </r>
    <r>
      <rPr>
        <sz val="12"/>
        <color indexed="8"/>
        <rFont val="Tahoma"/>
        <family val="2"/>
      </rPr>
      <t>2017）余杭区不动产权第号</t>
    </r>
    <r>
      <rPr>
        <sz val="12"/>
        <color indexed="8"/>
        <rFont val="宋体"/>
        <family val="3"/>
        <charset val="134"/>
      </rPr>
      <t/>
    </r>
  </si>
  <si>
    <r>
      <rPr>
        <sz val="12"/>
        <rFont val="宋体"/>
        <family val="3"/>
        <charset val="134"/>
      </rPr>
      <t>浙（</t>
    </r>
    <r>
      <rPr>
        <sz val="12"/>
        <rFont val="Tahoma"/>
        <family val="2"/>
      </rPr>
      <t>2017</t>
    </r>
    <r>
      <rPr>
        <sz val="12"/>
        <rFont val="宋体"/>
        <family val="3"/>
        <charset val="134"/>
      </rPr>
      <t>）余杭区不动产权第</t>
    </r>
    <r>
      <rPr>
        <sz val="12"/>
        <rFont val="Tahoma"/>
        <family val="2"/>
      </rPr>
      <t>0099761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</si>
  <si>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0099798</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</si>
  <si>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0099899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</si>
  <si>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0099865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</si>
  <si>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0099869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</si>
  <si>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0099834</t>
    </r>
    <r>
      <rPr>
        <sz val="12"/>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</si>
  <si>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0099658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</si>
  <si>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0099807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</si>
  <si>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0099906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</si>
  <si>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0099810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</si>
  <si>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0099811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</si>
  <si>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0099708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</si>
  <si>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0099745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</si>
  <si>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0099639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</si>
  <si>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0099793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</si>
  <si>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0099855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</si>
  <si>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0099842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</si>
  <si>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0099749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</si>
  <si>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0099752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</si>
  <si>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0099678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</si>
  <si>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0099886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</si>
  <si>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0099825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</si>
  <si>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0099895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</si>
  <si>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0099697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</si>
  <si>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</si>
  <si>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0099772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</si>
  <si>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0099704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</si>
  <si>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</si>
  <si>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0099740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</si>
  <si>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0099692</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</si>
  <si>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</si>
  <si>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</si>
  <si>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</si>
  <si>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099929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</si>
  <si>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</si>
  <si>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099966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</si>
  <si>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099923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</si>
  <si>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</si>
  <si>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</si>
  <si>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099920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</si>
  <si>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</si>
  <si>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099937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</si>
  <si>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</si>
  <si>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099915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</si>
  <si>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</si>
  <si>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099978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</si>
  <si>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099994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</si>
  <si>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</si>
  <si>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099962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</si>
  <si>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</si>
  <si>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</si>
  <si>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099933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</si>
  <si>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099917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</si>
  <si>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099969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</si>
  <si>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099932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</si>
  <si>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</si>
  <si>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</si>
  <si>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</si>
  <si>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</si>
  <si>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</si>
  <si>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</si>
  <si>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</si>
  <si>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0099926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</si>
  <si>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</si>
  <si>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</si>
  <si>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</si>
  <si>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</si>
  <si>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</si>
  <si>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</si>
  <si>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</si>
  <si>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</si>
  <si>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</si>
  <si>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</si>
  <si>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</si>
  <si>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</si>
  <si>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</si>
  <si>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</si>
  <si>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</si>
  <si>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</si>
  <si>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</si>
  <si>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</si>
  <si>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</si>
  <si>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</si>
  <si>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</si>
  <si>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</si>
  <si>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</si>
  <si>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</si>
  <si>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</si>
  <si>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</si>
  <si>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</si>
  <si>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</si>
  <si>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</si>
  <si>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</si>
  <si>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</si>
  <si>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</si>
  <si>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0100115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</si>
  <si>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</si>
  <si>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</si>
  <si>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</si>
  <si>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</si>
  <si>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</si>
  <si>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</si>
  <si>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</si>
  <si>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</si>
  <si>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</si>
  <si>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</si>
  <si>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</si>
  <si>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</si>
  <si>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</si>
  <si>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</si>
  <si>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</si>
  <si>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</si>
  <si>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</si>
  <si>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</si>
  <si>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</si>
  <si>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0099934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</si>
  <si>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</si>
  <si>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</si>
  <si>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</si>
  <si>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</si>
  <si>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</si>
  <si>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0100111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</si>
  <si>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</si>
  <si>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</si>
  <si>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</si>
  <si>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0099931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</si>
  <si>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</si>
  <si>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</si>
  <si>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</si>
  <si>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</si>
  <si>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</si>
  <si>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0099979</t>
    </r>
    <r>
      <rPr>
        <sz val="12"/>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</si>
  <si>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</si>
  <si>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0099997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</si>
  <si>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0100070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</si>
  <si>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</si>
  <si>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</si>
  <si>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</si>
  <si>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</si>
  <si>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</si>
  <si>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</si>
  <si>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0099927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</si>
  <si>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</si>
  <si>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</si>
  <si>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</si>
  <si>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0100090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</si>
  <si>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</si>
  <si>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</si>
  <si>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</si>
  <si>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</si>
  <si>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</si>
  <si>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</si>
  <si>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</si>
  <si>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</si>
  <si>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</si>
  <si>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0100079</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</si>
  <si>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</si>
  <si>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</si>
  <si>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0100068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</si>
  <si>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</si>
  <si>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</si>
  <si>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</si>
  <si>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0099914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</si>
  <si>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</si>
  <si>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</si>
  <si>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</si>
  <si>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</si>
  <si>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0099976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</si>
  <si>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</si>
  <si>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</si>
  <si>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</si>
  <si>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</si>
  <si>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0099996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</si>
  <si>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</si>
  <si>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</si>
  <si>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</si>
  <si>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</si>
  <si>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</si>
  <si>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</si>
  <si>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0099980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</si>
  <si>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</si>
  <si>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0100088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</si>
  <si>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</si>
  <si>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</si>
  <si>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0100030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</si>
  <si>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0100052</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</si>
  <si>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</si>
  <si>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</si>
  <si>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0099974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</si>
  <si>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0099953</t>
    </r>
    <r>
      <rPr>
        <sz val="12"/>
        <color indexed="8"/>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</si>
  <si>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0099963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</si>
  <si>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0100103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</si>
  <si>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0100025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</si>
  <si>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</si>
  <si>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0100044</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</si>
  <si>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</si>
  <si>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0100015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</si>
  <si>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0100022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</si>
  <si>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0099918</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</si>
  <si>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</si>
  <si>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0099950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</si>
  <si>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</si>
  <si>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</si>
  <si>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</si>
  <si>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</si>
  <si>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0100008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</si>
  <si>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</si>
  <si>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0099947</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</si>
  <si>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0100076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</si>
  <si>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</si>
  <si>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</si>
  <si>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0099982</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</si>
  <si>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0100001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</si>
  <si>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0099965</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</si>
  <si>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</si>
  <si>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0100098</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</si>
  <si>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0100106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</si>
  <si>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0100016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</si>
  <si>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</si>
  <si>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0099940</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</si>
  <si>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0099916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</si>
  <si>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0099921</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</si>
  <si>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0100110</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</si>
  <si>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0100046</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</si>
  <si>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0100041</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</si>
  <si>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0099959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</si>
  <si>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0099936</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</si>
  <si>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0100049</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</si>
  <si>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0099945</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</si>
  <si>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0100094</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</si>
  <si>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0100037</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</si>
  <si>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0100043</t>
    </r>
    <r>
      <rPr>
        <sz val="12"/>
        <rFont val="宋体"/>
        <family val="3"/>
        <charset val="134"/>
      </rPr>
      <t>号</t>
    </r>
    <phoneticPr fontId="208" type="noConversion"/>
  </si>
  <si>
    <r>
      <rPr>
        <sz val="12"/>
        <color indexed="8"/>
        <rFont val="宋体"/>
        <family val="3"/>
        <charset val="134"/>
      </rPr>
      <t>浙（</t>
    </r>
    <r>
      <rPr>
        <sz val="12"/>
        <color indexed="8"/>
        <rFont val="Tahoma"/>
        <family val="2"/>
      </rPr>
      <t>2017</t>
    </r>
    <r>
      <rPr>
        <sz val="12"/>
        <color indexed="8"/>
        <rFont val="宋体"/>
        <family val="3"/>
        <charset val="134"/>
      </rPr>
      <t>）余杭区不动产权第</t>
    </r>
    <r>
      <rPr>
        <sz val="12"/>
        <color indexed="8"/>
        <rFont val="Tahoma"/>
        <family val="2"/>
      </rPr>
      <t>0100063</t>
    </r>
    <r>
      <rPr>
        <sz val="12"/>
        <color indexed="8"/>
        <rFont val="宋体"/>
        <family val="3"/>
        <charset val="134"/>
      </rPr>
      <t>号</t>
    </r>
    <phoneticPr fontId="208" type="noConversion"/>
  </si>
  <si>
    <r>
      <rPr>
        <sz val="12"/>
        <rFont val="宋体"/>
        <family val="3"/>
        <charset val="134"/>
      </rPr>
      <t>浙（</t>
    </r>
    <r>
      <rPr>
        <sz val="12"/>
        <rFont val="Tahoma"/>
        <family val="2"/>
      </rPr>
      <t>2017</t>
    </r>
    <r>
      <rPr>
        <sz val="12"/>
        <rFont val="宋体"/>
        <family val="3"/>
        <charset val="134"/>
      </rPr>
      <t>）余杭区不动产权第</t>
    </r>
    <r>
      <rPr>
        <sz val="12"/>
        <rFont val="Tahoma"/>
        <family val="2"/>
      </rPr>
      <t>0099924</t>
    </r>
    <r>
      <rPr>
        <sz val="12"/>
        <rFont val="宋体"/>
        <family val="3"/>
        <charset val="134"/>
      </rPr>
      <t>号</t>
    </r>
    <phoneticPr fontId="208" type="noConversion"/>
  </si>
  <si>
    <r>
      <rPr>
        <sz val="12"/>
        <color indexed="8"/>
        <rFont val="宋体"/>
        <family val="3"/>
        <charset val="134"/>
      </rPr>
      <t>浙（</t>
    </r>
    <r>
      <rPr>
        <sz val="12"/>
        <color indexed="8"/>
        <rFont val="Tahoma"/>
        <family val="2"/>
      </rPr>
      <t>2016</t>
    </r>
    <r>
      <rPr>
        <sz val="12"/>
        <color indexed="8"/>
        <rFont val="宋体"/>
        <family val="3"/>
        <charset val="134"/>
      </rPr>
      <t>）第</t>
    </r>
    <r>
      <rPr>
        <sz val="12"/>
        <color indexed="8"/>
        <rFont val="Tahoma"/>
        <family val="2"/>
      </rPr>
      <t>0033139</t>
    </r>
    <r>
      <rPr>
        <sz val="12"/>
        <color indexed="8"/>
        <rFont val="宋体"/>
        <family val="3"/>
        <charset val="134"/>
      </rPr>
      <t>号</t>
    </r>
    <phoneticPr fontId="208" type="noConversion"/>
  </si>
  <si>
    <t>请录依据文件名称：《关于规范城市市政基础设施配套收费标准的通知》（浙价房〔1997〕209号）和《关于规范城市市政基础设施配套费征收的通知》（余政发〔2000〕42号）</t>
    <phoneticPr fontId="4" type="noConversion"/>
  </si>
  <si>
    <t>基准地价</t>
  </si>
  <si>
    <t>高21-30</t>
    <phoneticPr fontId="33" type="noConversion"/>
  </si>
  <si>
    <t>中11-20</t>
    <phoneticPr fontId="33" type="noConversion"/>
  </si>
  <si>
    <t>是</t>
  </si>
  <si>
    <t>海德公园、浙窑公园</t>
    <phoneticPr fontId="33" type="noConversion"/>
  </si>
  <si>
    <t>海德公园海德公园、浙窑公园</t>
    <phoneticPr fontId="33" type="noConversion"/>
  </si>
  <si>
    <t>海德公园</t>
    <phoneticPr fontId="33" type="noConversion"/>
  </si>
  <si>
    <t>6号楼层</t>
    <phoneticPr fontId="33" type="noConversion"/>
  </si>
  <si>
    <r>
      <rPr>
        <sz val="10"/>
        <color indexed="8"/>
        <rFont val="宋体"/>
        <family val="3"/>
        <charset val="134"/>
      </rPr>
      <t>低</t>
    </r>
    <r>
      <rPr>
        <sz val="10"/>
        <color indexed="8"/>
        <rFont val="Arial"/>
        <family val="2"/>
      </rPr>
      <t>1-7</t>
    </r>
    <phoneticPr fontId="33" type="noConversion"/>
  </si>
  <si>
    <r>
      <rPr>
        <sz val="10"/>
        <color indexed="8"/>
        <rFont val="宋体"/>
        <family val="3"/>
        <charset val="134"/>
      </rPr>
      <t>中</t>
    </r>
    <r>
      <rPr>
        <sz val="10"/>
        <color indexed="8"/>
        <rFont val="Arial"/>
        <family val="2"/>
      </rPr>
      <t>7-12</t>
    </r>
    <phoneticPr fontId="33" type="noConversion"/>
  </si>
  <si>
    <r>
      <rPr>
        <sz val="10"/>
        <color indexed="8"/>
        <rFont val="宋体"/>
        <family val="3"/>
        <charset val="134"/>
      </rPr>
      <t>高</t>
    </r>
    <r>
      <rPr>
        <sz val="10"/>
        <color indexed="8"/>
        <rFont val="Arial"/>
        <family val="2"/>
      </rPr>
      <t>13-17</t>
    </r>
    <phoneticPr fontId="33" type="noConversion"/>
  </si>
  <si>
    <t>备案单价</t>
    <phoneticPr fontId="208" type="noConversion"/>
  </si>
  <si>
    <t>备案总价格</t>
    <phoneticPr fontId="208" type="noConversion"/>
  </si>
  <si>
    <r>
      <rPr>
        <sz val="12"/>
        <rFont val="楷体_GB2312"/>
        <family val="3"/>
        <charset val="134"/>
      </rPr>
      <t>幢号房号</t>
    </r>
    <phoneticPr fontId="208" type="noConversion"/>
  </si>
  <si>
    <r>
      <rPr>
        <sz val="12"/>
        <rFont val="楷体_GB2312"/>
        <family val="3"/>
        <charset val="134"/>
      </rPr>
      <t>总楼层</t>
    </r>
  </si>
  <si>
    <r>
      <rPr>
        <sz val="12"/>
        <rFont val="楷体_GB2312"/>
        <family val="3"/>
        <charset val="134"/>
      </rPr>
      <t>朝向</t>
    </r>
  </si>
  <si>
    <r>
      <rPr>
        <sz val="12"/>
        <rFont val="楷体_GB2312"/>
        <family val="3"/>
        <charset val="134"/>
      </rPr>
      <t>不动产权证号</t>
    </r>
    <phoneticPr fontId="208" type="noConversion"/>
  </si>
  <si>
    <r>
      <rPr>
        <sz val="12"/>
        <rFont val="楷体_GB2312"/>
        <family val="3"/>
        <charset val="134"/>
      </rPr>
      <t>平层</t>
    </r>
  </si>
  <si>
    <r>
      <rPr>
        <sz val="12"/>
        <rFont val="楷体_GB2312"/>
        <family val="3"/>
        <charset val="134"/>
      </rPr>
      <t>南北</t>
    </r>
    <phoneticPr fontId="208" type="noConversion"/>
  </si>
  <si>
    <t>房型</t>
    <phoneticPr fontId="208" type="noConversion"/>
  </si>
  <si>
    <t>备案单价（元）</t>
    <phoneticPr fontId="208" type="noConversion"/>
  </si>
  <si>
    <t>备案总价格（万元）</t>
    <phoneticPr fontId="208" type="noConversion"/>
  </si>
  <si>
    <t>评估价格（万元）</t>
    <phoneticPr fontId="208" type="noConversion"/>
  </si>
  <si>
    <r>
      <rPr>
        <b/>
        <sz val="16"/>
        <rFont val="楷体_GB2312"/>
        <family val="3"/>
        <charset val="134"/>
      </rPr>
      <t>抵押物清单</t>
    </r>
    <phoneticPr fontId="208" type="noConversion"/>
  </si>
  <si>
    <r>
      <rPr>
        <b/>
        <sz val="12"/>
        <rFont val="楷体_GB2312"/>
        <family val="3"/>
        <charset val="134"/>
      </rPr>
      <t>不动产坐落：杭州市余杭区良渚街道名城博园</t>
    </r>
    <phoneticPr fontId="208" type="noConversion"/>
  </si>
  <si>
    <r>
      <rPr>
        <sz val="12"/>
        <rFont val="楷体_GB2312"/>
        <family val="3"/>
        <charset val="134"/>
      </rPr>
      <t>序号</t>
    </r>
  </si>
  <si>
    <r>
      <rPr>
        <sz val="12"/>
        <rFont val="楷体_GB2312"/>
        <family val="3"/>
        <charset val="134"/>
      </rPr>
      <t>建筑面积（平方米）</t>
    </r>
    <phoneticPr fontId="208" type="noConversion"/>
  </si>
  <si>
    <r>
      <t>1</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</si>
  <si>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0032153</t>
    </r>
    <r>
      <rPr>
        <sz val="12"/>
        <rFont val="楷体_GB2312"/>
        <family val="3"/>
        <charset val="134"/>
      </rPr>
      <t>号</t>
    </r>
    <phoneticPr fontId="208" type="noConversion"/>
  </si>
  <si>
    <r>
      <t>1</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</si>
  <si>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0032207</t>
    </r>
    <r>
      <rPr>
        <sz val="12"/>
        <rFont val="楷体_GB2312"/>
        <family val="3"/>
        <charset val="134"/>
      </rPr>
      <t>号</t>
    </r>
    <phoneticPr fontId="208" type="noConversion"/>
  </si>
  <si>
    <r>
      <t>1</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</si>
  <si>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南北西</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</si>
  <si>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0032237</t>
    </r>
    <r>
      <rPr>
        <sz val="12"/>
        <rFont val="楷体_GB2312"/>
        <family val="3"/>
        <charset val="134"/>
      </rPr>
      <t>号</t>
    </r>
    <phoneticPr fontId="208" type="noConversion"/>
  </si>
  <si>
    <r>
      <t>2</t>
    </r>
    <r>
      <rPr>
        <sz val="12"/>
        <rFont val="楷体_GB2312"/>
        <family val="3"/>
        <charset val="134"/>
      </rPr>
      <t>幢</t>
    </r>
    <r>
      <rPr>
        <sz val="12"/>
        <rFont val="Arial"/>
        <family val="2"/>
      </rPr>
      <t>3001</t>
    </r>
    <r>
      <rPr>
        <sz val="12"/>
        <rFont val="楷体_GB2312"/>
        <family val="3"/>
        <charset val="134"/>
      </rPr>
      <t>室</t>
    </r>
    <phoneticPr fontId="208" type="noConversion"/>
  </si>
  <si>
    <r>
      <rPr>
        <sz val="12"/>
        <rFont val="楷体_GB2312"/>
        <family val="3"/>
        <charset val="134"/>
      </rPr>
      <t>南北东</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</si>
  <si>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0032388</t>
    </r>
    <r>
      <rPr>
        <sz val="12"/>
        <rFont val="楷体_GB2312"/>
        <family val="3"/>
        <charset val="134"/>
      </rPr>
      <t>号</t>
    </r>
    <phoneticPr fontId="208" type="noConversion"/>
  </si>
  <si>
    <r>
      <t>2</t>
    </r>
    <r>
      <rPr>
        <sz val="12"/>
        <rFont val="楷体_GB2312"/>
        <family val="3"/>
        <charset val="134"/>
      </rPr>
      <t>幢</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</si>
  <si>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0032354</t>
    </r>
    <r>
      <rPr>
        <sz val="12"/>
        <rFont val="楷体_GB2312"/>
        <family val="3"/>
        <charset val="134"/>
      </rPr>
      <t>号</t>
    </r>
    <phoneticPr fontId="208" type="noConversion"/>
  </si>
  <si>
    <r>
      <t>3</t>
    </r>
    <r>
      <rPr>
        <sz val="12"/>
        <rFont val="楷体_GB2312"/>
        <family val="3"/>
        <charset val="134"/>
      </rPr>
      <t>幢</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</si>
  <si>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0032540</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</si>
  <si>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</si>
  <si>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0099283</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</si>
  <si>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</si>
  <si>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0099210</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</si>
  <si>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</si>
  <si>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0099365</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</si>
  <si>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</si>
  <si>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0099289</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</si>
  <si>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</si>
  <si>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0099317</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</si>
  <si>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</si>
  <si>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0099332</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</si>
  <si>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</si>
  <si>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0099359</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</si>
  <si>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</si>
  <si>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0099285</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</si>
  <si>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</si>
  <si>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0099306</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</si>
  <si>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</si>
  <si>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0099212</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</si>
  <si>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</si>
  <si>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0099286</t>
    </r>
    <r>
      <rPr>
        <sz val="12"/>
        <rFont val="楷体_GB2312"/>
        <family val="3"/>
        <charset val="134"/>
      </rPr>
      <t>号</t>
    </r>
    <phoneticPr fontId="208" type="noConversion"/>
  </si>
  <si>
    <r>
      <t>4</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</si>
  <si>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0099291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</si>
  <si>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</si>
  <si>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</si>
  <si>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</si>
  <si>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</si>
  <si>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</si>
  <si>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</si>
  <si>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</si>
  <si>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0099463</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</si>
  <si>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</si>
  <si>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</si>
  <si>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</si>
  <si>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</si>
  <si>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</si>
  <si>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</si>
  <si>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</si>
  <si>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</si>
  <si>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</si>
  <si>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</si>
  <si>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</si>
  <si>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</si>
  <si>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</si>
  <si>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</si>
  <si>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</si>
  <si>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</si>
  <si>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</si>
  <si>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</si>
  <si>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</si>
  <si>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</si>
  <si>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</si>
  <si>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</si>
  <si>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</si>
  <si>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</si>
  <si>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</si>
  <si>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</si>
  <si>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</si>
  <si>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</si>
  <si>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</si>
  <si>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</si>
  <si>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</si>
  <si>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</si>
  <si>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</si>
  <si>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</si>
  <si>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</si>
  <si>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</si>
  <si>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</si>
  <si>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</si>
  <si>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</si>
  <si>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</si>
  <si>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0099433</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</si>
  <si>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</si>
  <si>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</si>
  <si>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</si>
  <si>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</si>
  <si>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</si>
  <si>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</si>
  <si>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</si>
  <si>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</si>
  <si>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</si>
  <si>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</si>
  <si>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</si>
  <si>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</si>
  <si>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</si>
  <si>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</si>
  <si>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</si>
  <si>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</si>
  <si>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</si>
  <si>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</si>
  <si>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</si>
  <si>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0099528</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</si>
  <si>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</si>
  <si>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</si>
  <si>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</si>
  <si>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</si>
  <si>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</si>
  <si>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</si>
  <si>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</si>
  <si>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0099516</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</si>
  <si>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</si>
  <si>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0099427</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</si>
  <si>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</si>
  <si>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</si>
  <si>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</si>
  <si>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0099442</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</si>
  <si>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</si>
  <si>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0099464</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</si>
  <si>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</si>
  <si>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0099479</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</si>
  <si>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</si>
  <si>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0099505</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</si>
  <si>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</si>
  <si>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0099500</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</si>
  <si>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</si>
  <si>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0099401</t>
    </r>
    <r>
      <rPr>
        <sz val="12"/>
        <rFont val="楷体_GB2312"/>
        <family val="3"/>
        <charset val="134"/>
      </rPr>
      <t>号</t>
    </r>
    <phoneticPr fontId="208" type="noConversion"/>
  </si>
  <si>
    <r>
      <t>6</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</si>
  <si>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</si>
  <si>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</si>
  <si>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</si>
  <si>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</si>
  <si>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</si>
  <si>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</si>
  <si>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</si>
  <si>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</si>
  <si>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</si>
  <si>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</si>
  <si>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</si>
  <si>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</si>
  <si>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</si>
  <si>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</si>
  <si>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</si>
  <si>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</si>
  <si>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</si>
  <si>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</si>
  <si>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</si>
  <si>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</si>
  <si>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</si>
  <si>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</si>
  <si>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</si>
  <si>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</si>
  <si>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</si>
  <si>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</si>
  <si>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</si>
  <si>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</si>
  <si>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</si>
  <si>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</si>
  <si>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</si>
  <si>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</si>
  <si>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</si>
  <si>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</si>
  <si>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</si>
  <si>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</si>
  <si>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</si>
  <si>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</si>
  <si>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</si>
  <si>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</si>
  <si>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</si>
  <si>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</si>
  <si>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</si>
  <si>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</si>
  <si>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</si>
  <si>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</si>
  <si>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</si>
  <si>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</si>
  <si>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</si>
  <si>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</si>
  <si>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</si>
  <si>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</si>
  <si>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</si>
  <si>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</si>
  <si>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</si>
  <si>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</si>
  <si>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</si>
  <si>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</si>
  <si>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</si>
  <si>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</si>
  <si>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</si>
  <si>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</si>
  <si>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</si>
  <si>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</si>
  <si>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</si>
  <si>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</si>
  <si>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</si>
  <si>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</si>
  <si>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</si>
  <si>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</si>
  <si>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</si>
  <si>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</si>
  <si>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</si>
  <si>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</si>
  <si>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</si>
  <si>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</si>
  <si>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</si>
  <si>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</si>
  <si>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</si>
  <si>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</si>
  <si>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</si>
  <si>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</si>
  <si>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0099412</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</si>
  <si>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</si>
  <si>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</si>
  <si>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</si>
  <si>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0099519</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</si>
  <si>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</si>
  <si>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</si>
  <si>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</si>
  <si>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</si>
  <si>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</si>
  <si>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</si>
  <si>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</si>
  <si>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</si>
  <si>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</si>
  <si>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</si>
  <si>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</si>
  <si>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</si>
  <si>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</si>
  <si>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</si>
  <si>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</si>
  <si>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</si>
  <si>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</si>
  <si>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</si>
  <si>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</si>
  <si>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0099517</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</si>
  <si>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</si>
  <si>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</si>
  <si>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</si>
  <si>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0099420</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</si>
  <si>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</si>
  <si>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</si>
  <si>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</si>
  <si>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0099503</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</si>
  <si>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</si>
  <si>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</si>
  <si>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</si>
  <si>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0099421</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</si>
  <si>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</si>
  <si>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0099478</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</si>
  <si>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</si>
  <si>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0099446</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</si>
  <si>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</si>
  <si>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0099474</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</si>
  <si>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</si>
  <si>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0099445</t>
    </r>
    <r>
      <rPr>
        <sz val="12"/>
        <rFont val="楷体_GB2312"/>
        <family val="3"/>
        <charset val="134"/>
      </rPr>
      <t>号</t>
    </r>
    <phoneticPr fontId="208" type="noConversion"/>
  </si>
  <si>
    <r>
      <t>6</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</si>
  <si>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</si>
  <si>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</si>
  <si>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</si>
  <si>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</si>
  <si>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0099378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</si>
  <si>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</si>
  <si>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</si>
  <si>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</si>
  <si>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</si>
  <si>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</si>
  <si>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</si>
  <si>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</si>
  <si>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</si>
  <si>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</si>
  <si>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</si>
  <si>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</si>
  <si>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</si>
  <si>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</si>
  <si>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</si>
  <si>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</si>
  <si>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</si>
  <si>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</si>
  <si>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</si>
  <si>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</si>
  <si>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</si>
  <si>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</si>
  <si>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</si>
  <si>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</si>
  <si>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</si>
  <si>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</si>
  <si>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</si>
  <si>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</si>
  <si>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0099524</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</si>
  <si>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</si>
  <si>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</si>
  <si>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</si>
  <si>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0099511</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</si>
  <si>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</si>
  <si>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</si>
  <si>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</si>
  <si>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0099460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</si>
  <si>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</si>
  <si>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</si>
  <si>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</si>
  <si>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</si>
  <si>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</si>
  <si>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</si>
  <si>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</si>
  <si>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</si>
  <si>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</si>
  <si>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</si>
  <si>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</si>
  <si>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</si>
  <si>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</si>
  <si>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</si>
  <si>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</si>
  <si>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0099527</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</si>
  <si>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</si>
  <si>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0099422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</si>
  <si>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</si>
  <si>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</si>
  <si>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</si>
  <si>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</si>
  <si>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</si>
  <si>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0099382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</si>
  <si>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</si>
  <si>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0099509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</si>
  <si>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</si>
  <si>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0099484</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</si>
  <si>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</si>
  <si>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0099530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</si>
  <si>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</si>
  <si>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0099476</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</si>
  <si>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</si>
  <si>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</si>
  <si>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</si>
  <si>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0099489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</si>
  <si>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</si>
  <si>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0099449</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</si>
  <si>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</si>
  <si>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0099431</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</si>
  <si>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</si>
  <si>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0099390</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</si>
  <si>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</si>
  <si>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0099408</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</si>
  <si>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</si>
  <si>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</si>
  <si>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</si>
  <si>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0099493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</si>
  <si>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</si>
  <si>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0099415</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</si>
  <si>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</si>
  <si>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0099403</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</si>
  <si>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</si>
  <si>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0099512</t>
    </r>
    <r>
      <rPr>
        <sz val="12"/>
        <rFont val="楷体_GB2312"/>
        <family val="3"/>
        <charset val="134"/>
      </rPr>
      <t>号</t>
    </r>
    <phoneticPr fontId="208" type="noConversion"/>
  </si>
  <si>
    <r>
      <t>6</t>
    </r>
    <r>
      <rPr>
        <sz val="12"/>
        <rFont val="楷体_GB2312"/>
        <family val="3"/>
        <charset val="134"/>
      </rPr>
      <t>幢</t>
    </r>
    <r>
      <rPr>
        <sz val="12"/>
        <rFont val="Arial"/>
        <family val="2"/>
      </rPr>
      <t>3</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</si>
  <si>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0099459</t>
    </r>
    <r>
      <rPr>
        <sz val="12"/>
        <rFont val="楷体_GB2312"/>
        <family val="3"/>
        <charset val="134"/>
      </rPr>
      <t>号</t>
    </r>
    <phoneticPr fontId="208" type="noConversion"/>
  </si>
  <si>
    <r>
      <t>7</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</si>
  <si>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0032808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</si>
  <si>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</si>
  <si>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</si>
  <si>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</si>
  <si>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</si>
  <si>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</si>
  <si>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</si>
  <si>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</si>
  <si>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</si>
  <si>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</si>
  <si>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</si>
  <si>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</si>
  <si>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</si>
  <si>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</si>
  <si>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</si>
  <si>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</si>
  <si>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</si>
  <si>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</si>
  <si>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</si>
  <si>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</si>
  <si>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</si>
  <si>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</si>
  <si>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</si>
  <si>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</si>
  <si>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</si>
  <si>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</si>
  <si>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</si>
  <si>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</si>
  <si>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</si>
  <si>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</si>
  <si>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</si>
  <si>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</si>
  <si>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</si>
  <si>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</si>
  <si>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</si>
  <si>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</si>
  <si>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</si>
  <si>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</si>
  <si>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</si>
  <si>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</si>
  <si>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</si>
  <si>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</si>
  <si>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</si>
  <si>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</si>
  <si>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</si>
  <si>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</si>
  <si>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</si>
  <si>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</si>
  <si>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</si>
  <si>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</si>
  <si>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</si>
  <si>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</si>
  <si>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</si>
  <si>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</si>
  <si>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</si>
  <si>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</si>
  <si>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</si>
  <si>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</si>
  <si>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</si>
  <si>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</si>
  <si>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</si>
  <si>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</si>
  <si>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</si>
  <si>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</si>
  <si>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</si>
  <si>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</si>
  <si>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</si>
  <si>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</si>
  <si>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</si>
  <si>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</si>
  <si>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</si>
  <si>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</si>
  <si>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</si>
  <si>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</si>
  <si>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</si>
  <si>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</si>
  <si>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</si>
  <si>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</si>
  <si>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</si>
  <si>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</si>
  <si>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</si>
  <si>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</si>
  <si>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</si>
  <si>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</si>
  <si>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</si>
  <si>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</si>
  <si>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</si>
  <si>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</si>
  <si>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</si>
  <si>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</si>
  <si>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</si>
  <si>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</si>
  <si>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</si>
  <si>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</si>
  <si>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</si>
  <si>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</si>
  <si>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</si>
  <si>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</si>
  <si>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</si>
  <si>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</si>
  <si>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</si>
  <si>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</si>
  <si>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</si>
  <si>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</si>
  <si>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</si>
  <si>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</si>
  <si>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</si>
  <si>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</si>
  <si>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</si>
  <si>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</si>
  <si>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</si>
  <si>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</si>
  <si>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</si>
  <si>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</si>
  <si>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</si>
  <si>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</si>
  <si>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</si>
  <si>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</si>
  <si>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</si>
  <si>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</si>
  <si>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</si>
  <si>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</si>
  <si>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</si>
  <si>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</si>
  <si>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</si>
  <si>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</si>
  <si>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0032839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</si>
  <si>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</si>
  <si>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</si>
  <si>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</si>
  <si>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</si>
  <si>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</si>
  <si>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</si>
  <si>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</si>
  <si>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</si>
  <si>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</si>
  <si>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</si>
  <si>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</si>
  <si>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</si>
  <si>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</si>
  <si>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</si>
  <si>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</si>
  <si>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</si>
  <si>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</si>
  <si>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</si>
  <si>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</si>
  <si>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</si>
  <si>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</si>
  <si>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</si>
  <si>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</si>
  <si>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</si>
  <si>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</si>
  <si>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</si>
  <si>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</si>
  <si>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</si>
  <si>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</si>
  <si>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</si>
  <si>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</si>
  <si>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</si>
  <si>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</si>
  <si>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</si>
  <si>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</si>
  <si>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</si>
  <si>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</si>
  <si>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</si>
  <si>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</si>
  <si>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</si>
  <si>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</si>
  <si>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</si>
  <si>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</si>
  <si>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</si>
  <si>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</si>
  <si>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</si>
  <si>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</si>
  <si>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</si>
  <si>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</si>
  <si>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</si>
  <si>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</si>
  <si>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</si>
  <si>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</si>
  <si>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</si>
  <si>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</si>
  <si>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</si>
  <si>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</si>
  <si>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</si>
  <si>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</si>
  <si>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</si>
  <si>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</si>
  <si>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</si>
  <si>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</si>
  <si>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</si>
  <si>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</si>
  <si>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</si>
  <si>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</si>
  <si>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0033001</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</si>
  <si>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</si>
  <si>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</si>
  <si>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</si>
  <si>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</si>
  <si>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</si>
  <si>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0032877</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</si>
  <si>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</si>
  <si>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</si>
  <si>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</si>
  <si>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</si>
  <si>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</si>
  <si>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0032875</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</si>
  <si>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</si>
  <si>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</si>
  <si>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</si>
  <si>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</si>
  <si>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</si>
  <si>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</si>
  <si>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</si>
  <si>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</si>
  <si>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</si>
  <si>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0032942</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</si>
  <si>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2304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</si>
  <si>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0032969</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</si>
  <si>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</si>
  <si>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0032926</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</si>
  <si>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2504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</si>
  <si>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0032940</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</si>
  <si>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</si>
  <si>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</si>
  <si>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</si>
  <si>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0033038</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</si>
  <si>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</si>
  <si>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0032974</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</si>
  <si>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</si>
  <si>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0032873</t>
    </r>
    <r>
      <rPr>
        <sz val="12"/>
        <rFont val="楷体_GB2312"/>
        <family val="3"/>
        <charset val="134"/>
      </rPr>
      <t>号</t>
    </r>
    <phoneticPr fontId="208" type="noConversion"/>
  </si>
  <si>
    <r>
      <t>8</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</si>
  <si>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</si>
  <si>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</si>
  <si>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</si>
  <si>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</si>
  <si>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</si>
  <si>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</si>
  <si>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</si>
  <si>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</si>
  <si>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</si>
  <si>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</si>
  <si>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</si>
  <si>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</si>
  <si>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</si>
  <si>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</si>
  <si>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</si>
  <si>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</si>
  <si>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</si>
  <si>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</si>
  <si>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</si>
  <si>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</si>
  <si>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</si>
  <si>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</si>
  <si>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</si>
  <si>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</si>
  <si>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</si>
  <si>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</si>
  <si>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</si>
  <si>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</si>
  <si>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</si>
  <si>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</si>
  <si>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</si>
  <si>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</si>
  <si>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</si>
  <si>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</si>
  <si>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</si>
  <si>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</si>
  <si>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</si>
  <si>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</si>
  <si>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</si>
  <si>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</si>
  <si>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</si>
  <si>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</si>
  <si>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</si>
  <si>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</si>
  <si>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</si>
  <si>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</si>
  <si>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</si>
  <si>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</si>
  <si>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</si>
  <si>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</si>
  <si>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</si>
  <si>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</si>
  <si>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</si>
  <si>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</si>
  <si>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</si>
  <si>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</si>
  <si>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</si>
  <si>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</si>
  <si>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0032965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</si>
  <si>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</si>
  <si>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</si>
  <si>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</si>
  <si>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</si>
  <si>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</si>
  <si>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</si>
  <si>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</si>
  <si>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</si>
  <si>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</si>
  <si>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</si>
  <si>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</si>
  <si>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</si>
  <si>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</si>
  <si>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</si>
  <si>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</si>
  <si>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</si>
  <si>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</si>
  <si>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</si>
  <si>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</si>
  <si>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</si>
  <si>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</si>
  <si>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</si>
  <si>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</si>
  <si>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</si>
  <si>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</si>
  <si>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0033022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</si>
  <si>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</si>
  <si>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</si>
  <si>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</si>
  <si>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</si>
  <si>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</si>
  <si>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</si>
  <si>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</si>
  <si>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</si>
  <si>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</si>
  <si>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</si>
  <si>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</si>
  <si>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</si>
  <si>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</si>
  <si>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</si>
  <si>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</si>
  <si>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0033015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</si>
  <si>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</si>
  <si>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</si>
  <si>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</si>
  <si>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</si>
  <si>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</si>
  <si>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0032887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</si>
  <si>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</si>
  <si>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</si>
  <si>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</si>
  <si>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0032927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</si>
  <si>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</si>
  <si>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0032958</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</si>
  <si>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</si>
  <si>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</si>
  <si>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</si>
  <si>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</si>
  <si>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</si>
  <si>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</si>
  <si>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</si>
  <si>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</si>
  <si>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</si>
  <si>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0032983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</si>
  <si>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</si>
  <si>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</si>
  <si>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</si>
  <si>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</si>
  <si>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</si>
  <si>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</si>
  <si>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</si>
  <si>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</si>
  <si>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</si>
  <si>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0032903</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</si>
  <si>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</si>
  <si>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</si>
  <si>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</si>
  <si>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</si>
  <si>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</si>
  <si>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0032864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</si>
  <si>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</si>
  <si>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0033004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</si>
  <si>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</si>
  <si>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</si>
  <si>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</si>
  <si>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0032845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</si>
  <si>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</si>
  <si>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</si>
  <si>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</si>
  <si>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0032950</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</si>
  <si>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</si>
  <si>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0033037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</si>
  <si>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</si>
  <si>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0032854</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</si>
  <si>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</si>
  <si>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</si>
  <si>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</si>
  <si>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0032941</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</si>
  <si>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</si>
  <si>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</si>
  <si>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</si>
  <si>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0032872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</si>
  <si>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</si>
  <si>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0032936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</si>
  <si>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</si>
  <si>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0032976</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</si>
  <si>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</si>
  <si>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0032902</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</si>
  <si>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</si>
  <si>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0032907</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</si>
  <si>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</si>
  <si>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0032995</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</si>
  <si>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</si>
  <si>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0032919</t>
    </r>
    <r>
      <rPr>
        <sz val="12"/>
        <rFont val="楷体_GB2312"/>
        <family val="3"/>
        <charset val="134"/>
      </rPr>
      <t>号</t>
    </r>
    <phoneticPr fontId="208" type="noConversion"/>
  </si>
  <si>
    <r>
      <t>8</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</si>
  <si>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0032894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</si>
  <si>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</si>
  <si>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</si>
  <si>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</si>
  <si>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</si>
  <si>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</si>
  <si>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</si>
  <si>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</si>
  <si>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</si>
  <si>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</si>
  <si>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</si>
  <si>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</si>
  <si>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</si>
  <si>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</si>
  <si>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</si>
  <si>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</si>
  <si>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</si>
  <si>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</si>
  <si>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</si>
  <si>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</si>
  <si>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</si>
  <si>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</si>
  <si>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</si>
  <si>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</si>
  <si>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</si>
  <si>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</si>
  <si>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</si>
  <si>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</si>
  <si>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</si>
  <si>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</si>
  <si>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</si>
  <si>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</si>
  <si>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</si>
  <si>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</si>
  <si>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</si>
  <si>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</si>
  <si>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</si>
  <si>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</si>
  <si>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</si>
  <si>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</si>
  <si>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</si>
  <si>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</si>
  <si>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</si>
  <si>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</si>
  <si>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</si>
  <si>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</si>
  <si>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</si>
  <si>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</si>
  <si>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</si>
  <si>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</si>
  <si>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</si>
  <si>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</si>
  <si>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</si>
  <si>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</si>
  <si>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</si>
  <si>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</si>
  <si>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</si>
  <si>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</si>
  <si>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</si>
  <si>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</si>
  <si>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</si>
  <si>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</si>
  <si>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</si>
  <si>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</si>
  <si>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</si>
  <si>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</si>
  <si>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</si>
  <si>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</si>
  <si>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</si>
  <si>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</si>
  <si>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</si>
  <si>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</si>
  <si>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</si>
  <si>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</si>
  <si>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</si>
  <si>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</si>
  <si>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</si>
  <si>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</si>
  <si>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</si>
  <si>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</si>
  <si>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</si>
  <si>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</si>
  <si>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</si>
  <si>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</si>
  <si>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</si>
  <si>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</si>
  <si>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</si>
  <si>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</si>
  <si>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</si>
  <si>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</si>
  <si>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</si>
  <si>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</si>
  <si>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</si>
  <si>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</si>
  <si>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</si>
  <si>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</si>
  <si>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</si>
  <si>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</si>
  <si>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</si>
  <si>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</si>
  <si>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</si>
  <si>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</si>
  <si>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</si>
  <si>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</si>
  <si>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</si>
  <si>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</si>
  <si>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</si>
  <si>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</si>
  <si>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</si>
  <si>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</si>
  <si>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</si>
  <si>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</si>
  <si>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</si>
  <si>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</si>
  <si>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</si>
  <si>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</si>
  <si>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</si>
  <si>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</si>
  <si>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</si>
  <si>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</si>
  <si>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</si>
  <si>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</si>
  <si>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</si>
  <si>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</si>
  <si>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</si>
  <si>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</si>
  <si>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</si>
  <si>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</si>
  <si>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</si>
  <si>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</si>
  <si>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</si>
  <si>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</si>
  <si>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</si>
  <si>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</si>
  <si>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</si>
  <si>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</si>
  <si>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</si>
  <si>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</si>
  <si>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</si>
  <si>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</si>
  <si>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</si>
  <si>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</si>
  <si>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</si>
  <si>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</si>
  <si>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</si>
  <si>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</si>
  <si>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</si>
  <si>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</si>
  <si>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</si>
  <si>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</si>
  <si>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</si>
  <si>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</si>
  <si>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</si>
  <si>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</si>
  <si>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</si>
  <si>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</si>
  <si>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</si>
  <si>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</si>
  <si>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</si>
  <si>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</si>
  <si>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</si>
  <si>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</si>
  <si>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</si>
  <si>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</si>
  <si>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</si>
  <si>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</si>
  <si>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</si>
  <si>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</si>
  <si>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</si>
  <si>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</si>
  <si>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</si>
  <si>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</si>
  <si>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</si>
  <si>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</si>
  <si>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</si>
  <si>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跃层</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</si>
  <si>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0033197</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</si>
  <si>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</si>
  <si>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跃层</t>
    </r>
  </si>
  <si>
    <r>
      <rPr>
        <sz val="12"/>
        <rFont val="楷体_GB2312"/>
        <family val="3"/>
        <charset val="134"/>
      </rPr>
      <t>浙（</t>
    </r>
    <r>
      <rPr>
        <sz val="12"/>
        <rFont val="Arial"/>
        <family val="2"/>
      </rPr>
      <t>2016</t>
    </r>
    <r>
      <rPr>
        <sz val="12"/>
        <rFont val="楷体_GB2312"/>
        <family val="3"/>
        <charset val="134"/>
      </rPr>
      <t>）第</t>
    </r>
    <r>
      <rPr>
        <sz val="12"/>
        <rFont val="Arial"/>
        <family val="2"/>
      </rPr>
      <t>0033108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</si>
  <si>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</si>
  <si>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</si>
  <si>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</si>
  <si>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0033174</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</si>
  <si>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</si>
  <si>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</si>
  <si>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</si>
  <si>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0033042</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</si>
  <si>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</si>
  <si>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</si>
  <si>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</si>
  <si>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0033178</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</si>
  <si>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</si>
  <si>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0033093</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</si>
  <si>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</si>
  <si>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0033059</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</si>
  <si>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</si>
  <si>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0033156</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</si>
  <si>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</si>
  <si>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0033045</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</si>
  <si>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</si>
  <si>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0033141</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</si>
  <si>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</si>
  <si>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0033110</t>
    </r>
    <r>
      <rPr>
        <sz val="12"/>
        <rFont val="楷体_GB2312"/>
        <family val="3"/>
        <charset val="134"/>
      </rPr>
      <t>号</t>
    </r>
    <phoneticPr fontId="208" type="noConversion"/>
  </si>
  <si>
    <r>
      <t>9</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</si>
  <si>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</si>
  <si>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</si>
  <si>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</si>
  <si>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</si>
  <si>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</si>
  <si>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</si>
  <si>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</si>
  <si>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</si>
  <si>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</si>
  <si>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</si>
  <si>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</si>
  <si>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</si>
  <si>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</si>
  <si>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</si>
  <si>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</si>
  <si>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</si>
  <si>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</si>
  <si>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</si>
  <si>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</si>
  <si>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</si>
  <si>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</si>
  <si>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</si>
  <si>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</si>
  <si>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</si>
  <si>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</si>
  <si>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</si>
  <si>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</si>
  <si>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</si>
  <si>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</si>
  <si>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</si>
  <si>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0033046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</si>
  <si>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</si>
  <si>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</si>
  <si>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</si>
  <si>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</si>
  <si>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</si>
  <si>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</si>
  <si>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</si>
  <si>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</si>
  <si>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</si>
  <si>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</si>
  <si>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</si>
  <si>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</si>
  <si>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</si>
  <si>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</si>
  <si>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</si>
  <si>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</si>
  <si>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</si>
  <si>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0033188</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</si>
  <si>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</si>
  <si>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</si>
  <si>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</si>
  <si>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</si>
  <si>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</si>
  <si>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</si>
  <si>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</si>
  <si>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</si>
  <si>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</si>
  <si>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</si>
  <si>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</si>
  <si>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0033163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</si>
  <si>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</si>
  <si>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</si>
  <si>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</si>
  <si>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</si>
  <si>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</si>
  <si>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</si>
  <si>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</si>
  <si>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0033195</t>
    </r>
    <r>
      <rPr>
        <sz val="12"/>
        <rFont val="楷体_GB2312"/>
        <family val="3"/>
        <charset val="134"/>
      </rPr>
      <t>号</t>
    </r>
  </si>
  <si>
    <r>
      <t>9</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</si>
  <si>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</si>
  <si>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</si>
  <si>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0033184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</si>
  <si>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</si>
  <si>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</si>
  <si>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</si>
  <si>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</si>
  <si>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</si>
  <si>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</si>
  <si>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</si>
  <si>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</si>
  <si>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</si>
  <si>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</si>
  <si>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</si>
  <si>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</si>
  <si>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</si>
  <si>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0033061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</si>
  <si>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</si>
  <si>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</si>
  <si>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</si>
  <si>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</si>
  <si>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</si>
  <si>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</si>
  <si>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</si>
  <si>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0033089</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</si>
  <si>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</si>
  <si>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</si>
  <si>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</si>
  <si>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</si>
  <si>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</si>
  <si>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</si>
  <si>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</si>
  <si>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0033080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</si>
  <si>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</si>
  <si>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</si>
  <si>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</si>
  <si>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0033073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</si>
  <si>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</si>
  <si>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</si>
  <si>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</si>
  <si>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</si>
  <si>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</si>
  <si>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0033155</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</si>
  <si>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</si>
  <si>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0033117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</si>
  <si>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</si>
  <si>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</si>
  <si>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</si>
  <si>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</si>
  <si>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</si>
  <si>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0033176</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</si>
  <si>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</si>
  <si>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</si>
  <si>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</si>
  <si>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0033140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</si>
  <si>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</si>
  <si>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0033091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</si>
  <si>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</si>
  <si>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0033122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</si>
  <si>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</si>
  <si>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0033207</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</si>
  <si>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</si>
  <si>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0033101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</si>
  <si>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</si>
  <si>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0033204</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</si>
  <si>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</si>
  <si>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0033051</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</si>
  <si>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</si>
  <si>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0033210</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</si>
  <si>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</si>
  <si>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</si>
  <si>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</si>
  <si>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0033192</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</si>
  <si>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</si>
  <si>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0033173</t>
    </r>
    <r>
      <rPr>
        <sz val="12"/>
        <rFont val="楷体_GB2312"/>
        <family val="3"/>
        <charset val="134"/>
      </rPr>
      <t>号</t>
    </r>
    <phoneticPr fontId="208" type="noConversion"/>
  </si>
  <si>
    <r>
      <t>9</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</si>
  <si>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0033130</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</si>
  <si>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</si>
  <si>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0033333</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</si>
  <si>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</si>
  <si>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0033276</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</si>
  <si>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</si>
  <si>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0033343</t>
    </r>
    <r>
      <rPr>
        <sz val="12"/>
        <rFont val="楷体_GB2312"/>
        <family val="3"/>
        <charset val="134"/>
      </rPr>
      <t>号</t>
    </r>
    <phoneticPr fontId="208" type="noConversion"/>
  </si>
  <si>
    <r>
      <t>10</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</si>
  <si>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0033279</t>
    </r>
    <r>
      <rPr>
        <sz val="12"/>
        <rFont val="楷体_GB2312"/>
        <family val="3"/>
        <charset val="134"/>
      </rPr>
      <t>号</t>
    </r>
    <phoneticPr fontId="208" type="noConversion"/>
  </si>
  <si>
    <r>
      <t>10</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</si>
  <si>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2016</t>
    </r>
    <r>
      <rPr>
        <sz val="12"/>
        <rFont val="楷体_GB2312"/>
        <family val="3"/>
        <charset val="134"/>
      </rPr>
      <t>）第</t>
    </r>
    <r>
      <rPr>
        <sz val="12"/>
        <rFont val="Arial"/>
        <family val="2"/>
      </rPr>
      <t>0033345</t>
    </r>
    <r>
      <rPr>
        <sz val="12"/>
        <rFont val="楷体_GB2312"/>
        <family val="3"/>
        <charset val="134"/>
      </rPr>
      <t>号</t>
    </r>
    <phoneticPr fontId="208" type="noConversion"/>
  </si>
  <si>
    <r>
      <t>11</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</si>
  <si>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0099809</t>
    </r>
    <r>
      <rPr>
        <sz val="12"/>
        <rFont val="楷体_GB2312"/>
        <family val="3"/>
        <charset val="134"/>
      </rPr>
      <t>号</t>
    </r>
    <phoneticPr fontId="208" type="noConversion"/>
  </si>
  <si>
    <r>
      <t>11</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</si>
  <si>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0099789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</si>
  <si>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</si>
  <si>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0099873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</si>
  <si>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</si>
  <si>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0099782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</si>
  <si>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</si>
  <si>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0099877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</si>
  <si>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</si>
  <si>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</si>
  <si>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</si>
  <si>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0099623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</si>
  <si>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</si>
  <si>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0099687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</si>
  <si>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</si>
  <si>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0099723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</si>
  <si>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</si>
  <si>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</si>
  <si>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</si>
  <si>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</si>
  <si>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</si>
  <si>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</si>
  <si>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</si>
  <si>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0099883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</si>
  <si>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</si>
  <si>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0099713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</si>
  <si>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</si>
  <si>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0099627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</si>
  <si>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</si>
  <si>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</si>
  <si>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</si>
  <si>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0099631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</si>
  <si>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</si>
  <si>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0099759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</si>
  <si>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</si>
  <si>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0099719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</si>
  <si>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</si>
  <si>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0099761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</si>
  <si>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</si>
  <si>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0099798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</si>
  <si>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</si>
  <si>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0099648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</si>
  <si>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</si>
  <si>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0099899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</si>
  <si>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</si>
  <si>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0099865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</si>
  <si>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</si>
  <si>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0099869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</si>
  <si>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</si>
  <si>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0099834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</si>
  <si>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</si>
  <si>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</si>
  <si>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</si>
  <si>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0099658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</si>
  <si>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</si>
  <si>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</si>
  <si>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</si>
  <si>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0099906</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</si>
  <si>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</si>
  <si>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</si>
  <si>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</si>
  <si>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0099811</t>
    </r>
    <r>
      <rPr>
        <sz val="12"/>
        <rFont val="楷体_GB2312"/>
        <family val="3"/>
        <charset val="134"/>
      </rPr>
      <t>号</t>
    </r>
    <r>
      <rPr>
        <sz val="12"/>
        <color indexed="8"/>
        <rFont val="宋体"/>
        <family val="3"/>
        <charset val="134"/>
      </rPr>
      <t/>
    </r>
  </si>
  <si>
    <r>
      <t>11</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</si>
  <si>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</si>
  <si>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</si>
  <si>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</si>
  <si>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</si>
  <si>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0099639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</si>
  <si>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</si>
  <si>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0099793</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</si>
  <si>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</si>
  <si>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0099855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</si>
  <si>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</si>
  <si>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0099842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</si>
  <si>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</si>
  <si>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0099749</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</si>
  <si>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</si>
  <si>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0099752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</si>
  <si>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</si>
  <si>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0099678</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</si>
  <si>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</si>
  <si>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0099886</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</si>
  <si>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</si>
  <si>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0099825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</si>
  <si>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</si>
  <si>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0099895</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</si>
  <si>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</si>
  <si>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0099697</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</si>
  <si>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</si>
  <si>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</si>
  <si>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</si>
  <si>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0099772</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</si>
  <si>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</si>
  <si>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0099704</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</si>
  <si>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</si>
  <si>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0099661</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</si>
  <si>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</si>
  <si>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0099740</t>
    </r>
    <r>
      <rPr>
        <sz val="12"/>
        <rFont val="楷体_GB2312"/>
        <family val="3"/>
        <charset val="134"/>
      </rPr>
      <t>号</t>
    </r>
    <phoneticPr fontId="208" type="noConversion"/>
  </si>
  <si>
    <r>
      <t>11</t>
    </r>
    <r>
      <rPr>
        <sz val="12"/>
        <rFont val="楷体_GB2312"/>
        <family val="3"/>
        <charset val="134"/>
      </rPr>
      <t>幢</t>
    </r>
    <r>
      <rPr>
        <sz val="12"/>
        <rFont val="Arial"/>
        <family val="2"/>
      </rPr>
      <t>2</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</si>
  <si>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0099692</t>
    </r>
    <r>
      <rPr>
        <sz val="12"/>
        <rFont val="楷体_GB2312"/>
        <family val="3"/>
        <charset val="134"/>
      </rPr>
      <t>号</t>
    </r>
    <phoneticPr fontId="208" type="noConversion"/>
  </si>
  <si>
    <r>
      <t>11</t>
    </r>
    <r>
      <rPr>
        <sz val="12"/>
        <rFont val="楷体_GB2312"/>
        <family val="3"/>
        <charset val="134"/>
      </rPr>
      <t>幢</t>
    </r>
    <r>
      <rPr>
        <sz val="12"/>
        <rFont val="Arial"/>
        <family val="2"/>
      </rPr>
      <t>3</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</si>
  <si>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0099808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</si>
  <si>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</si>
  <si>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</si>
  <si>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</si>
  <si>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</si>
  <si>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</si>
  <si>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</si>
  <si>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</si>
  <si>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</si>
  <si>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</si>
  <si>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</si>
  <si>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</si>
  <si>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</si>
  <si>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</si>
  <si>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</si>
  <si>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</si>
  <si>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</si>
  <si>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</si>
  <si>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</si>
  <si>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</si>
  <si>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</si>
  <si>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</si>
  <si>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</si>
  <si>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</si>
  <si>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</si>
  <si>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</si>
  <si>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</si>
  <si>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</si>
  <si>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</si>
  <si>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</si>
  <si>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</si>
  <si>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</si>
  <si>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</si>
  <si>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</si>
  <si>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</si>
  <si>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</si>
  <si>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</si>
  <si>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</si>
  <si>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</si>
  <si>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</si>
  <si>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</si>
  <si>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</si>
  <si>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</si>
  <si>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</si>
  <si>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</si>
  <si>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</si>
  <si>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</si>
  <si>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</si>
  <si>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</si>
  <si>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</si>
  <si>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</si>
  <si>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</si>
  <si>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</si>
  <si>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</si>
  <si>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</si>
  <si>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</si>
  <si>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</si>
  <si>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</si>
  <si>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</si>
  <si>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</si>
  <si>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</si>
  <si>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</si>
  <si>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</si>
  <si>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</si>
  <si>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</si>
  <si>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</si>
  <si>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</si>
  <si>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</si>
  <si>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</si>
  <si>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</si>
  <si>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</si>
  <si>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</si>
  <si>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</si>
  <si>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</si>
  <si>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</si>
  <si>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</si>
  <si>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</si>
  <si>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</si>
  <si>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</si>
  <si>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</si>
  <si>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</si>
  <si>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</si>
  <si>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</si>
  <si>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</si>
  <si>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</si>
  <si>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</si>
  <si>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</si>
  <si>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</si>
  <si>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</si>
  <si>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</si>
  <si>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</si>
  <si>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</si>
  <si>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</si>
  <si>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</si>
  <si>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</si>
  <si>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</si>
  <si>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</si>
  <si>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</si>
  <si>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</si>
  <si>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</si>
  <si>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</si>
  <si>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</si>
  <si>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</si>
  <si>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</si>
  <si>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</si>
  <si>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</si>
  <si>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</si>
  <si>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</si>
  <si>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</si>
  <si>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</si>
  <si>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</si>
  <si>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</si>
  <si>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</si>
  <si>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</si>
  <si>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</si>
  <si>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</si>
  <si>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</si>
  <si>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</si>
  <si>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</si>
  <si>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</si>
  <si>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</si>
  <si>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</si>
  <si>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</si>
  <si>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</si>
  <si>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</si>
  <si>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</si>
  <si>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</si>
  <si>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</si>
  <si>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</si>
  <si>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</si>
  <si>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</si>
  <si>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</si>
  <si>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</si>
  <si>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</si>
  <si>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</si>
  <si>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</si>
  <si>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</si>
  <si>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</si>
  <si>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</si>
  <si>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</si>
  <si>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</si>
  <si>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</si>
  <si>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</si>
  <si>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</si>
  <si>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</si>
  <si>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</si>
  <si>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</si>
  <si>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</si>
  <si>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</si>
  <si>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</si>
  <si>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</si>
  <si>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</si>
  <si>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</si>
  <si>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</si>
  <si>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</si>
  <si>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</si>
  <si>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</si>
  <si>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</si>
  <si>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0100087</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</si>
  <si>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</si>
  <si>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</si>
  <si>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</si>
  <si>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</si>
  <si>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</si>
  <si>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0100000</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</si>
  <si>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</si>
  <si>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</si>
  <si>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</si>
  <si>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</si>
  <si>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</si>
  <si>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</si>
  <si>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</si>
  <si>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0099934</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</si>
  <si>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</si>
  <si>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</si>
  <si>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</si>
  <si>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</si>
  <si>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</si>
  <si>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0099988</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</si>
  <si>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</si>
  <si>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</si>
  <si>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</si>
  <si>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0099919</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</si>
  <si>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</si>
  <si>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</si>
  <si>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</si>
  <si>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</si>
  <si>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</si>
  <si>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</si>
  <si>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</si>
  <si>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0100032</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</si>
  <si>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</si>
  <si>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</si>
  <si>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</si>
  <si>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</si>
  <si>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</si>
  <si>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0099975</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</si>
  <si>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</si>
  <si>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0100093</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</si>
  <si>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</si>
  <si>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0100051</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</si>
  <si>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</si>
  <si>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0100096</t>
    </r>
    <r>
      <rPr>
        <sz val="12"/>
        <rFont val="楷体_GB2312"/>
        <family val="3"/>
        <charset val="134"/>
      </rPr>
      <t>号</t>
    </r>
    <phoneticPr fontId="208" type="noConversion"/>
  </si>
  <si>
    <r>
      <t>12</t>
    </r>
    <r>
      <rPr>
        <sz val="12"/>
        <rFont val="楷体_GB2312"/>
        <family val="3"/>
        <charset val="134"/>
      </rPr>
      <t>幢</t>
    </r>
    <r>
      <rPr>
        <sz val="12"/>
        <rFont val="Arial"/>
        <family val="2"/>
      </rPr>
      <t>1</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</si>
  <si>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</si>
  <si>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</si>
  <si>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</si>
  <si>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</si>
  <si>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</si>
  <si>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</si>
  <si>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</si>
  <si>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</si>
  <si>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</si>
  <si>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</si>
  <si>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</si>
  <si>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</si>
  <si>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</si>
  <si>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</si>
  <si>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</si>
  <si>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</si>
  <si>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</si>
  <si>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</si>
  <si>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</si>
  <si>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</si>
  <si>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</si>
  <si>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</si>
  <si>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</si>
  <si>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</si>
  <si>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</si>
  <si>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</si>
  <si>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</si>
  <si>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</si>
  <si>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</si>
  <si>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3001</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</si>
  <si>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</si>
  <si>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</si>
  <si>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</si>
  <si>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</si>
  <si>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</si>
  <si>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</si>
  <si>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</si>
  <si>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</si>
  <si>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</si>
  <si>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</si>
  <si>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0100029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</si>
  <si>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</si>
  <si>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</si>
  <si>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</si>
  <si>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</si>
  <si>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</si>
  <si>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</si>
  <si>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</si>
  <si>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</si>
  <si>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</si>
  <si>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</si>
  <si>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</si>
  <si>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</si>
  <si>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</si>
  <si>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</si>
  <si>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</si>
  <si>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</si>
  <si>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</si>
  <si>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</si>
  <si>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</si>
  <si>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</si>
  <si>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</si>
  <si>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</si>
  <si>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</si>
  <si>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</si>
  <si>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</si>
  <si>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</si>
  <si>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</si>
  <si>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</si>
  <si>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</si>
  <si>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0100101</t>
    </r>
    <r>
      <rPr>
        <sz val="12"/>
        <rFont val="楷体_GB2312"/>
        <family val="3"/>
        <charset val="134"/>
      </rPr>
      <t>号</t>
    </r>
    <r>
      <rPr>
        <sz val="12"/>
        <color indexed="8"/>
        <rFont val="宋体"/>
        <family val="3"/>
        <charset val="134"/>
      </rPr>
      <t/>
    </r>
  </si>
  <si>
    <r>
      <t>12</t>
    </r>
    <r>
      <rPr>
        <sz val="12"/>
        <rFont val="楷体_GB2312"/>
        <family val="3"/>
        <charset val="134"/>
      </rPr>
      <t>幢</t>
    </r>
    <r>
      <rPr>
        <sz val="12"/>
        <rFont val="Arial"/>
        <family val="2"/>
      </rPr>
      <t>2</t>
    </r>
    <r>
      <rPr>
        <sz val="12"/>
        <rFont val="楷体_GB2312"/>
        <family val="3"/>
        <charset val="134"/>
      </rPr>
      <t>单元</t>
    </r>
    <r>
      <rPr>
        <sz val="12"/>
        <rFont val="Arial"/>
        <family val="2"/>
      </rPr>
      <t>2202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</si>
  <si>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</si>
  <si>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</si>
  <si>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</si>
  <si>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</si>
  <si>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</si>
  <si>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</si>
  <si>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</si>
  <si>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</si>
  <si>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</si>
  <si>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</si>
  <si>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</si>
  <si>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</si>
  <si>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</si>
  <si>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</si>
  <si>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</si>
  <si>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3002</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</si>
  <si>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</si>
  <si>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</si>
  <si>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</si>
  <si>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</si>
  <si>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</si>
  <si>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</si>
  <si>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</si>
  <si>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</si>
  <si>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</si>
  <si>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</si>
  <si>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</si>
  <si>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</si>
  <si>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</si>
  <si>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</si>
  <si>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</si>
  <si>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</si>
  <si>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</si>
  <si>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</si>
  <si>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</si>
  <si>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</si>
  <si>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</si>
  <si>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</si>
  <si>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</si>
  <si>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</si>
  <si>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0099996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</si>
  <si>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</si>
  <si>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</si>
  <si>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</si>
  <si>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</si>
  <si>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</si>
  <si>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</si>
  <si>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</si>
  <si>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</si>
  <si>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</si>
  <si>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</si>
  <si>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</si>
  <si>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</si>
  <si>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</si>
  <si>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</si>
  <si>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</si>
  <si>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</si>
  <si>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</si>
  <si>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0100088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</si>
  <si>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</si>
  <si>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</si>
  <si>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</si>
  <si>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</si>
  <si>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</si>
  <si>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</si>
  <si>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</si>
  <si>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0100052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</si>
  <si>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</si>
  <si>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</si>
  <si>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</si>
  <si>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</si>
  <si>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</si>
  <si>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0099974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</si>
  <si>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3003</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</si>
  <si>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</si>
  <si>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</si>
  <si>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</si>
  <si>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</si>
  <si>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</si>
  <si>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</si>
  <si>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</si>
  <si>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</si>
  <si>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0100076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</si>
  <si>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</si>
  <si>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</si>
  <si>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</si>
  <si>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</si>
  <si>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</si>
  <si>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0099982</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</si>
  <si>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</si>
  <si>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0100001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</si>
  <si>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</si>
  <si>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0099965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</si>
  <si>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</si>
  <si>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</si>
  <si>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</si>
  <si>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0100098</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</si>
  <si>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</si>
  <si>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0100106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</si>
  <si>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</si>
  <si>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0100016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</si>
  <si>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</si>
  <si>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</si>
  <si>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</si>
  <si>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</si>
  <si>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</si>
  <si>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0099916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</si>
  <si>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</si>
  <si>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</si>
  <si>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1904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</si>
  <si>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0100110</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</si>
  <si>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</si>
  <si>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</si>
  <si>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2104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</si>
  <si>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0100041</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</si>
  <si>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2204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</si>
  <si>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0099959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</si>
  <si>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2304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</si>
  <si>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0099936</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</si>
  <si>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2404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</si>
  <si>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0100049</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</si>
  <si>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2504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</si>
  <si>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0099945</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</si>
  <si>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2604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</si>
  <si>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0100094</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</si>
  <si>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2704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</si>
  <si>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0100037</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</si>
  <si>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2804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</si>
  <si>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0100043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</si>
  <si>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2904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</si>
  <si>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0100063</t>
    </r>
    <r>
      <rPr>
        <sz val="12"/>
        <rFont val="楷体_GB2312"/>
        <family val="3"/>
        <charset val="134"/>
      </rPr>
      <t>号</t>
    </r>
    <phoneticPr fontId="208" type="noConversion"/>
  </si>
  <si>
    <r>
      <t>12</t>
    </r>
    <r>
      <rPr>
        <sz val="12"/>
        <rFont val="楷体_GB2312"/>
        <family val="3"/>
        <charset val="134"/>
      </rPr>
      <t>幢</t>
    </r>
    <r>
      <rPr>
        <sz val="12"/>
        <rFont val="Arial"/>
        <family val="2"/>
      </rPr>
      <t>2</t>
    </r>
    <r>
      <rPr>
        <sz val="12"/>
        <rFont val="楷体_GB2312"/>
        <family val="3"/>
        <charset val="134"/>
      </rPr>
      <t>单元</t>
    </r>
    <r>
      <rPr>
        <sz val="12"/>
        <rFont val="Arial"/>
        <family val="2"/>
      </rPr>
      <t>3004</t>
    </r>
    <r>
      <rPr>
        <sz val="12"/>
        <rFont val="楷体_GB2312"/>
        <family val="3"/>
        <charset val="134"/>
      </rPr>
      <t>室</t>
    </r>
    <phoneticPr fontId="208" type="noConversion"/>
  </si>
  <si>
    <r>
      <rPr>
        <sz val="12"/>
        <rFont val="楷体_GB2312"/>
        <family val="3"/>
        <charset val="134"/>
      </rPr>
      <t>浙（</t>
    </r>
    <r>
      <rPr>
        <sz val="12"/>
        <rFont val="Arial"/>
        <family val="2"/>
      </rPr>
      <t>2017</t>
    </r>
    <r>
      <rPr>
        <sz val="12"/>
        <rFont val="楷体_GB2312"/>
        <family val="3"/>
        <charset val="134"/>
      </rPr>
      <t>）第</t>
    </r>
    <r>
      <rPr>
        <sz val="12"/>
        <rFont val="Arial"/>
        <family val="2"/>
      </rPr>
      <t>0099924</t>
    </r>
    <r>
      <rPr>
        <sz val="12"/>
        <rFont val="楷体_GB2312"/>
        <family val="3"/>
        <charset val="134"/>
      </rPr>
      <t>号</t>
    </r>
    <phoneticPr fontId="208" type="noConversion"/>
  </si>
  <si>
    <r>
      <rPr>
        <sz val="12"/>
        <rFont val="楷体_GB2312"/>
        <family val="3"/>
        <charset val="134"/>
      </rPr>
      <t>合计</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</si>
</sst>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2"/>
      <color rgb="FFFF0000"/>
      <name val="Tahoma"/>
      <family val="2"/>
    </font>
    <font>
      <sz val="12"/>
      <color indexed="8"/>
      <name val="Tahoma"/>
      <family val="2"/>
    </font>
    <font>
      <sz val="12"/>
      <color indexed="8"/>
      <name val="宋体"/>
      <family val="3"/>
      <charset val="134"/>
    </font>
    <font>
      <sz val="9"/>
      <color theme="1"/>
      <name val="宋体"/>
      <family val="3"/>
      <charset val="134"/>
      <scheme val="minor"/>
    </font>
    <font>
      <sz val="12"/>
      <color theme="1"/>
      <name val="宋体"/>
      <family val="3"/>
      <charset val="134"/>
    </font>
    <font>
      <sz val="12"/>
      <name val="宋体"/>
      <family val="3"/>
      <charset val="134"/>
      <scheme val="minor"/>
    </font>
    <font>
      <sz val="12"/>
      <name val="Tahoma"/>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54" fillId="0" borderId="0">
      <alignment vertical="center"/>
    </xf>
  </cellStyleXfs>
  <cellXfs count="3651">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 fillId="0" borderId="32" xfId="0" applyFont="1" applyBorder="1" applyAlignment="1" applyProtection="1">
      <alignment vertical="center"/>
      <protection locked="0"/>
    </xf>
    <xf numFmtId="0" fontId="10" fillId="0" borderId="75" xfId="0" applyFont="1" applyFill="1" applyBorder="1" applyAlignment="1" applyProtection="1">
      <alignment vertical="center"/>
      <protection locked="0"/>
    </xf>
    <xf numFmtId="0" fontId="224" fillId="0" borderId="0" xfId="8" applyFont="1" applyAlignment="1">
      <alignment horizontal="center" vertical="center"/>
    </xf>
    <xf numFmtId="0" fontId="224" fillId="0" borderId="0" xfId="8" applyFont="1" applyFill="1" applyAlignment="1">
      <alignment horizontal="center" vertical="center"/>
    </xf>
    <xf numFmtId="179" fontId="255" fillId="0" borderId="0" xfId="8" applyNumberFormat="1" applyFont="1" applyFill="1" applyAlignment="1">
      <alignment horizontal="center" vertical="center"/>
    </xf>
    <xf numFmtId="0" fontId="256" fillId="0" borderId="0" xfId="8" applyFont="1" applyFill="1" applyAlignment="1">
      <alignment horizontal="center" vertical="center"/>
    </xf>
    <xf numFmtId="0" fontId="224" fillId="0" borderId="1" xfId="8" applyFont="1" applyBorder="1" applyAlignment="1">
      <alignment horizontal="center" vertical="center"/>
    </xf>
    <xf numFmtId="179" fontId="255" fillId="0" borderId="1" xfId="8" applyNumberFormat="1" applyFont="1" applyFill="1" applyBorder="1" applyAlignment="1">
      <alignment horizontal="center" vertical="center"/>
    </xf>
    <xf numFmtId="0" fontId="256" fillId="0" borderId="1" xfId="8" applyFont="1" applyFill="1" applyBorder="1" applyAlignment="1">
      <alignment horizontal="center" vertical="center"/>
    </xf>
    <xf numFmtId="0" fontId="255" fillId="0" borderId="1" xfId="8" applyFont="1" applyFill="1" applyBorder="1" applyAlignment="1">
      <alignment horizontal="center" vertical="center"/>
    </xf>
    <xf numFmtId="4" fontId="224" fillId="0" borderId="1" xfId="8" applyNumberFormat="1" applyFont="1" applyFill="1" applyBorder="1" applyAlignment="1">
      <alignment horizontal="center" vertical="center"/>
    </xf>
    <xf numFmtId="0" fontId="224" fillId="0" borderId="1" xfId="8" applyFont="1" applyFill="1" applyBorder="1" applyAlignment="1">
      <alignment horizontal="center" vertical="center"/>
    </xf>
    <xf numFmtId="179" fontId="237" fillId="0" borderId="1" xfId="14" applyNumberFormat="1" applyFont="1" applyFill="1" applyBorder="1" applyAlignment="1">
      <alignment horizontal="center" vertical="center" wrapText="1"/>
    </xf>
    <xf numFmtId="49" fontId="54" fillId="0" borderId="1" xfId="14" applyNumberFormat="1" applyFont="1" applyFill="1" applyBorder="1" applyAlignment="1">
      <alignment horizontal="center" vertical="center" wrapText="1"/>
    </xf>
    <xf numFmtId="179" fontId="237" fillId="0" borderId="1" xfId="14" applyNumberFormat="1" applyFont="1" applyBorder="1" applyAlignment="1">
      <alignment horizontal="center" vertical="center" wrapText="1"/>
    </xf>
    <xf numFmtId="0" fontId="224" fillId="0" borderId="1" xfId="8" applyFont="1" applyBorder="1" applyAlignment="1">
      <alignment horizontal="center" vertical="center"/>
    </xf>
    <xf numFmtId="0" fontId="128" fillId="0" borderId="0" xfId="8">
      <alignment vertical="center"/>
    </xf>
    <xf numFmtId="179" fontId="128" fillId="0" borderId="0" xfId="8" applyNumberFormat="1">
      <alignment vertical="center"/>
    </xf>
    <xf numFmtId="0" fontId="128" fillId="0" borderId="0" xfId="8" applyFill="1">
      <alignment vertical="center"/>
    </xf>
    <xf numFmtId="0" fontId="257" fillId="0" borderId="1" xfId="8" applyFont="1" applyFill="1" applyBorder="1" applyAlignment="1">
      <alignment horizontal="center" vertical="center"/>
    </xf>
    <xf numFmtId="179" fontId="255" fillId="6" borderId="1" xfId="8" applyNumberFormat="1" applyFont="1" applyFill="1" applyBorder="1" applyAlignment="1">
      <alignment horizontal="center" vertical="center"/>
    </xf>
    <xf numFmtId="0" fontId="224" fillId="0" borderId="1" xfId="8" applyFont="1" applyBorder="1" applyAlignment="1">
      <alignment horizontal="center" vertical="center"/>
    </xf>
    <xf numFmtId="179" fontId="224" fillId="0" borderId="1" xfId="8" applyNumberFormat="1" applyFont="1" applyBorder="1" applyAlignment="1">
      <alignment horizontal="center" vertical="center"/>
    </xf>
    <xf numFmtId="49" fontId="127" fillId="0" borderId="21"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0" fontId="128" fillId="0" borderId="0" xfId="0" applyFont="1">
      <alignment vertical="center"/>
    </xf>
    <xf numFmtId="0" fontId="258" fillId="13" borderId="134"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258" fillId="13" borderId="167"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3" borderId="132" xfId="0" applyFont="1" applyFill="1" applyBorder="1" applyAlignment="1">
      <alignment horizontal="center" vertical="center" wrapText="1"/>
    </xf>
    <xf numFmtId="0" fontId="258" fillId="12" borderId="168" xfId="0" applyFont="1" applyFill="1" applyBorder="1" applyAlignment="1">
      <alignment horizontal="center" vertical="center" wrapText="1"/>
    </xf>
    <xf numFmtId="0" fontId="258" fillId="12" borderId="138" xfId="0" applyFont="1" applyFill="1" applyBorder="1" applyAlignment="1">
      <alignment horizontal="center" vertical="center" wrapText="1"/>
    </xf>
    <xf numFmtId="0" fontId="258" fillId="13" borderId="168" xfId="0" applyFont="1" applyFill="1" applyBorder="1" applyAlignment="1">
      <alignment horizontal="center" vertical="center" wrapText="1"/>
    </xf>
    <xf numFmtId="0" fontId="258" fillId="13" borderId="138" xfId="0" applyFont="1" applyFill="1" applyBorder="1" applyAlignment="1">
      <alignment horizontal="center" vertical="center" wrapText="1"/>
    </xf>
    <xf numFmtId="0" fontId="258" fillId="12" borderId="169" xfId="0" applyFont="1" applyFill="1" applyBorder="1" applyAlignment="1">
      <alignment horizontal="center" vertical="center" wrapText="1"/>
    </xf>
    <xf numFmtId="0" fontId="258" fillId="12" borderId="140" xfId="0" applyFont="1" applyFill="1" applyBorder="1" applyAlignment="1">
      <alignment horizontal="center" vertical="center" wrapText="1"/>
    </xf>
    <xf numFmtId="0" fontId="258" fillId="12" borderId="141" xfId="0" applyFont="1" applyFill="1" applyBorder="1" applyAlignment="1">
      <alignment horizontal="center" vertical="center" wrapText="1"/>
    </xf>
    <xf numFmtId="0" fontId="10" fillId="0" borderId="39" xfId="0" applyNumberFormat="1" applyFont="1" applyFill="1" applyBorder="1" applyAlignment="1" applyProtection="1">
      <alignment horizontal="center" vertical="center" wrapText="1"/>
      <protection locked="0"/>
    </xf>
    <xf numFmtId="0" fontId="103" fillId="0" borderId="107"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04" xfId="0"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center" vertical="center" wrapText="1"/>
      <protection locked="0"/>
    </xf>
    <xf numFmtId="0" fontId="103" fillId="0" borderId="17" xfId="0" applyNumberFormat="1" applyFont="1" applyFill="1" applyBorder="1" applyAlignment="1" applyProtection="1">
      <alignment horizontal="center" vertical="center" wrapText="1"/>
      <protection locked="0"/>
    </xf>
    <xf numFmtId="0" fontId="198" fillId="8" borderId="104" xfId="0" applyNumberFormat="1" applyFont="1" applyFill="1" applyBorder="1" applyAlignment="1" applyProtection="1">
      <alignment horizontal="center" vertical="center" wrapText="1"/>
      <protection locked="0"/>
    </xf>
    <xf numFmtId="0" fontId="193" fillId="0" borderId="32" xfId="0" applyNumberFormat="1" applyFont="1" applyFill="1" applyBorder="1" applyAlignment="1" applyProtection="1">
      <alignment horizontal="center" vertical="center" wrapText="1"/>
      <protection locked="0"/>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224" fillId="0" borderId="1" xfId="8" applyFont="1" applyBorder="1" applyAlignment="1">
      <alignment horizontal="center" vertical="center"/>
    </xf>
    <xf numFmtId="0" fontId="259" fillId="0" borderId="1" xfId="8" applyFont="1" applyFill="1" applyBorder="1" applyAlignment="1">
      <alignment horizontal="center" vertical="center"/>
    </xf>
    <xf numFmtId="0" fontId="237" fillId="0" borderId="1" xfId="8" applyFont="1" applyFill="1" applyBorder="1" applyAlignment="1">
      <alignment horizontal="center" vertical="center"/>
    </xf>
    <xf numFmtId="0" fontId="260" fillId="0" borderId="1" xfId="8" applyFont="1" applyFill="1" applyBorder="1" applyAlignment="1">
      <alignment horizontal="center" vertical="center"/>
    </xf>
    <xf numFmtId="0" fontId="261" fillId="0" borderId="1" xfId="8" applyFont="1" applyFill="1" applyBorder="1" applyAlignment="1">
      <alignment horizontal="center" vertical="center"/>
    </xf>
    <xf numFmtId="0" fontId="54" fillId="0" borderId="1" xfId="8" applyFont="1" applyFill="1" applyBorder="1" applyAlignment="1">
      <alignment horizontal="center" vertical="center"/>
    </xf>
    <xf numFmtId="179" fontId="261" fillId="0" borderId="1" xfId="8" applyNumberFormat="1" applyFont="1" applyFill="1" applyBorder="1" applyAlignment="1">
      <alignment horizontal="center" vertical="center"/>
    </xf>
    <xf numFmtId="0" fontId="262" fillId="0" borderId="0" xfId="8" applyFont="1" applyFill="1">
      <alignment vertical="center"/>
    </xf>
    <xf numFmtId="0" fontId="224" fillId="0" borderId="1" xfId="8" applyFont="1" applyBorder="1" applyAlignment="1">
      <alignment horizontal="center" vertical="center"/>
    </xf>
    <xf numFmtId="0" fontId="260" fillId="6" borderId="1" xfId="8" applyFont="1" applyFill="1" applyBorder="1" applyAlignment="1">
      <alignment horizontal="center" vertical="center"/>
    </xf>
    <xf numFmtId="0" fontId="261" fillId="6" borderId="1" xfId="8" applyFont="1" applyFill="1" applyBorder="1" applyAlignment="1">
      <alignment horizontal="center" vertical="center"/>
    </xf>
    <xf numFmtId="0" fontId="54" fillId="6" borderId="1" xfId="8" applyFont="1" applyFill="1" applyBorder="1" applyAlignment="1">
      <alignment horizontal="center" vertical="center"/>
    </xf>
    <xf numFmtId="0" fontId="262" fillId="6" borderId="0" xfId="8" applyFont="1" applyFill="1">
      <alignment vertical="center"/>
    </xf>
    <xf numFmtId="0" fontId="224" fillId="6" borderId="1" xfId="8" applyFont="1" applyFill="1" applyBorder="1" applyAlignment="1">
      <alignment horizontal="center" vertical="center"/>
    </xf>
    <xf numFmtId="0" fontId="256" fillId="6" borderId="1" xfId="8" applyFont="1" applyFill="1" applyBorder="1" applyAlignment="1">
      <alignment horizontal="center" vertical="center"/>
    </xf>
    <xf numFmtId="0" fontId="259" fillId="6" borderId="1" xfId="8" applyFont="1" applyFill="1" applyBorder="1" applyAlignment="1">
      <alignment horizontal="center" vertical="center"/>
    </xf>
    <xf numFmtId="0" fontId="128" fillId="6" borderId="0" xfId="8" applyFill="1">
      <alignment vertical="center"/>
    </xf>
    <xf numFmtId="0" fontId="224" fillId="0" borderId="1" xfId="8" applyFont="1" applyFill="1" applyBorder="1" applyAlignment="1">
      <alignment horizontal="center" vertical="center"/>
    </xf>
    <xf numFmtId="0" fontId="257" fillId="16" borderId="1" xfId="8" applyFont="1" applyFill="1" applyBorder="1" applyAlignment="1">
      <alignment horizontal="center" vertical="center"/>
    </xf>
    <xf numFmtId="0" fontId="257" fillId="17" borderId="1" xfId="8" applyFont="1" applyFill="1" applyBorder="1" applyAlignment="1">
      <alignment horizontal="center" vertical="center"/>
    </xf>
    <xf numFmtId="0" fontId="261" fillId="16" borderId="1" xfId="8" applyFont="1" applyFill="1" applyBorder="1" applyAlignment="1">
      <alignment horizontal="center" vertical="center"/>
    </xf>
    <xf numFmtId="0" fontId="256" fillId="16" borderId="1" xfId="8" applyFont="1" applyFill="1" applyBorder="1" applyAlignment="1">
      <alignment horizontal="center" vertical="center"/>
    </xf>
    <xf numFmtId="0" fontId="224" fillId="18" borderId="1" xfId="8" applyFont="1" applyFill="1" applyBorder="1" applyAlignment="1">
      <alignment horizontal="center" vertical="center"/>
    </xf>
    <xf numFmtId="0" fontId="256" fillId="18" borderId="1" xfId="8" applyFont="1" applyFill="1" applyBorder="1" applyAlignment="1">
      <alignment horizontal="center" vertical="center"/>
    </xf>
    <xf numFmtId="0" fontId="259" fillId="18" borderId="1" xfId="8" applyFont="1" applyFill="1" applyBorder="1" applyAlignment="1">
      <alignment horizontal="center" vertical="center"/>
    </xf>
    <xf numFmtId="0" fontId="257" fillId="18" borderId="1" xfId="8" applyFont="1" applyFill="1" applyBorder="1" applyAlignment="1">
      <alignment horizontal="center" vertical="center"/>
    </xf>
    <xf numFmtId="0" fontId="128" fillId="18" borderId="0" xfId="8" applyFill="1">
      <alignment vertical="center"/>
    </xf>
    <xf numFmtId="179" fontId="255" fillId="18" borderId="1" xfId="8" applyNumberFormat="1" applyFont="1" applyFill="1" applyBorder="1" applyAlignment="1">
      <alignment horizontal="center" vertical="center"/>
    </xf>
    <xf numFmtId="0" fontId="24" fillId="5" borderId="2" xfId="0" applyFont="1" applyFill="1" applyBorder="1" applyAlignment="1" applyProtection="1">
      <alignment horizontal="center" vertical="center" wrapText="1"/>
    </xf>
    <xf numFmtId="181" fontId="68" fillId="9" borderId="31" xfId="0" applyNumberFormat="1" applyFont="1" applyFill="1" applyBorder="1" applyAlignment="1" applyProtection="1">
      <alignment horizontal="center" vertical="center"/>
      <protection locked="0"/>
    </xf>
    <xf numFmtId="10" fontId="68" fillId="9" borderId="6" xfId="1" applyNumberFormat="1" applyFont="1" applyFill="1" applyBorder="1" applyAlignment="1" applyProtection="1">
      <alignment horizontal="center" vertical="center"/>
      <protection locked="0"/>
    </xf>
    <xf numFmtId="10" fontId="65" fillId="9" borderId="58" xfId="0" applyNumberFormat="1" applyFont="1" applyFill="1" applyBorder="1" applyAlignment="1" applyProtection="1">
      <alignment horizontal="center" vertical="center"/>
      <protection locked="0"/>
    </xf>
    <xf numFmtId="0" fontId="80" fillId="9" borderId="69" xfId="0" applyNumberFormat="1" applyFont="1" applyFill="1" applyBorder="1" applyAlignment="1" applyProtection="1">
      <alignment horizontal="center" vertical="center" wrapText="1"/>
      <protection locked="0"/>
    </xf>
    <xf numFmtId="0" fontId="24" fillId="9" borderId="12" xfId="0" applyFont="1" applyFill="1" applyBorder="1" applyAlignment="1" applyProtection="1">
      <alignment horizontal="center" vertical="center" wrapText="1"/>
    </xf>
    <xf numFmtId="0" fontId="24" fillId="9" borderId="2" xfId="0" applyFont="1" applyFill="1" applyBorder="1" applyAlignment="1" applyProtection="1">
      <alignment horizontal="center" vertical="center" wrapText="1"/>
    </xf>
    <xf numFmtId="0" fontId="24" fillId="9" borderId="2" xfId="0" applyNumberFormat="1" applyFont="1" applyFill="1" applyBorder="1" applyAlignment="1" applyProtection="1">
      <alignment horizontal="center" vertical="center" wrapText="1"/>
    </xf>
    <xf numFmtId="0" fontId="24" fillId="9" borderId="6" xfId="0" applyNumberFormat="1" applyFont="1" applyFill="1" applyBorder="1" applyAlignment="1" applyProtection="1">
      <alignment horizontal="center" vertical="center" wrapText="1"/>
    </xf>
    <xf numFmtId="0" fontId="65" fillId="9" borderId="19" xfId="0" applyNumberFormat="1" applyFont="1" applyFill="1" applyBorder="1" applyAlignment="1" applyProtection="1">
      <alignment horizontal="center" vertical="center" wrapText="1"/>
      <protection locked="0"/>
    </xf>
    <xf numFmtId="0" fontId="65" fillId="9" borderId="3" xfId="0" applyNumberFormat="1" applyFont="1" applyFill="1" applyBorder="1" applyAlignment="1" applyProtection="1">
      <alignment horizontal="center" vertical="center" wrapText="1"/>
      <protection locked="0"/>
    </xf>
    <xf numFmtId="0" fontId="65" fillId="9" borderId="7" xfId="0" applyNumberFormat="1" applyFont="1" applyFill="1" applyBorder="1" applyAlignment="1" applyProtection="1">
      <alignment horizontal="center" vertical="center" wrapText="1"/>
      <protection locked="0"/>
    </xf>
    <xf numFmtId="0" fontId="23" fillId="9" borderId="41" xfId="0" applyNumberFormat="1" applyFont="1" applyFill="1" applyBorder="1" applyAlignment="1" applyProtection="1">
      <alignment horizontal="center" vertical="center" wrapText="1"/>
    </xf>
    <xf numFmtId="0" fontId="24" fillId="7" borderId="2" xfId="0" applyFont="1" applyFill="1" applyBorder="1" applyAlignment="1" applyProtection="1">
      <alignment horizontal="center" vertical="center" wrapText="1"/>
    </xf>
    <xf numFmtId="9" fontId="65" fillId="9" borderId="19" xfId="0" applyNumberFormat="1" applyFont="1" applyFill="1" applyBorder="1" applyAlignment="1" applyProtection="1">
      <alignment horizontal="center" vertical="center" wrapText="1"/>
      <protection locked="0"/>
    </xf>
    <xf numFmtId="0" fontId="10" fillId="7" borderId="107" xfId="0" applyNumberFormat="1" applyFont="1" applyFill="1" applyBorder="1" applyAlignment="1" applyProtection="1">
      <alignment horizontal="center" vertical="center" wrapText="1"/>
      <protection locked="0"/>
    </xf>
    <xf numFmtId="0" fontId="10" fillId="7" borderId="39" xfId="0" applyNumberFormat="1" applyFont="1" applyFill="1" applyBorder="1" applyAlignment="1" applyProtection="1">
      <alignment horizontal="center" vertical="center" wrapText="1"/>
      <protection locked="0"/>
    </xf>
    <xf numFmtId="58" fontId="103" fillId="7" borderId="103" xfId="0" applyNumberFormat="1" applyFont="1" applyFill="1" applyBorder="1" applyAlignment="1" applyProtection="1">
      <alignment horizontal="center" vertical="center" wrapText="1"/>
      <protection locked="0"/>
    </xf>
    <xf numFmtId="0" fontId="103" fillId="7" borderId="104" xfId="0" applyNumberFormat="1" applyFont="1" applyFill="1" applyBorder="1" applyAlignment="1" applyProtection="1">
      <alignment horizontal="center" vertical="center" wrapText="1"/>
      <protection locked="0"/>
    </xf>
    <xf numFmtId="0" fontId="198" fillId="7" borderId="103" xfId="0" applyNumberFormat="1" applyFont="1" applyFill="1" applyBorder="1" applyAlignment="1" applyProtection="1">
      <alignment horizontal="center" vertical="center" wrapText="1"/>
      <protection locked="0"/>
    </xf>
    <xf numFmtId="0" fontId="198" fillId="7" borderId="104" xfId="0" applyNumberFormat="1" applyFont="1" applyFill="1" applyBorder="1" applyAlignment="1" applyProtection="1">
      <alignment horizontal="center" vertical="center" wrapText="1"/>
      <protection locked="0"/>
    </xf>
    <xf numFmtId="0" fontId="82" fillId="9" borderId="1" xfId="0" applyFont="1" applyFill="1" applyBorder="1" applyAlignment="1" applyProtection="1">
      <alignment horizontal="center" vertical="center"/>
      <protection locked="0"/>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103" fillId="9" borderId="107" xfId="0" applyNumberFormat="1" applyFont="1" applyFill="1" applyBorder="1" applyAlignment="1" applyProtection="1">
      <alignment horizontal="center" vertical="center" wrapText="1"/>
      <protection locked="0"/>
    </xf>
    <xf numFmtId="58" fontId="68" fillId="9" borderId="103" xfId="0" applyNumberFormat="1" applyFont="1" applyFill="1" applyBorder="1" applyAlignment="1" applyProtection="1">
      <alignment horizontal="center" vertical="center" wrapText="1"/>
      <protection locked="0"/>
    </xf>
    <xf numFmtId="0" fontId="68" fillId="9" borderId="104" xfId="0" applyNumberFormat="1" applyFont="1" applyFill="1" applyBorder="1" applyAlignment="1" applyProtection="1">
      <alignment horizontal="center" vertical="center" wrapText="1"/>
      <protection locked="0"/>
    </xf>
    <xf numFmtId="181" fontId="65" fillId="9" borderId="6" xfId="0" applyNumberFormat="1"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224" fillId="0" borderId="1" xfId="8" applyFont="1" applyBorder="1" applyAlignment="1">
      <alignment horizontal="center" vertical="center"/>
    </xf>
    <xf numFmtId="0" fontId="224" fillId="0" borderId="1" xfId="8" applyFont="1" applyFill="1" applyBorder="1" applyAlignment="1">
      <alignment horizontal="center" vertical="center"/>
    </xf>
    <xf numFmtId="0" fontId="172" fillId="0" borderId="1" xfId="8" applyFont="1" applyBorder="1" applyAlignment="1">
      <alignment horizontal="center" vertical="center"/>
    </xf>
    <xf numFmtId="0" fontId="168" fillId="0" borderId="1" xfId="8" applyFont="1" applyBorder="1" applyAlignment="1">
      <alignment horizontal="left" vertical="center"/>
    </xf>
    <xf numFmtId="0" fontId="172" fillId="0" borderId="35" xfId="8" applyFont="1" applyBorder="1" applyAlignment="1">
      <alignment horizontal="center" vertical="center"/>
    </xf>
    <xf numFmtId="0" fontId="172" fillId="0" borderId="36" xfId="8" applyFont="1" applyBorder="1" applyAlignment="1">
      <alignment horizontal="center" vertical="center"/>
    </xf>
    <xf numFmtId="0" fontId="172" fillId="0" borderId="64" xfId="8" applyFont="1" applyBorder="1" applyAlignment="1">
      <alignment horizontal="center" vertical="center"/>
    </xf>
    <xf numFmtId="0" fontId="172" fillId="0" borderId="65" xfId="8" applyFont="1" applyBorder="1" applyAlignment="1">
      <alignment horizontal="center" vertical="center"/>
    </xf>
    <xf numFmtId="0" fontId="168" fillId="0" borderId="2" xfId="8" applyFont="1" applyBorder="1" applyAlignment="1">
      <alignment horizontal="left" vertical="center"/>
    </xf>
    <xf numFmtId="0" fontId="168" fillId="0" borderId="51" xfId="8" applyFont="1" applyBorder="1" applyAlignment="1">
      <alignment horizontal="left"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72" fillId="5" borderId="1" xfId="0" applyFont="1" applyFill="1" applyBorder="1" applyAlignment="1" applyProtection="1">
      <alignment horizontal="center" vertical="center" wrapText="1"/>
    </xf>
    <xf numFmtId="186"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186"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1" fillId="5" borderId="1" xfId="0" applyNumberFormat="1"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49" fontId="23" fillId="0" borderId="1" xfId="14" applyNumberFormat="1" applyFont="1" applyFill="1" applyBorder="1" applyAlignment="1">
      <alignment horizontal="center" vertical="center" wrapText="1"/>
    </xf>
    <xf numFmtId="49" fontId="80" fillId="0" borderId="1" xfId="14" applyNumberFormat="1" applyFont="1" applyFill="1" applyBorder="1" applyAlignment="1">
      <alignment horizontal="center" vertical="center" wrapText="1"/>
    </xf>
    <xf numFmtId="0" fontId="80" fillId="0" borderId="1" xfId="8" applyFont="1" applyFill="1" applyBorder="1" applyAlignment="1">
      <alignment horizontal="center" vertical="center"/>
    </xf>
    <xf numFmtId="0" fontId="84" fillId="0" borderId="35" xfId="8" applyFont="1" applyFill="1" applyBorder="1" applyAlignment="1">
      <alignment horizontal="center" vertical="center"/>
    </xf>
    <xf numFmtId="0" fontId="84" fillId="0" borderId="36" xfId="8" applyFont="1" applyFill="1" applyBorder="1" applyAlignment="1">
      <alignment horizontal="center" vertical="center"/>
    </xf>
    <xf numFmtId="0" fontId="84" fillId="0" borderId="27" xfId="8" applyFont="1" applyFill="1" applyBorder="1" applyAlignment="1">
      <alignment horizontal="center" vertical="center"/>
    </xf>
    <xf numFmtId="0" fontId="72" fillId="0" borderId="0" xfId="8" applyFont="1" applyFill="1">
      <alignment vertical="center"/>
    </xf>
    <xf numFmtId="0" fontId="84" fillId="0" borderId="60" xfId="8" applyFont="1" applyFill="1" applyBorder="1" applyAlignment="1">
      <alignment horizontal="center" vertical="center"/>
    </xf>
    <xf numFmtId="0" fontId="84" fillId="0" borderId="0" xfId="8" applyFont="1" applyFill="1" applyBorder="1" applyAlignment="1">
      <alignment horizontal="center" vertical="center"/>
    </xf>
    <xf numFmtId="0" fontId="84" fillId="0" borderId="25" xfId="8" applyFont="1" applyFill="1" applyBorder="1" applyAlignment="1">
      <alignment horizontal="center" vertical="center"/>
    </xf>
    <xf numFmtId="0" fontId="79" fillId="0" borderId="64" xfId="8" applyFont="1" applyFill="1" applyBorder="1" applyAlignment="1">
      <alignment vertical="center"/>
    </xf>
    <xf numFmtId="0" fontId="79" fillId="0" borderId="65" xfId="8" applyFont="1" applyFill="1" applyBorder="1" applyAlignment="1">
      <alignment vertical="center"/>
    </xf>
    <xf numFmtId="0" fontId="79" fillId="0" borderId="24" xfId="8" applyFont="1" applyFill="1" applyBorder="1" applyAlignment="1">
      <alignment vertical="center"/>
    </xf>
    <xf numFmtId="179" fontId="80" fillId="0" borderId="1" xfId="14" applyNumberFormat="1" applyFont="1" applyFill="1" applyBorder="1" applyAlignment="1">
      <alignment horizontal="center" vertical="center" wrapText="1"/>
    </xf>
    <xf numFmtId="179" fontId="23" fillId="0" borderId="1" xfId="14" applyNumberFormat="1" applyFont="1" applyBorder="1" applyAlignment="1">
      <alignment horizontal="center" vertical="center" wrapText="1"/>
    </xf>
    <xf numFmtId="0" fontId="127" fillId="0" borderId="1" xfId="8" applyFont="1" applyFill="1" applyBorder="1" applyAlignment="1">
      <alignment horizontal="center" vertical="center" wrapText="1"/>
    </xf>
    <xf numFmtId="179" fontId="80" fillId="0" borderId="1" xfId="8" applyNumberFormat="1" applyFont="1" applyFill="1" applyBorder="1" applyAlignment="1">
      <alignment horizontal="center" vertical="center"/>
    </xf>
    <xf numFmtId="0" fontId="72" fillId="0" borderId="1" xfId="8" applyFont="1" applyFill="1" applyBorder="1" applyAlignment="1">
      <alignment horizontal="center" vertical="center"/>
    </xf>
    <xf numFmtId="0" fontId="72" fillId="0" borderId="0" xfId="8" applyFont="1" applyFill="1" applyAlignment="1">
      <alignment horizontal="center" vertical="center"/>
    </xf>
    <xf numFmtId="0" fontId="80" fillId="0" borderId="1" xfId="8" applyFont="1" applyBorder="1" applyAlignment="1">
      <alignment horizontal="center" vertical="center"/>
    </xf>
    <xf numFmtId="0" fontId="72" fillId="0" borderId="0" xfId="8" applyFont="1">
      <alignment vertical="center"/>
    </xf>
    <xf numFmtId="0" fontId="80" fillId="0" borderId="0" xfId="8" applyFont="1" applyAlignment="1">
      <alignment horizontal="center" vertical="center"/>
    </xf>
    <xf numFmtId="0" fontId="80" fillId="0" borderId="1" xfId="8" applyNumberFormat="1" applyFont="1" applyFill="1" applyBorder="1" applyAlignment="1">
      <alignment horizontal="center" vertical="center"/>
    </xf>
    <xf numFmtId="0" fontId="80" fillId="0" borderId="1" xfId="8" applyNumberFormat="1" applyFont="1" applyBorder="1" applyAlignment="1">
      <alignment horizontal="center" vertical="center"/>
    </xf>
  </cellXfs>
  <cellStyles count="15">
    <cellStyle name="常规" xfId="0" builtinId="0"/>
    <cellStyle name="常规 16" xfId="8"/>
    <cellStyle name="常规 2" xfId="1"/>
    <cellStyle name="常规 2 2" xfId="6"/>
    <cellStyle name="常规 2 3" xfId="14"/>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8</xdr:row>
      <xdr:rowOff>133349</xdr:rowOff>
    </xdr:from>
    <xdr:to>
      <xdr:col>11</xdr:col>
      <xdr:colOff>257175</xdr:colOff>
      <xdr:row>40</xdr:row>
      <xdr:rowOff>11902</xdr:rowOff>
    </xdr:to>
    <xdr:pic>
      <xdr:nvPicPr>
        <xdr:cNvPr id="3" name="图片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523999"/>
          <a:ext cx="7591425" cy="536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194396</xdr:colOff>
      <xdr:row>9</xdr:row>
      <xdr:rowOff>104775</xdr:rowOff>
    </xdr:from>
    <xdr:to>
      <xdr:col>15</xdr:col>
      <xdr:colOff>57149</xdr:colOff>
      <xdr:row>28</xdr:row>
      <xdr:rowOff>142874</xdr:rowOff>
    </xdr:to>
    <xdr:pic>
      <xdr:nvPicPr>
        <xdr:cNvPr id="4" name="图片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0796" y="1666875"/>
          <a:ext cx="4663353" cy="3295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WeChat%20Files\GunKang\Files\&#23545;&#20844;&#20107;&#19994;&#37096;&#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Sheet1"/>
      <sheetName val="Sheet2"/>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土地比较法-住宅、综合"/>
      <sheetName val="典型户型修正"/>
      <sheetName val="比较法-商业"/>
      <sheetName val="比较法-办公"/>
      <sheetName val="比较法-工业"/>
      <sheetName val="比较法-车位"/>
      <sheetName val="比较法-仓储"/>
      <sheetName val="土地比较法-工业"/>
      <sheetName val="基准地价修正"/>
      <sheetName val="因素修正幅度"/>
      <sheetName val="基准地价修正-因素"/>
      <sheetName val="区片价"/>
      <sheetName val="修正"/>
      <sheetName val="容积率修正"/>
      <sheetName val="地价"/>
      <sheetName val="存贷款利率"/>
      <sheetName val="Sheet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0" sqref="B20"/>
    </sheetView>
  </sheetViews>
  <sheetFormatPr defaultRowHeight="15"/>
  <cols>
    <col min="1" max="1" width="32.5" style="2854" customWidth="1"/>
    <col min="2" max="2" width="94.875" style="2840" customWidth="1"/>
    <col min="3" max="16384" width="9" style="2850"/>
  </cols>
  <sheetData>
    <row r="1" spans="1:2" s="2845" customFormat="1" ht="16.5" thickBot="1">
      <c r="A1" s="2843" t="s">
        <v>2656</v>
      </c>
      <c r="B1" s="2844" t="s">
        <v>2729</v>
      </c>
    </row>
    <row r="2" spans="1:2" s="2847" customFormat="1" ht="15.75" thickTop="1">
      <c r="A2" s="2846" t="s">
        <v>2657</v>
      </c>
      <c r="B2" s="2832" t="str">
        <f>'预评函-封皮'!B9</f>
        <v>浙江省杭州市房地产抵押价值预评估</v>
      </c>
    </row>
    <row r="3" spans="1:2" s="2847" customFormat="1">
      <c r="A3" s="2848" t="s">
        <v>2658</v>
      </c>
      <c r="B3" s="2833" t="str">
        <f>'预评函-封皮'!B12</f>
        <v>杭州名城博园置业有限公司</v>
      </c>
    </row>
    <row r="4" spans="1:2" s="2847" customFormat="1">
      <c r="A4" s="2848" t="s">
        <v>2659</v>
      </c>
      <c r="B4" s="2833" t="str">
        <f ca="1">'预评函-封皮'!B18</f>
        <v>梁津（注册号:1119970066）、王鹏（注册号:1120050019)</v>
      </c>
    </row>
    <row r="5" spans="1:2" s="2845" customFormat="1" ht="15.75" thickBot="1">
      <c r="A5" s="2849" t="s">
        <v>2660</v>
      </c>
      <c r="B5" s="2834" t="str">
        <f>'预评函-封皮'!B21</f>
        <v>康正预评字号</v>
      </c>
    </row>
    <row r="6" spans="1:2" s="2847" customFormat="1" ht="15.75" thickTop="1">
      <c r="A6" s="2848" t="s">
        <v>2661</v>
      </c>
      <c r="B6" s="2832" t="str">
        <f>'预评函-1'!A4</f>
        <v>受贵公司委托，我公司对浙江省杭州市房地产进行了预评估。</v>
      </c>
    </row>
    <row r="7" spans="1:2">
      <c r="A7" s="2848" t="s">
        <v>2662</v>
      </c>
      <c r="B7" s="2835" t="str">
        <f>'预评函-1'!A6</f>
        <v>估价对象为浙江省杭州市房地产，为杭州名城博园置业有限公司所有。根据《不动产权证书》[]，估价对象建筑面积为88039.9299999993平方米，（分摊）出让国有建设用地使用权面积为4968.70000000005平方米。估价对象用途为。</v>
      </c>
    </row>
    <row r="8" spans="1:2">
      <c r="A8" s="2848" t="s">
        <v>2663</v>
      </c>
      <c r="B8" s="2835" t="str">
        <f>'预评函-1'!A8</f>
        <v>为估价委托人在向五矿信托办理贷款手续过程中，确定房地产抵押贷款额度提供参考依据而评估房地产抵押价值。</v>
      </c>
    </row>
    <row r="9" spans="1:2">
      <c r="A9" s="2848" t="s">
        <v>2664</v>
      </c>
      <c r="B9" s="2835" t="str">
        <f>'预评函-1'!A10</f>
        <v>2017年6月30日（评估专业人员实地查勘之日）</v>
      </c>
    </row>
    <row r="10" spans="1:2">
      <c r="A10" s="2848" t="s">
        <v>2665</v>
      </c>
      <c r="B10" s="2835" t="str">
        <f>'预评函-1'!A13</f>
        <v>本次估价的“房地产价值”是指在正常市场情况下，在价值时点2017年6月30日，估价对象规划用途为，假定未设立法定优先受偿款下的房地产市场价值。</v>
      </c>
    </row>
    <row r="11" spans="1:2">
      <c r="A11" s="2848" t="s">
        <v>2666</v>
      </c>
      <c r="B11" s="2835"/>
    </row>
    <row r="12" spans="1:2">
      <c r="A12" s="2848" t="s">
        <v>2667</v>
      </c>
      <c r="B12" s="2835" t="str">
        <f>'预评函-1'!A14</f>
        <v>本次估价的“房地产抵押价值”是指估价对象在价值时点的“房地产价值”扣减估价师于价值时点所知悉的法定优先受偿款后的余额。</v>
      </c>
    </row>
    <row r="13" spans="1:2">
      <c r="A13" s="2848" t="s">
        <v>2668</v>
      </c>
      <c r="B13" s="2835"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48" t="s">
        <v>2669</v>
      </c>
      <c r="B14" s="28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5" customFormat="1" ht="15.75" thickBot="1">
      <c r="A15" s="2849" t="s">
        <v>2670</v>
      </c>
      <c r="B15" s="2836" t="str">
        <f>'预评函-1'!A18</f>
        <v>本次评估采用的主估价方法为比较法和收益法。</v>
      </c>
    </row>
    <row r="16" spans="1:2" ht="15.75" thickTop="1">
      <c r="A16" s="2846" t="s">
        <v>2671</v>
      </c>
      <c r="B16" s="2834"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8" t="s">
        <v>2672</v>
      </c>
      <c r="B17" s="2835" t="str">
        <f>'预评函-2（1）'!B6</f>
        <v>浙江省杭州市房地产</v>
      </c>
    </row>
    <row r="18" spans="1:2">
      <c r="A18" s="2848" t="s">
        <v>2673</v>
      </c>
      <c r="B18" s="2835">
        <f>'预评函-2（1）'!C6</f>
        <v>88039.929999999338</v>
      </c>
    </row>
    <row r="19" spans="1:2">
      <c r="A19" s="2848" t="s">
        <v>2674</v>
      </c>
      <c r="B19" s="2835">
        <f ca="1">'预评函-2（1）'!D7</f>
        <v>143304</v>
      </c>
    </row>
    <row r="20" spans="1:2">
      <c r="A20" s="2848" t="s">
        <v>2722</v>
      </c>
      <c r="B20" s="2835" t="str">
        <f>'预评函-2（1）'!C7</f>
        <v>总价（万元）</v>
      </c>
    </row>
    <row r="21" spans="1:2">
      <c r="A21" s="2848" t="s">
        <v>2675</v>
      </c>
      <c r="B21" s="2835">
        <f ca="1">'预评函-2（1）'!D9</f>
        <v>16277</v>
      </c>
    </row>
    <row r="22" spans="1:2">
      <c r="A22" s="2848" t="s">
        <v>2676</v>
      </c>
      <c r="B22" s="2835" t="str">
        <f ca="1">'预评函-2（1）'!D8</f>
        <v>壹拾肆亿叁仟叁佰零肆万元整</v>
      </c>
    </row>
    <row r="23" spans="1:2">
      <c r="A23" s="2848" t="s">
        <v>2723</v>
      </c>
      <c r="B23" s="2835">
        <f>'预评函-2（1）'!D10</f>
        <v>0</v>
      </c>
    </row>
    <row r="24" spans="1:2">
      <c r="A24" s="2848" t="s">
        <v>2724</v>
      </c>
      <c r="B24" s="2835" t="str">
        <f>'预评函-2（1）'!C10</f>
        <v>总额（万元）</v>
      </c>
    </row>
    <row r="25" spans="1:2">
      <c r="A25" s="2848" t="s">
        <v>2677</v>
      </c>
      <c r="B25" s="2835" t="str">
        <f>'预评函-2（1）'!D11</f>
        <v>零元整</v>
      </c>
    </row>
    <row r="26" spans="1:2">
      <c r="A26" s="2848" t="s">
        <v>2678</v>
      </c>
      <c r="B26" s="2835">
        <f>'预评函-2（1）'!D12</f>
        <v>0</v>
      </c>
    </row>
    <row r="27" spans="1:2">
      <c r="A27" s="2848" t="s">
        <v>2679</v>
      </c>
      <c r="B27" s="2835">
        <f>'预评函-2（1）'!D13</f>
        <v>0</v>
      </c>
    </row>
    <row r="28" spans="1:2">
      <c r="A28" s="2848" t="s">
        <v>2680</v>
      </c>
      <c r="B28" s="2835">
        <f>'预评函-2（1）'!D14</f>
        <v>0</v>
      </c>
    </row>
    <row r="29" spans="1:2">
      <c r="A29" s="2848" t="s">
        <v>2681</v>
      </c>
      <c r="B29" s="2835">
        <f ca="1">'预评函-2（1）'!D15</f>
        <v>143304</v>
      </c>
    </row>
    <row r="30" spans="1:2">
      <c r="A30" s="2848" t="s">
        <v>2682</v>
      </c>
      <c r="B30" s="2835" t="str">
        <f ca="1">'预评函-2（1）'!D16</f>
        <v>壹拾肆亿叁仟叁佰零肆万元整</v>
      </c>
    </row>
    <row r="31" spans="1:2">
      <c r="A31" s="2848" t="s">
        <v>2683</v>
      </c>
      <c r="B31" s="2835" t="str">
        <f>'预评函-2（1）'!D18</f>
        <v>——</v>
      </c>
    </row>
    <row r="32" spans="1:2">
      <c r="A32" s="2848" t="s">
        <v>2684</v>
      </c>
      <c r="B32" s="2835" t="e">
        <f>'预评函-2（1）'!D19</f>
        <v>#VALUE!</v>
      </c>
    </row>
    <row r="33" spans="1:2">
      <c r="A33" s="2848" t="s">
        <v>2685</v>
      </c>
      <c r="B33" s="2835" t="str">
        <f>'预评函-2（1）'!D21</f>
        <v>——</v>
      </c>
    </row>
    <row r="34" spans="1:2">
      <c r="A34" s="2848" t="s">
        <v>2686</v>
      </c>
      <c r="B34" s="2835" t="str">
        <f ca="1">'预评函-2（1）'!D23</f>
        <v>——</v>
      </c>
    </row>
    <row r="35" spans="1:2">
      <c r="A35" s="2848" t="s">
        <v>2687</v>
      </c>
      <c r="B35" s="2835" t="e">
        <f>'预评函-2（1）'!D22</f>
        <v>#VALUE!</v>
      </c>
    </row>
    <row r="36" spans="1:2">
      <c r="A36" s="2848" t="s">
        <v>2688</v>
      </c>
      <c r="B36" s="2835">
        <f>'预评函-2（2）'!C4</f>
        <v>4968.7000000000498</v>
      </c>
    </row>
    <row r="37" spans="1:2">
      <c r="A37" s="2848" t="s">
        <v>2689</v>
      </c>
      <c r="B37" s="2835">
        <f>'预评函-2（2）'!D4</f>
        <v>0</v>
      </c>
    </row>
    <row r="38" spans="1:2">
      <c r="A38" s="2848" t="s">
        <v>2690</v>
      </c>
      <c r="B38" s="2835">
        <f>'预评函-2（2）'!E4</f>
        <v>0</v>
      </c>
    </row>
    <row r="39" spans="1:2">
      <c r="A39" s="2848" t="s">
        <v>2691</v>
      </c>
      <c r="B39" s="2835" t="str">
        <f>'预评函-2（2）'!D5</f>
        <v>零元整</v>
      </c>
    </row>
    <row r="40" spans="1:2">
      <c r="A40" s="2848" t="s">
        <v>2692</v>
      </c>
      <c r="B40" s="2835">
        <f>'预评函-2（2）'!F4</f>
        <v>0</v>
      </c>
    </row>
    <row r="41" spans="1:2">
      <c r="A41" s="2848" t="s">
        <v>2693</v>
      </c>
      <c r="B41" s="2835">
        <f>'预评函-2（2）'!G4</f>
        <v>0</v>
      </c>
    </row>
    <row r="42" spans="1:2" s="2845" customFormat="1" ht="15.75" thickBot="1">
      <c r="A42" s="2849" t="s">
        <v>2694</v>
      </c>
      <c r="B42" s="2837" t="str">
        <f>'预评函-2（2）'!F5</f>
        <v>零元整</v>
      </c>
    </row>
    <row r="43" spans="1:2" ht="15.75" thickTop="1">
      <c r="A43" s="2846" t="s">
        <v>2695</v>
      </c>
      <c r="B43" s="2838" t="str">
        <f>'预评函-3'!A13</f>
        <v>2.本《评估意见函》仅供金融机构进行内部审核使用，不做其他目的之用。</v>
      </c>
    </row>
    <row r="44" spans="1:2">
      <c r="A44" s="2848" t="s">
        <v>2696</v>
      </c>
      <c r="B44" s="2835" t="str">
        <f>'预评函-3'!A14</f>
        <v>3.抵押双方在办理抵押登记手续时，应使用本公司出具的正式《房地产评估报告》，特提醒报告使用者注意。</v>
      </c>
    </row>
    <row r="45" spans="1:2">
      <c r="A45" s="2848" t="s">
        <v>2697</v>
      </c>
      <c r="B45" s="2835" t="str">
        <f>'预评函-3'!A15</f>
        <v>4.本次评估估价师所知悉的法定优先受偿款情况说明如下：</v>
      </c>
    </row>
    <row r="46" spans="1:2">
      <c r="A46" s="2848" t="s">
        <v>2698</v>
      </c>
      <c r="B46" s="2835" t="str">
        <f>'预评函-3'!A16</f>
        <v>根据估价对象《不动产权证书》复印件、，截至价值时点，估价对象抵押权未见登记。</v>
      </c>
    </row>
    <row r="47" spans="1:2">
      <c r="A47" s="2848" t="s">
        <v>2699</v>
      </c>
      <c r="B47" s="28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8" t="s">
        <v>2720</v>
      </c>
      <c r="B48" s="2835" t="str">
        <f>'预评函-3'!A18</f>
        <v>本次评估不存在估价师所知悉的法定优先受偿款。</v>
      </c>
    </row>
    <row r="49" spans="1:2">
      <c r="A49" s="2848" t="s">
        <v>2700</v>
      </c>
      <c r="B49" s="28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8" t="s">
        <v>2701</v>
      </c>
      <c r="B50" s="2835" t="str">
        <f>'预评函-3'!A20</f>
        <v>6.其他需特殊说明事项：无（注意修改序号）</v>
      </c>
    </row>
    <row r="51" spans="1:2" s="2845" customFormat="1" thickBot="1">
      <c r="A51" s="2849" t="s">
        <v>2702</v>
      </c>
      <c r="B51" s="2842">
        <f>'预评函-3'!D29</f>
        <v>42551</v>
      </c>
    </row>
    <row r="52" spans="1:2" ht="15.75" thickTop="1">
      <c r="A52" s="2846" t="s">
        <v>2703</v>
      </c>
      <c r="B52" s="2841" t="str">
        <f>'预评函-3'!A4</f>
        <v>梁津</v>
      </c>
    </row>
    <row r="53" spans="1:2">
      <c r="A53" s="2848" t="s">
        <v>2704</v>
      </c>
      <c r="B53" s="2835">
        <f ca="1">'预评函-3'!B4</f>
        <v>1119970066</v>
      </c>
    </row>
    <row r="54" spans="1:2">
      <c r="A54" s="2848" t="s">
        <v>2705</v>
      </c>
      <c r="B54" s="2839" t="str">
        <f>'预评函-3'!A5</f>
        <v>王鹏</v>
      </c>
    </row>
    <row r="55" spans="1:2" s="2845" customFormat="1" ht="15.75" thickBot="1">
      <c r="A55" s="2849" t="s">
        <v>2706</v>
      </c>
      <c r="B55" s="2837">
        <f ca="1">'预评函-3'!B5</f>
        <v>1120050019</v>
      </c>
    </row>
    <row r="56" spans="1:2" ht="15.75" thickTop="1">
      <c r="A56" s="2851" t="s">
        <v>2725</v>
      </c>
      <c r="B56" s="2835" t="str">
        <f>'预评函-2（1）'!B15</f>
        <v>3.房地产抵押价值</v>
      </c>
    </row>
    <row r="57" spans="1:2">
      <c r="A57" s="2851" t="s">
        <v>2726</v>
      </c>
      <c r="B57" s="2835" t="str">
        <f>'预评函-2（1）'!B18</f>
        <v>——</v>
      </c>
    </row>
    <row r="58" spans="1:2" s="2845" customFormat="1" ht="15.75" thickBot="1">
      <c r="A58" s="2852" t="s">
        <v>2727</v>
      </c>
      <c r="B58" s="2836" t="str">
        <f>'预评函-2（1）'!B21</f>
        <v>——</v>
      </c>
    </row>
    <row r="59" spans="1:2" ht="15.75" thickTop="1">
      <c r="A59" s="2853" t="s">
        <v>2730</v>
      </c>
      <c r="B59" s="2833" t="str">
        <f>'预评函-2（1）'!B45</f>
        <v>单位：万元、元/平方米（单位：人民币）</v>
      </c>
    </row>
    <row r="60" spans="1:2">
      <c r="A60" s="2851" t="s">
        <v>2731</v>
      </c>
      <c r="B60" s="2835" t="str">
        <f>'预评函-2（2）'!D2</f>
        <v>出让国有建设用地使用权价值</v>
      </c>
    </row>
    <row r="61" spans="1:2" s="2847" customFormat="1">
      <c r="A61" s="2851" t="s">
        <v>2732</v>
      </c>
      <c r="B61" s="2835" t="str">
        <f>'预评函-2（2）'!A14</f>
        <v>单位：平方米、万元、元/平方米（币种：人民币）</v>
      </c>
    </row>
    <row r="62" spans="1:2" ht="28.5">
      <c r="A62" s="2851" t="s">
        <v>2898</v>
      </c>
      <c r="B62" s="2835">
        <f ca="1">'预评函-2（1）'!D38</f>
        <v>16277</v>
      </c>
    </row>
    <row r="63" spans="1:2" s="2847" customFormat="1" ht="28.5">
      <c r="A63" s="2851" t="s">
        <v>2899</v>
      </c>
      <c r="B63" s="2835" t="str">
        <f>'预评函-2（1）'!D41</f>
        <v>——</v>
      </c>
    </row>
    <row r="64" spans="1:2">
      <c r="A64" s="2851" t="s">
        <v>2754</v>
      </c>
      <c r="B64" s="2835" t="str">
        <f>'预评函-2（2）'!A6</f>
        <v>估价师所知悉的法定优先受偿款</v>
      </c>
    </row>
    <row r="65" spans="1:2">
      <c r="A65" s="2851" t="s">
        <v>2755</v>
      </c>
      <c r="B65" s="2835" t="str">
        <f>'预评函-2（2）'!A8</f>
        <v>房地产抵押价值</v>
      </c>
    </row>
    <row r="66" spans="1:2">
      <c r="A66" s="2851" t="s">
        <v>2756</v>
      </c>
      <c r="B66" s="2835" t="str">
        <f>'预评函-2（2）'!A10</f>
        <v/>
      </c>
    </row>
    <row r="67" spans="1:2" s="2845" customFormat="1" ht="15.75" thickBot="1">
      <c r="A67" s="2852" t="s">
        <v>2757</v>
      </c>
      <c r="B67" s="2836" t="str">
        <f>'预评函-2（2）'!A12</f>
        <v/>
      </c>
    </row>
    <row r="68" spans="1:2" ht="15.75" thickTop="1">
      <c r="A68" s="2854" t="s">
        <v>2761</v>
      </c>
      <c r="B68" s="2840" t="str">
        <f>'预评函-3'!A9</f>
        <v>XX</v>
      </c>
    </row>
    <row r="69" spans="1:2">
      <c r="A69" s="2848" t="s">
        <v>2897</v>
      </c>
    </row>
    <row r="70" spans="1:2">
      <c r="A70" s="2848"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3"/>
  <sheetViews>
    <sheetView zoomScale="90" zoomScaleNormal="90" zoomScaleSheetLayoutView="90" workbookViewId="0">
      <selection activeCell="F4" sqref="F1:G1048576"/>
    </sheetView>
  </sheetViews>
  <sheetFormatPr defaultRowHeight="14.25"/>
  <cols>
    <col min="1" max="1" width="8.625" style="3109" customWidth="1"/>
    <col min="2" max="3" width="20.75" style="3109" customWidth="1"/>
    <col min="4" max="4" width="12.875" style="3109" customWidth="1"/>
    <col min="5" max="7" width="13" style="3109" customWidth="1"/>
    <col min="8" max="16384" width="9" style="3123"/>
  </cols>
  <sheetData>
    <row r="1" spans="1:7" ht="14.25" customHeight="1">
      <c r="A1" s="3265" t="s">
        <v>6287</v>
      </c>
      <c r="B1" s="3265"/>
      <c r="C1" s="3265"/>
      <c r="D1" s="3265"/>
      <c r="E1" s="3265"/>
      <c r="F1" s="3265"/>
      <c r="G1" s="3265"/>
    </row>
    <row r="2" spans="1:7" ht="14.25" customHeight="1">
      <c r="A2" s="3265"/>
      <c r="B2" s="3265"/>
      <c r="C2" s="3265"/>
      <c r="D2" s="3265"/>
      <c r="E2" s="3265"/>
      <c r="F2" s="3265"/>
      <c r="G2" s="3265"/>
    </row>
    <row r="3" spans="1:7">
      <c r="A3" s="3266" t="s">
        <v>6286</v>
      </c>
      <c r="B3" s="3266"/>
      <c r="C3" s="3266"/>
      <c r="D3" s="3266"/>
      <c r="E3" s="3266"/>
      <c r="F3" s="3266"/>
      <c r="G3" s="3266"/>
    </row>
    <row r="4" spans="1:7" ht="28.5">
      <c r="A4" s="3205" t="s">
        <v>218</v>
      </c>
      <c r="B4" s="3120" t="s">
        <v>6285</v>
      </c>
      <c r="C4" s="3120" t="s">
        <v>6393</v>
      </c>
      <c r="D4" s="3120" t="s">
        <v>6284</v>
      </c>
      <c r="E4" s="3121" t="s">
        <v>6283</v>
      </c>
      <c r="F4" s="3121" t="s">
        <v>8066</v>
      </c>
      <c r="G4" s="3121" t="s">
        <v>8067</v>
      </c>
    </row>
    <row r="5" spans="1:7" s="3125" customFormat="1" ht="15">
      <c r="A5" s="3206">
        <v>1</v>
      </c>
      <c r="B5" s="3116" t="s">
        <v>6294</v>
      </c>
      <c r="C5" s="3116"/>
      <c r="D5" s="3126"/>
      <c r="E5" s="3114">
        <v>88.29</v>
      </c>
      <c r="F5" s="3114">
        <v>13200</v>
      </c>
      <c r="G5" s="3114">
        <f t="shared" ref="G5:G68" si="0">E5*F5</f>
        <v>1165428</v>
      </c>
    </row>
    <row r="6" spans="1:7" s="3125" customFormat="1" ht="15">
      <c r="A6" s="3206">
        <v>2</v>
      </c>
      <c r="B6" s="3116" t="s">
        <v>6296</v>
      </c>
      <c r="C6" s="3116"/>
      <c r="D6" s="3115"/>
      <c r="E6" s="3114">
        <v>88.29</v>
      </c>
      <c r="F6" s="3114">
        <v>13730</v>
      </c>
      <c r="G6" s="3114">
        <f t="shared" si="0"/>
        <v>1212221.7000000002</v>
      </c>
    </row>
    <row r="7" spans="1:7" s="3125" customFormat="1" ht="15">
      <c r="A7" s="3206">
        <v>3</v>
      </c>
      <c r="B7" s="3116" t="s">
        <v>6303</v>
      </c>
      <c r="C7" s="3116"/>
      <c r="D7" s="3115"/>
      <c r="E7" s="3114">
        <v>97.07</v>
      </c>
      <c r="F7" s="3114">
        <v>13930</v>
      </c>
      <c r="G7" s="3114">
        <f t="shared" si="0"/>
        <v>1352185.0999999999</v>
      </c>
    </row>
    <row r="8" spans="1:7" s="3125" customFormat="1" ht="15">
      <c r="A8" s="3206">
        <v>4</v>
      </c>
      <c r="B8" s="3116" t="s">
        <v>6297</v>
      </c>
      <c r="C8" s="3116"/>
      <c r="D8" s="3115"/>
      <c r="E8" s="3114">
        <v>103.43</v>
      </c>
      <c r="F8" s="3114">
        <v>14230</v>
      </c>
      <c r="G8" s="3114">
        <f t="shared" si="0"/>
        <v>1471808.9000000001</v>
      </c>
    </row>
    <row r="9" spans="1:7" s="3125" customFormat="1" ht="15">
      <c r="A9" s="3206">
        <v>5</v>
      </c>
      <c r="B9" s="3116" t="s">
        <v>6295</v>
      </c>
      <c r="C9" s="3116"/>
      <c r="D9" s="3115"/>
      <c r="E9" s="3114">
        <v>58.21</v>
      </c>
      <c r="F9" s="3114">
        <v>13100</v>
      </c>
      <c r="G9" s="3114">
        <f t="shared" si="0"/>
        <v>762551</v>
      </c>
    </row>
    <row r="10" spans="1:7" s="3125" customFormat="1" ht="15">
      <c r="A10" s="3206">
        <v>6</v>
      </c>
      <c r="B10" s="3116" t="s">
        <v>6293</v>
      </c>
      <c r="C10" s="3116"/>
      <c r="D10" s="3115"/>
      <c r="E10" s="3114">
        <v>88.31</v>
      </c>
      <c r="F10" s="3114">
        <v>13640</v>
      </c>
      <c r="G10" s="3114">
        <f t="shared" si="0"/>
        <v>1204548.4000000001</v>
      </c>
    </row>
    <row r="11" spans="1:7" ht="15">
      <c r="A11" s="3206">
        <v>7</v>
      </c>
      <c r="B11" s="3115" t="s">
        <v>6282</v>
      </c>
      <c r="C11" s="3115"/>
      <c r="D11" s="3115"/>
      <c r="E11" s="3114">
        <v>109.77</v>
      </c>
      <c r="F11" s="3114">
        <v>9000</v>
      </c>
      <c r="G11" s="3114">
        <f t="shared" si="0"/>
        <v>987930</v>
      </c>
    </row>
    <row r="12" spans="1:7" ht="15">
      <c r="A12" s="3118">
        <v>8</v>
      </c>
      <c r="B12" s="3115" t="s">
        <v>6281</v>
      </c>
      <c r="C12" s="3115"/>
      <c r="D12" s="3115"/>
      <c r="E12" s="3114">
        <v>109.77</v>
      </c>
      <c r="F12" s="3114">
        <v>9400</v>
      </c>
      <c r="G12" s="3114">
        <f t="shared" si="0"/>
        <v>1031838</v>
      </c>
    </row>
    <row r="13" spans="1:7" ht="15">
      <c r="A13" s="3118">
        <v>9</v>
      </c>
      <c r="B13" s="3115" t="s">
        <v>6280</v>
      </c>
      <c r="C13" s="3115"/>
      <c r="D13" s="3115"/>
      <c r="E13" s="3114">
        <v>109.77</v>
      </c>
      <c r="F13" s="3114">
        <v>9650</v>
      </c>
      <c r="G13" s="3114">
        <f t="shared" si="0"/>
        <v>1059280.5</v>
      </c>
    </row>
    <row r="14" spans="1:7" ht="15">
      <c r="A14" s="3118">
        <v>10</v>
      </c>
      <c r="B14" s="3115" t="s">
        <v>6279</v>
      </c>
      <c r="C14" s="3115"/>
      <c r="D14" s="3115"/>
      <c r="E14" s="3114">
        <v>109.77</v>
      </c>
      <c r="F14" s="3114">
        <v>9900</v>
      </c>
      <c r="G14" s="3114">
        <f t="shared" si="0"/>
        <v>1086723</v>
      </c>
    </row>
    <row r="15" spans="1:7" ht="15">
      <c r="A15" s="3118">
        <v>11</v>
      </c>
      <c r="B15" s="3115" t="s">
        <v>6278</v>
      </c>
      <c r="C15" s="3115"/>
      <c r="D15" s="3115"/>
      <c r="E15" s="3114">
        <v>109.77</v>
      </c>
      <c r="F15" s="3114">
        <v>10150</v>
      </c>
      <c r="G15" s="3114">
        <f t="shared" si="0"/>
        <v>1114165.5</v>
      </c>
    </row>
    <row r="16" spans="1:7" ht="15">
      <c r="A16" s="3118">
        <v>12</v>
      </c>
      <c r="B16" s="3115" t="s">
        <v>6277</v>
      </c>
      <c r="C16" s="3115"/>
      <c r="D16" s="3115"/>
      <c r="E16" s="3114">
        <v>109.77</v>
      </c>
      <c r="F16" s="3114">
        <v>10150</v>
      </c>
      <c r="G16" s="3114">
        <f t="shared" si="0"/>
        <v>1114165.5</v>
      </c>
    </row>
    <row r="17" spans="1:7" ht="15">
      <c r="A17" s="3118">
        <v>13</v>
      </c>
      <c r="B17" s="3115" t="s">
        <v>6276</v>
      </c>
      <c r="C17" s="3115"/>
      <c r="D17" s="3115"/>
      <c r="E17" s="3114">
        <v>109.77</v>
      </c>
      <c r="F17" s="3114">
        <v>10260</v>
      </c>
      <c r="G17" s="3114">
        <f t="shared" si="0"/>
        <v>1126240.2</v>
      </c>
    </row>
    <row r="18" spans="1:7" ht="15">
      <c r="A18" s="3118">
        <v>14</v>
      </c>
      <c r="B18" s="3115" t="s">
        <v>6275</v>
      </c>
      <c r="C18" s="3115"/>
      <c r="D18" s="3115"/>
      <c r="E18" s="3114">
        <v>109.77</v>
      </c>
      <c r="F18" s="3114">
        <v>10260</v>
      </c>
      <c r="G18" s="3114">
        <f t="shared" si="0"/>
        <v>1126240.2</v>
      </c>
    </row>
    <row r="19" spans="1:7" ht="15">
      <c r="A19" s="3118">
        <v>15</v>
      </c>
      <c r="B19" s="3115" t="s">
        <v>6274</v>
      </c>
      <c r="C19" s="3115"/>
      <c r="D19" s="3115"/>
      <c r="E19" s="3114">
        <v>109.77</v>
      </c>
      <c r="F19" s="3114">
        <v>10260</v>
      </c>
      <c r="G19" s="3114">
        <f t="shared" si="0"/>
        <v>1126240.2</v>
      </c>
    </row>
    <row r="20" spans="1:7" ht="15">
      <c r="A20" s="3118">
        <v>16</v>
      </c>
      <c r="B20" s="3115" t="s">
        <v>6273</v>
      </c>
      <c r="C20" s="3115"/>
      <c r="D20" s="3115"/>
      <c r="E20" s="3114">
        <v>109.77</v>
      </c>
      <c r="F20" s="3114">
        <v>10260</v>
      </c>
      <c r="G20" s="3114">
        <f t="shared" si="0"/>
        <v>1126240.2</v>
      </c>
    </row>
    <row r="21" spans="1:7" ht="15">
      <c r="A21" s="3118">
        <v>17</v>
      </c>
      <c r="B21" s="3115" t="s">
        <v>6272</v>
      </c>
      <c r="C21" s="3115"/>
      <c r="D21" s="3115"/>
      <c r="E21" s="3114">
        <v>109.77</v>
      </c>
      <c r="F21" s="3114">
        <v>10260</v>
      </c>
      <c r="G21" s="3114">
        <f t="shared" si="0"/>
        <v>1126240.2</v>
      </c>
    </row>
    <row r="22" spans="1:7" ht="15">
      <c r="A22" s="3118">
        <v>18</v>
      </c>
      <c r="B22" s="3115" t="s">
        <v>6271</v>
      </c>
      <c r="C22" s="3115"/>
      <c r="D22" s="3115"/>
      <c r="E22" s="3114">
        <v>109.77</v>
      </c>
      <c r="F22" s="3114">
        <v>10260</v>
      </c>
      <c r="G22" s="3114">
        <f t="shared" si="0"/>
        <v>1126240.2</v>
      </c>
    </row>
    <row r="23" spans="1:7" ht="15">
      <c r="A23" s="3118">
        <v>19</v>
      </c>
      <c r="B23" s="3115" t="s">
        <v>6270</v>
      </c>
      <c r="C23" s="3115"/>
      <c r="D23" s="3115"/>
      <c r="E23" s="3114">
        <v>110.15</v>
      </c>
      <c r="F23" s="3114">
        <v>11750</v>
      </c>
      <c r="G23" s="3114">
        <f t="shared" si="0"/>
        <v>1294262.5</v>
      </c>
    </row>
    <row r="24" spans="1:7" ht="15">
      <c r="A24" s="3118">
        <v>20</v>
      </c>
      <c r="B24" s="3115" t="s">
        <v>6269</v>
      </c>
      <c r="C24" s="3115"/>
      <c r="D24" s="3115"/>
      <c r="E24" s="3114">
        <v>110.15</v>
      </c>
      <c r="F24" s="3114">
        <v>10850</v>
      </c>
      <c r="G24" s="3114">
        <f t="shared" si="0"/>
        <v>1195127.5</v>
      </c>
    </row>
    <row r="25" spans="1:7" ht="15">
      <c r="A25" s="3118">
        <v>21</v>
      </c>
      <c r="B25" s="3115" t="s">
        <v>6268</v>
      </c>
      <c r="C25" s="3115"/>
      <c r="D25" s="3115"/>
      <c r="E25" s="3114">
        <v>110.15</v>
      </c>
      <c r="F25" s="3114">
        <v>11150</v>
      </c>
      <c r="G25" s="3114">
        <f t="shared" si="0"/>
        <v>1228172.5</v>
      </c>
    </row>
    <row r="26" spans="1:7" ht="15">
      <c r="A26" s="3118">
        <v>22</v>
      </c>
      <c r="B26" s="3115" t="s">
        <v>6267</v>
      </c>
      <c r="C26" s="3115"/>
      <c r="D26" s="3115"/>
      <c r="E26" s="3114">
        <v>110.15</v>
      </c>
      <c r="F26" s="3114">
        <v>11400</v>
      </c>
      <c r="G26" s="3114">
        <f t="shared" si="0"/>
        <v>1255710</v>
      </c>
    </row>
    <row r="27" spans="1:7" ht="15">
      <c r="A27" s="3118">
        <v>23</v>
      </c>
      <c r="B27" s="3115" t="s">
        <v>6266</v>
      </c>
      <c r="C27" s="3115"/>
      <c r="D27" s="3115"/>
      <c r="E27" s="3114">
        <v>110.15</v>
      </c>
      <c r="F27" s="3114">
        <v>11450</v>
      </c>
      <c r="G27" s="3114">
        <f t="shared" si="0"/>
        <v>1261217.5</v>
      </c>
    </row>
    <row r="28" spans="1:7" ht="15">
      <c r="A28" s="3118">
        <v>24</v>
      </c>
      <c r="B28" s="3115" t="s">
        <v>6265</v>
      </c>
      <c r="C28" s="3115"/>
      <c r="D28" s="3115"/>
      <c r="E28" s="3114">
        <v>110.15</v>
      </c>
      <c r="F28" s="3114">
        <v>11500</v>
      </c>
      <c r="G28" s="3114">
        <f t="shared" si="0"/>
        <v>1266725</v>
      </c>
    </row>
    <row r="29" spans="1:7" ht="15">
      <c r="A29" s="3118">
        <v>25</v>
      </c>
      <c r="B29" s="3115" t="s">
        <v>6264</v>
      </c>
      <c r="C29" s="3115"/>
      <c r="D29" s="3115"/>
      <c r="E29" s="3114">
        <v>110.15</v>
      </c>
      <c r="F29" s="3114">
        <v>11500</v>
      </c>
      <c r="G29" s="3114">
        <f t="shared" si="0"/>
        <v>1266725</v>
      </c>
    </row>
    <row r="30" spans="1:7" ht="15">
      <c r="A30" s="3118">
        <v>26</v>
      </c>
      <c r="B30" s="3115" t="s">
        <v>6263</v>
      </c>
      <c r="C30" s="3115"/>
      <c r="D30" s="3115"/>
      <c r="E30" s="3114">
        <v>110.15</v>
      </c>
      <c r="F30" s="3114">
        <v>11500</v>
      </c>
      <c r="G30" s="3114">
        <f t="shared" si="0"/>
        <v>1266725</v>
      </c>
    </row>
    <row r="31" spans="1:7" ht="15">
      <c r="A31" s="3118">
        <v>27</v>
      </c>
      <c r="B31" s="3115" t="s">
        <v>6262</v>
      </c>
      <c r="C31" s="3115"/>
      <c r="D31" s="3115"/>
      <c r="E31" s="3114">
        <v>110.15</v>
      </c>
      <c r="F31" s="3114">
        <v>11500</v>
      </c>
      <c r="G31" s="3114">
        <f t="shared" si="0"/>
        <v>1266725</v>
      </c>
    </row>
    <row r="32" spans="1:7" ht="15">
      <c r="A32" s="3118">
        <v>28</v>
      </c>
      <c r="B32" s="3115" t="s">
        <v>6261</v>
      </c>
      <c r="C32" s="3115"/>
      <c r="D32" s="3115"/>
      <c r="E32" s="3114">
        <v>110.15</v>
      </c>
      <c r="F32" s="3114">
        <v>11500</v>
      </c>
      <c r="G32" s="3114">
        <f t="shared" si="0"/>
        <v>1266725</v>
      </c>
    </row>
    <row r="33" spans="1:7" ht="15">
      <c r="A33" s="3118">
        <v>29</v>
      </c>
      <c r="B33" s="3115" t="s">
        <v>6260</v>
      </c>
      <c r="C33" s="3115"/>
      <c r="D33" s="3115"/>
      <c r="E33" s="3114">
        <v>110.15</v>
      </c>
      <c r="F33" s="3114">
        <v>11500</v>
      </c>
      <c r="G33" s="3114">
        <f t="shared" si="0"/>
        <v>1266725</v>
      </c>
    </row>
    <row r="34" spans="1:7" ht="15">
      <c r="A34" s="3118">
        <v>30</v>
      </c>
      <c r="B34" s="3115" t="s">
        <v>6259</v>
      </c>
      <c r="C34" s="3115"/>
      <c r="D34" s="3115"/>
      <c r="E34" s="3114">
        <v>110.15</v>
      </c>
      <c r="F34" s="3114">
        <v>11500</v>
      </c>
      <c r="G34" s="3114">
        <f t="shared" si="0"/>
        <v>1266725</v>
      </c>
    </row>
    <row r="35" spans="1:7" ht="15">
      <c r="A35" s="3118">
        <v>31</v>
      </c>
      <c r="B35" s="3115" t="s">
        <v>6258</v>
      </c>
      <c r="C35" s="3115"/>
      <c r="D35" s="3115"/>
      <c r="E35" s="3114">
        <v>110.15</v>
      </c>
      <c r="F35" s="3114">
        <v>11500</v>
      </c>
      <c r="G35" s="3114">
        <f t="shared" si="0"/>
        <v>1266725</v>
      </c>
    </row>
    <row r="36" spans="1:7" ht="15">
      <c r="A36" s="3118">
        <v>32</v>
      </c>
      <c r="B36" s="3115" t="s">
        <v>6257</v>
      </c>
      <c r="C36" s="3115"/>
      <c r="D36" s="3115"/>
      <c r="E36" s="3114">
        <v>110.15</v>
      </c>
      <c r="F36" s="3114">
        <v>11500</v>
      </c>
      <c r="G36" s="3114">
        <f t="shared" si="0"/>
        <v>1266725</v>
      </c>
    </row>
    <row r="37" spans="1:7" ht="15">
      <c r="A37" s="3118">
        <v>33</v>
      </c>
      <c r="B37" s="3115" t="s">
        <v>6256</v>
      </c>
      <c r="C37" s="3115"/>
      <c r="D37" s="3115"/>
      <c r="E37" s="3114">
        <v>110.15</v>
      </c>
      <c r="F37" s="3114">
        <v>11450</v>
      </c>
      <c r="G37" s="3114">
        <f t="shared" si="0"/>
        <v>1261217.5</v>
      </c>
    </row>
    <row r="38" spans="1:7" ht="15">
      <c r="A38" s="3118">
        <v>34</v>
      </c>
      <c r="B38" s="3115" t="s">
        <v>6255</v>
      </c>
      <c r="C38" s="3115"/>
      <c r="D38" s="3115"/>
      <c r="E38" s="3114">
        <v>96.21</v>
      </c>
      <c r="F38" s="3114">
        <v>11150</v>
      </c>
      <c r="G38" s="3114">
        <f t="shared" si="0"/>
        <v>1072741.5</v>
      </c>
    </row>
    <row r="39" spans="1:7" ht="15">
      <c r="A39" s="3118">
        <v>35</v>
      </c>
      <c r="B39" s="3115" t="s">
        <v>6254</v>
      </c>
      <c r="C39" s="3115"/>
      <c r="D39" s="3115"/>
      <c r="E39" s="3114">
        <v>87.85</v>
      </c>
      <c r="F39" s="3114">
        <v>11400</v>
      </c>
      <c r="G39" s="3114">
        <f t="shared" si="0"/>
        <v>1001489.9999999999</v>
      </c>
    </row>
    <row r="40" spans="1:7" ht="15">
      <c r="A40" s="3118">
        <v>36</v>
      </c>
      <c r="B40" s="3115" t="s">
        <v>6253</v>
      </c>
      <c r="C40" s="3115"/>
      <c r="D40" s="3115"/>
      <c r="E40" s="3114">
        <v>87.85</v>
      </c>
      <c r="F40" s="3114">
        <v>10500</v>
      </c>
      <c r="G40" s="3114">
        <f t="shared" si="0"/>
        <v>922424.99999999988</v>
      </c>
    </row>
    <row r="41" spans="1:7" ht="15">
      <c r="A41" s="3118">
        <v>37</v>
      </c>
      <c r="B41" s="3115" t="s">
        <v>6252</v>
      </c>
      <c r="C41" s="3115"/>
      <c r="D41" s="3115"/>
      <c r="E41" s="3114">
        <v>87.85</v>
      </c>
      <c r="F41" s="3114">
        <v>10800</v>
      </c>
      <c r="G41" s="3114">
        <f t="shared" si="0"/>
        <v>948779.99999999988</v>
      </c>
    </row>
    <row r="42" spans="1:7" ht="15">
      <c r="A42" s="3118">
        <v>38</v>
      </c>
      <c r="B42" s="3115" t="s">
        <v>6251</v>
      </c>
      <c r="C42" s="3115"/>
      <c r="D42" s="3115"/>
      <c r="E42" s="3114">
        <v>87.85</v>
      </c>
      <c r="F42" s="3114">
        <v>11050</v>
      </c>
      <c r="G42" s="3114">
        <f t="shared" si="0"/>
        <v>970742.49999999988</v>
      </c>
    </row>
    <row r="43" spans="1:7" ht="15">
      <c r="A43" s="3118">
        <v>39</v>
      </c>
      <c r="B43" s="3115" t="s">
        <v>6250</v>
      </c>
      <c r="C43" s="3115"/>
      <c r="D43" s="3115"/>
      <c r="E43" s="3114">
        <v>87.85</v>
      </c>
      <c r="F43" s="3114">
        <v>11100</v>
      </c>
      <c r="G43" s="3114">
        <f t="shared" si="0"/>
        <v>975134.99999999988</v>
      </c>
    </row>
    <row r="44" spans="1:7" ht="15">
      <c r="A44" s="3118">
        <v>40</v>
      </c>
      <c r="B44" s="3115" t="s">
        <v>6249</v>
      </c>
      <c r="C44" s="3115"/>
      <c r="D44" s="3115"/>
      <c r="E44" s="3114">
        <v>87.85</v>
      </c>
      <c r="F44" s="3114">
        <v>11150</v>
      </c>
      <c r="G44" s="3114">
        <f t="shared" si="0"/>
        <v>979527.49999999988</v>
      </c>
    </row>
    <row r="45" spans="1:7" ht="15">
      <c r="A45" s="3118">
        <v>41</v>
      </c>
      <c r="B45" s="3115" t="s">
        <v>6248</v>
      </c>
      <c r="C45" s="3115"/>
      <c r="D45" s="3115"/>
      <c r="E45" s="3114">
        <v>87.85</v>
      </c>
      <c r="F45" s="3114">
        <v>11150</v>
      </c>
      <c r="G45" s="3114">
        <f t="shared" si="0"/>
        <v>979527.49999999988</v>
      </c>
    </row>
    <row r="46" spans="1:7" ht="15">
      <c r="A46" s="3118">
        <v>42</v>
      </c>
      <c r="B46" s="3115" t="s">
        <v>6247</v>
      </c>
      <c r="C46" s="3115"/>
      <c r="D46" s="3115"/>
      <c r="E46" s="3114">
        <v>87.85</v>
      </c>
      <c r="F46" s="3114">
        <v>11150</v>
      </c>
      <c r="G46" s="3114">
        <f t="shared" si="0"/>
        <v>979527.49999999988</v>
      </c>
    </row>
    <row r="47" spans="1:7" ht="15">
      <c r="A47" s="3118">
        <v>43</v>
      </c>
      <c r="B47" s="3115" t="s">
        <v>6246</v>
      </c>
      <c r="C47" s="3115"/>
      <c r="D47" s="3115"/>
      <c r="E47" s="3114">
        <v>87.85</v>
      </c>
      <c r="F47" s="3114">
        <v>11150</v>
      </c>
      <c r="G47" s="3114">
        <f t="shared" si="0"/>
        <v>979527.49999999988</v>
      </c>
    </row>
    <row r="48" spans="1:7" ht="15">
      <c r="A48" s="3118">
        <v>44</v>
      </c>
      <c r="B48" s="3115" t="s">
        <v>6245</v>
      </c>
      <c r="C48" s="3115"/>
      <c r="D48" s="3115"/>
      <c r="E48" s="3114">
        <v>87.85</v>
      </c>
      <c r="F48" s="3114">
        <v>11150</v>
      </c>
      <c r="G48" s="3114">
        <f t="shared" si="0"/>
        <v>979527.49999999988</v>
      </c>
    </row>
    <row r="49" spans="1:7" ht="15">
      <c r="A49" s="3118">
        <v>45</v>
      </c>
      <c r="B49" s="3115" t="s">
        <v>6244</v>
      </c>
      <c r="C49" s="3115"/>
      <c r="D49" s="3115"/>
      <c r="E49" s="3114">
        <v>87.85</v>
      </c>
      <c r="F49" s="3114">
        <v>11150</v>
      </c>
      <c r="G49" s="3114">
        <f t="shared" si="0"/>
        <v>979527.49999999988</v>
      </c>
    </row>
    <row r="50" spans="1:7" ht="15">
      <c r="A50" s="3118">
        <v>46</v>
      </c>
      <c r="B50" s="3115" t="s">
        <v>6243</v>
      </c>
      <c r="C50" s="3115"/>
      <c r="D50" s="3115"/>
      <c r="E50" s="3114">
        <v>87.85</v>
      </c>
      <c r="F50" s="3114">
        <v>11150</v>
      </c>
      <c r="G50" s="3114">
        <f t="shared" si="0"/>
        <v>979527.49999999988</v>
      </c>
    </row>
    <row r="51" spans="1:7" ht="15">
      <c r="A51" s="3118">
        <v>47</v>
      </c>
      <c r="B51" s="3115" t="s">
        <v>6242</v>
      </c>
      <c r="C51" s="3115"/>
      <c r="D51" s="3115"/>
      <c r="E51" s="3114">
        <v>87.85</v>
      </c>
      <c r="F51" s="3114">
        <v>11150</v>
      </c>
      <c r="G51" s="3114">
        <f t="shared" si="0"/>
        <v>979527.49999999988</v>
      </c>
    </row>
    <row r="52" spans="1:7" ht="15">
      <c r="A52" s="3118">
        <v>48</v>
      </c>
      <c r="B52" s="3115" t="s">
        <v>6241</v>
      </c>
      <c r="C52" s="3115"/>
      <c r="D52" s="3115"/>
      <c r="E52" s="3114">
        <v>87.85</v>
      </c>
      <c r="F52" s="3114">
        <v>11150</v>
      </c>
      <c r="G52" s="3114">
        <f t="shared" si="0"/>
        <v>979527.49999999988</v>
      </c>
    </row>
    <row r="53" spans="1:7" ht="15">
      <c r="A53" s="3118">
        <v>49</v>
      </c>
      <c r="B53" s="3115" t="s">
        <v>6240</v>
      </c>
      <c r="C53" s="3115"/>
      <c r="D53" s="3115"/>
      <c r="E53" s="3114">
        <v>87.85</v>
      </c>
      <c r="F53" s="3114">
        <v>11100</v>
      </c>
      <c r="G53" s="3114">
        <f t="shared" si="0"/>
        <v>975134.99999999988</v>
      </c>
    </row>
    <row r="54" spans="1:7" ht="15">
      <c r="A54" s="3118">
        <v>50</v>
      </c>
      <c r="B54" s="3115" t="s">
        <v>6239</v>
      </c>
      <c r="C54" s="3115"/>
      <c r="D54" s="3115"/>
      <c r="E54" s="3114">
        <v>88.05</v>
      </c>
      <c r="F54" s="3114">
        <v>10300</v>
      </c>
      <c r="G54" s="3114">
        <f t="shared" si="0"/>
        <v>906915</v>
      </c>
    </row>
    <row r="55" spans="1:7" ht="15">
      <c r="A55" s="3118">
        <v>51</v>
      </c>
      <c r="B55" s="3115" t="s">
        <v>6238</v>
      </c>
      <c r="C55" s="3115"/>
      <c r="D55" s="3115"/>
      <c r="E55" s="3114">
        <v>108.29</v>
      </c>
      <c r="F55" s="3114">
        <v>10400</v>
      </c>
      <c r="G55" s="3114">
        <f t="shared" si="0"/>
        <v>1126216</v>
      </c>
    </row>
    <row r="56" spans="1:7" ht="15">
      <c r="A56" s="3118">
        <v>52</v>
      </c>
      <c r="B56" s="3115" t="s">
        <v>6237</v>
      </c>
      <c r="C56" s="3115"/>
      <c r="D56" s="3115"/>
      <c r="E56" s="3114">
        <v>108.29</v>
      </c>
      <c r="F56" s="3114">
        <v>9500</v>
      </c>
      <c r="G56" s="3114">
        <f t="shared" si="0"/>
        <v>1028755.0000000001</v>
      </c>
    </row>
    <row r="57" spans="1:7" ht="15">
      <c r="A57" s="3118">
        <v>53</v>
      </c>
      <c r="B57" s="3115" t="s">
        <v>6236</v>
      </c>
      <c r="C57" s="3115"/>
      <c r="D57" s="3115"/>
      <c r="E57" s="3114">
        <v>108.29</v>
      </c>
      <c r="F57" s="3114">
        <v>9800</v>
      </c>
      <c r="G57" s="3114">
        <f t="shared" si="0"/>
        <v>1061242</v>
      </c>
    </row>
    <row r="58" spans="1:7" ht="15">
      <c r="A58" s="3118">
        <v>54</v>
      </c>
      <c r="B58" s="3115" t="s">
        <v>6235</v>
      </c>
      <c r="C58" s="3115"/>
      <c r="D58" s="3115"/>
      <c r="E58" s="3114">
        <v>108.29</v>
      </c>
      <c r="F58" s="3114">
        <v>10050</v>
      </c>
      <c r="G58" s="3114">
        <f t="shared" si="0"/>
        <v>1088314.5</v>
      </c>
    </row>
    <row r="59" spans="1:7" ht="15">
      <c r="A59" s="3118">
        <v>55</v>
      </c>
      <c r="B59" s="3115" t="s">
        <v>6234</v>
      </c>
      <c r="C59" s="3115"/>
      <c r="D59" s="3115"/>
      <c r="E59" s="3114">
        <v>108.29</v>
      </c>
      <c r="F59" s="3114">
        <v>10100</v>
      </c>
      <c r="G59" s="3114">
        <f t="shared" si="0"/>
        <v>1093729</v>
      </c>
    </row>
    <row r="60" spans="1:7" ht="15">
      <c r="A60" s="3118">
        <v>56</v>
      </c>
      <c r="B60" s="3115" t="s">
        <v>6233</v>
      </c>
      <c r="C60" s="3115"/>
      <c r="D60" s="3115"/>
      <c r="E60" s="3114">
        <v>108.29</v>
      </c>
      <c r="F60" s="3114">
        <v>10150</v>
      </c>
      <c r="G60" s="3114">
        <f t="shared" si="0"/>
        <v>1099143.5</v>
      </c>
    </row>
    <row r="61" spans="1:7" ht="15">
      <c r="A61" s="3118">
        <v>57</v>
      </c>
      <c r="B61" s="3115" t="s">
        <v>6232</v>
      </c>
      <c r="C61" s="3115"/>
      <c r="D61" s="3115"/>
      <c r="E61" s="3114">
        <v>108.29</v>
      </c>
      <c r="F61" s="3114">
        <v>10150</v>
      </c>
      <c r="G61" s="3114">
        <f t="shared" si="0"/>
        <v>1099143.5</v>
      </c>
    </row>
    <row r="62" spans="1:7" ht="15">
      <c r="A62" s="3118">
        <v>58</v>
      </c>
      <c r="B62" s="3115" t="s">
        <v>6231</v>
      </c>
      <c r="C62" s="3115"/>
      <c r="D62" s="3115"/>
      <c r="E62" s="3114">
        <v>108.29</v>
      </c>
      <c r="F62" s="3114">
        <v>10150</v>
      </c>
      <c r="G62" s="3114">
        <f t="shared" si="0"/>
        <v>1099143.5</v>
      </c>
    </row>
    <row r="63" spans="1:7" ht="15">
      <c r="A63" s="3118">
        <v>59</v>
      </c>
      <c r="B63" s="3115" t="s">
        <v>6230</v>
      </c>
      <c r="C63" s="3115"/>
      <c r="D63" s="3115"/>
      <c r="E63" s="3114">
        <v>108.29</v>
      </c>
      <c r="F63" s="3114">
        <v>10150</v>
      </c>
      <c r="G63" s="3114">
        <f t="shared" si="0"/>
        <v>1099143.5</v>
      </c>
    </row>
    <row r="64" spans="1:7" ht="15">
      <c r="A64" s="3118">
        <v>60</v>
      </c>
      <c r="B64" s="3115" t="s">
        <v>6229</v>
      </c>
      <c r="C64" s="3115"/>
      <c r="D64" s="3115"/>
      <c r="E64" s="3114">
        <v>108.29</v>
      </c>
      <c r="F64" s="3114">
        <v>10150</v>
      </c>
      <c r="G64" s="3114">
        <f t="shared" si="0"/>
        <v>1099143.5</v>
      </c>
    </row>
    <row r="65" spans="1:7" ht="15">
      <c r="A65" s="3118">
        <v>61</v>
      </c>
      <c r="B65" s="3115" t="s">
        <v>6228</v>
      </c>
      <c r="C65" s="3115"/>
      <c r="D65" s="3115"/>
      <c r="E65" s="3114">
        <v>108.29</v>
      </c>
      <c r="F65" s="3114">
        <v>10150</v>
      </c>
      <c r="G65" s="3114">
        <f t="shared" si="0"/>
        <v>1099143.5</v>
      </c>
    </row>
    <row r="66" spans="1:7" ht="15">
      <c r="A66" s="3118">
        <v>62</v>
      </c>
      <c r="B66" s="3115" t="s">
        <v>6227</v>
      </c>
      <c r="C66" s="3115"/>
      <c r="D66" s="3115"/>
      <c r="E66" s="3114">
        <v>108.29</v>
      </c>
      <c r="F66" s="3114">
        <v>10150</v>
      </c>
      <c r="G66" s="3114">
        <f t="shared" si="0"/>
        <v>1099143.5</v>
      </c>
    </row>
    <row r="67" spans="1:7" ht="15">
      <c r="A67" s="3118">
        <v>63</v>
      </c>
      <c r="B67" s="3115" t="s">
        <v>6226</v>
      </c>
      <c r="C67" s="3115"/>
      <c r="D67" s="3115"/>
      <c r="E67" s="3114">
        <v>108.29</v>
      </c>
      <c r="F67" s="3114">
        <v>10150</v>
      </c>
      <c r="G67" s="3114">
        <f t="shared" si="0"/>
        <v>1099143.5</v>
      </c>
    </row>
    <row r="68" spans="1:7" ht="15">
      <c r="A68" s="3118">
        <v>64</v>
      </c>
      <c r="B68" s="3115" t="s">
        <v>6225</v>
      </c>
      <c r="C68" s="3115"/>
      <c r="D68" s="3115"/>
      <c r="E68" s="3114">
        <v>108.29</v>
      </c>
      <c r="F68" s="3114">
        <v>10150</v>
      </c>
      <c r="G68" s="3114">
        <f t="shared" si="0"/>
        <v>1099143.5</v>
      </c>
    </row>
    <row r="69" spans="1:7" ht="15">
      <c r="A69" s="3118">
        <v>65</v>
      </c>
      <c r="B69" s="3115" t="s">
        <v>6224</v>
      </c>
      <c r="C69" s="3115"/>
      <c r="D69" s="3115"/>
      <c r="E69" s="3114">
        <v>108.29</v>
      </c>
      <c r="F69" s="3114">
        <v>10100</v>
      </c>
      <c r="G69" s="3114">
        <f t="shared" ref="G69:G132" si="1">E69*F69</f>
        <v>1093729</v>
      </c>
    </row>
    <row r="70" spans="1:7" ht="15">
      <c r="A70" s="3118">
        <v>66</v>
      </c>
      <c r="B70" s="3115" t="s">
        <v>6223</v>
      </c>
      <c r="C70" s="3115"/>
      <c r="D70" s="3115"/>
      <c r="E70" s="3114">
        <v>93.99</v>
      </c>
      <c r="F70" s="3114">
        <v>9300</v>
      </c>
      <c r="G70" s="3114">
        <f t="shared" si="1"/>
        <v>874107</v>
      </c>
    </row>
    <row r="71" spans="1:7" ht="15">
      <c r="A71" s="3118">
        <v>67</v>
      </c>
      <c r="B71" s="3115" t="s">
        <v>6222</v>
      </c>
      <c r="C71" s="3115"/>
      <c r="D71" s="3115"/>
      <c r="E71" s="3114">
        <v>108.28</v>
      </c>
      <c r="F71" s="3114">
        <v>10400</v>
      </c>
      <c r="G71" s="3114">
        <f t="shared" si="1"/>
        <v>1126112</v>
      </c>
    </row>
    <row r="72" spans="1:7" ht="15">
      <c r="A72" s="3118">
        <v>68</v>
      </c>
      <c r="B72" s="3115" t="s">
        <v>6221</v>
      </c>
      <c r="C72" s="3115"/>
      <c r="D72" s="3115"/>
      <c r="E72" s="3114">
        <v>108.28</v>
      </c>
      <c r="F72" s="3114">
        <v>9500</v>
      </c>
      <c r="G72" s="3114">
        <f t="shared" si="1"/>
        <v>1028660</v>
      </c>
    </row>
    <row r="73" spans="1:7" ht="15">
      <c r="A73" s="3118">
        <v>69</v>
      </c>
      <c r="B73" s="3115" t="s">
        <v>6220</v>
      </c>
      <c r="C73" s="3115"/>
      <c r="D73" s="3115"/>
      <c r="E73" s="3114">
        <v>108.28</v>
      </c>
      <c r="F73" s="3114">
        <v>9800</v>
      </c>
      <c r="G73" s="3114">
        <f t="shared" si="1"/>
        <v>1061144</v>
      </c>
    </row>
    <row r="74" spans="1:7" ht="15">
      <c r="A74" s="3118">
        <v>70</v>
      </c>
      <c r="B74" s="3115" t="s">
        <v>6219</v>
      </c>
      <c r="C74" s="3115"/>
      <c r="D74" s="3115"/>
      <c r="E74" s="3114">
        <v>108.28</v>
      </c>
      <c r="F74" s="3114">
        <v>10050</v>
      </c>
      <c r="G74" s="3114">
        <f t="shared" si="1"/>
        <v>1088214</v>
      </c>
    </row>
    <row r="75" spans="1:7" ht="15">
      <c r="A75" s="3118">
        <v>71</v>
      </c>
      <c r="B75" s="3115" t="s">
        <v>6218</v>
      </c>
      <c r="C75" s="3115"/>
      <c r="D75" s="3115"/>
      <c r="E75" s="3114">
        <v>108.28</v>
      </c>
      <c r="F75" s="3114">
        <v>10100</v>
      </c>
      <c r="G75" s="3114">
        <f t="shared" si="1"/>
        <v>1093628</v>
      </c>
    </row>
    <row r="76" spans="1:7" ht="15">
      <c r="A76" s="3118">
        <v>72</v>
      </c>
      <c r="B76" s="3115" t="s">
        <v>6217</v>
      </c>
      <c r="C76" s="3115"/>
      <c r="D76" s="3115"/>
      <c r="E76" s="3114">
        <v>108.28</v>
      </c>
      <c r="F76" s="3114">
        <v>10150</v>
      </c>
      <c r="G76" s="3114">
        <f t="shared" si="1"/>
        <v>1099042</v>
      </c>
    </row>
    <row r="77" spans="1:7" ht="15">
      <c r="A77" s="3118">
        <v>73</v>
      </c>
      <c r="B77" s="3115" t="s">
        <v>6216</v>
      </c>
      <c r="C77" s="3115"/>
      <c r="D77" s="3115"/>
      <c r="E77" s="3114">
        <v>108.28</v>
      </c>
      <c r="F77" s="3114">
        <v>10150</v>
      </c>
      <c r="G77" s="3114">
        <f t="shared" si="1"/>
        <v>1099042</v>
      </c>
    </row>
    <row r="78" spans="1:7" ht="15">
      <c r="A78" s="3118">
        <v>74</v>
      </c>
      <c r="B78" s="3115" t="s">
        <v>6215</v>
      </c>
      <c r="C78" s="3115"/>
      <c r="D78" s="3115"/>
      <c r="E78" s="3114">
        <v>108.28</v>
      </c>
      <c r="F78" s="3114">
        <v>10150</v>
      </c>
      <c r="G78" s="3114">
        <f t="shared" si="1"/>
        <v>1099042</v>
      </c>
    </row>
    <row r="79" spans="1:7" ht="15">
      <c r="A79" s="3118">
        <v>75</v>
      </c>
      <c r="B79" s="3115" t="s">
        <v>6214</v>
      </c>
      <c r="C79" s="3115"/>
      <c r="D79" s="3115"/>
      <c r="E79" s="3114">
        <v>108.28</v>
      </c>
      <c r="F79" s="3114">
        <v>10150</v>
      </c>
      <c r="G79" s="3114">
        <f t="shared" si="1"/>
        <v>1099042</v>
      </c>
    </row>
    <row r="80" spans="1:7" ht="15">
      <c r="A80" s="3118">
        <v>76</v>
      </c>
      <c r="B80" s="3115" t="s">
        <v>6213</v>
      </c>
      <c r="C80" s="3115"/>
      <c r="D80" s="3115"/>
      <c r="E80" s="3114">
        <v>108.28</v>
      </c>
      <c r="F80" s="3114">
        <v>10150</v>
      </c>
      <c r="G80" s="3114">
        <f t="shared" si="1"/>
        <v>1099042</v>
      </c>
    </row>
    <row r="81" spans="1:7" ht="15">
      <c r="A81" s="3118">
        <v>77</v>
      </c>
      <c r="B81" s="3115" t="s">
        <v>6212</v>
      </c>
      <c r="C81" s="3115"/>
      <c r="D81" s="3115"/>
      <c r="E81" s="3114">
        <v>108.28</v>
      </c>
      <c r="F81" s="3114">
        <v>10150</v>
      </c>
      <c r="G81" s="3114">
        <f t="shared" si="1"/>
        <v>1099042</v>
      </c>
    </row>
    <row r="82" spans="1:7" ht="15">
      <c r="A82" s="3118">
        <v>78</v>
      </c>
      <c r="B82" s="3115" t="s">
        <v>6211</v>
      </c>
      <c r="C82" s="3115"/>
      <c r="D82" s="3115"/>
      <c r="E82" s="3114">
        <v>108.28</v>
      </c>
      <c r="F82" s="3114">
        <v>10150</v>
      </c>
      <c r="G82" s="3114">
        <f t="shared" si="1"/>
        <v>1099042</v>
      </c>
    </row>
    <row r="83" spans="1:7" ht="15">
      <c r="A83" s="3118">
        <v>79</v>
      </c>
      <c r="B83" s="3115" t="s">
        <v>6210</v>
      </c>
      <c r="C83" s="3115"/>
      <c r="D83" s="3115"/>
      <c r="E83" s="3114">
        <v>108.28</v>
      </c>
      <c r="F83" s="3114">
        <v>10150</v>
      </c>
      <c r="G83" s="3114">
        <f t="shared" si="1"/>
        <v>1099042</v>
      </c>
    </row>
    <row r="84" spans="1:7" ht="15">
      <c r="A84" s="3118">
        <v>80</v>
      </c>
      <c r="B84" s="3115" t="s">
        <v>6209</v>
      </c>
      <c r="C84" s="3115"/>
      <c r="D84" s="3115"/>
      <c r="E84" s="3114">
        <v>108.28</v>
      </c>
      <c r="F84" s="3114">
        <v>10150</v>
      </c>
      <c r="G84" s="3114">
        <f t="shared" si="1"/>
        <v>1099042</v>
      </c>
    </row>
    <row r="85" spans="1:7" ht="15">
      <c r="A85" s="3118">
        <v>81</v>
      </c>
      <c r="B85" s="3115" t="s">
        <v>6208</v>
      </c>
      <c r="C85" s="3115"/>
      <c r="D85" s="3115"/>
      <c r="E85" s="3114">
        <v>108.28</v>
      </c>
      <c r="F85" s="3114">
        <v>10100</v>
      </c>
      <c r="G85" s="3114">
        <f t="shared" si="1"/>
        <v>1093628</v>
      </c>
    </row>
    <row r="86" spans="1:7" ht="15">
      <c r="A86" s="3118">
        <v>82</v>
      </c>
      <c r="B86" s="3115" t="s">
        <v>6207</v>
      </c>
      <c r="C86" s="3115"/>
      <c r="D86" s="3115"/>
      <c r="E86" s="3114">
        <v>93.92</v>
      </c>
      <c r="F86" s="3114">
        <v>9800</v>
      </c>
      <c r="G86" s="3114">
        <f t="shared" si="1"/>
        <v>920416</v>
      </c>
    </row>
    <row r="87" spans="1:7" ht="15">
      <c r="A87" s="3118">
        <v>83</v>
      </c>
      <c r="B87" s="3115" t="s">
        <v>6206</v>
      </c>
      <c r="C87" s="3115"/>
      <c r="D87" s="3115"/>
      <c r="E87" s="3114">
        <v>87.95</v>
      </c>
      <c r="F87" s="3114">
        <v>11400</v>
      </c>
      <c r="G87" s="3114">
        <f t="shared" si="1"/>
        <v>1002630</v>
      </c>
    </row>
    <row r="88" spans="1:7" ht="15">
      <c r="A88" s="3118">
        <v>84</v>
      </c>
      <c r="B88" s="3115" t="s">
        <v>6205</v>
      </c>
      <c r="C88" s="3115"/>
      <c r="D88" s="3115"/>
      <c r="E88" s="3114">
        <v>87.95</v>
      </c>
      <c r="F88" s="3114">
        <v>10500</v>
      </c>
      <c r="G88" s="3114">
        <f t="shared" si="1"/>
        <v>923475</v>
      </c>
    </row>
    <row r="89" spans="1:7" ht="15">
      <c r="A89" s="3118">
        <v>85</v>
      </c>
      <c r="B89" s="3115" t="s">
        <v>6204</v>
      </c>
      <c r="C89" s="3115"/>
      <c r="D89" s="3115"/>
      <c r="E89" s="3114">
        <v>87.95</v>
      </c>
      <c r="F89" s="3114">
        <v>10800</v>
      </c>
      <c r="G89" s="3114">
        <f t="shared" si="1"/>
        <v>949860</v>
      </c>
    </row>
    <row r="90" spans="1:7" ht="15">
      <c r="A90" s="3118">
        <v>86</v>
      </c>
      <c r="B90" s="3115" t="s">
        <v>6203</v>
      </c>
      <c r="C90" s="3115"/>
      <c r="D90" s="3115"/>
      <c r="E90" s="3114">
        <v>87.95</v>
      </c>
      <c r="F90" s="3114">
        <v>11050</v>
      </c>
      <c r="G90" s="3114">
        <f t="shared" si="1"/>
        <v>971847.5</v>
      </c>
    </row>
    <row r="91" spans="1:7" ht="15">
      <c r="A91" s="3118">
        <v>87</v>
      </c>
      <c r="B91" s="3115" t="s">
        <v>6202</v>
      </c>
      <c r="C91" s="3115"/>
      <c r="D91" s="3115"/>
      <c r="E91" s="3114">
        <v>87.95</v>
      </c>
      <c r="F91" s="3114">
        <v>11100</v>
      </c>
      <c r="G91" s="3114">
        <f t="shared" si="1"/>
        <v>976245</v>
      </c>
    </row>
    <row r="92" spans="1:7" ht="15">
      <c r="A92" s="3118">
        <v>88</v>
      </c>
      <c r="B92" s="3115" t="s">
        <v>6201</v>
      </c>
      <c r="C92" s="3115"/>
      <c r="D92" s="3115"/>
      <c r="E92" s="3114">
        <v>87.95</v>
      </c>
      <c r="F92" s="3114">
        <v>11150</v>
      </c>
      <c r="G92" s="3114">
        <f t="shared" si="1"/>
        <v>980642.5</v>
      </c>
    </row>
    <row r="93" spans="1:7" ht="15">
      <c r="A93" s="3118">
        <v>89</v>
      </c>
      <c r="B93" s="3115" t="s">
        <v>6200</v>
      </c>
      <c r="C93" s="3115"/>
      <c r="D93" s="3115"/>
      <c r="E93" s="3114">
        <v>87.95</v>
      </c>
      <c r="F93" s="3114">
        <v>11150</v>
      </c>
      <c r="G93" s="3114">
        <f t="shared" si="1"/>
        <v>980642.5</v>
      </c>
    </row>
    <row r="94" spans="1:7" ht="15">
      <c r="A94" s="3118">
        <v>90</v>
      </c>
      <c r="B94" s="3115" t="s">
        <v>6199</v>
      </c>
      <c r="C94" s="3115"/>
      <c r="D94" s="3115"/>
      <c r="E94" s="3114">
        <v>87.95</v>
      </c>
      <c r="F94" s="3114">
        <v>11150</v>
      </c>
      <c r="G94" s="3114">
        <f t="shared" si="1"/>
        <v>980642.5</v>
      </c>
    </row>
    <row r="95" spans="1:7" ht="15">
      <c r="A95" s="3118">
        <v>91</v>
      </c>
      <c r="B95" s="3115" t="s">
        <v>6198</v>
      </c>
      <c r="C95" s="3115"/>
      <c r="D95" s="3115"/>
      <c r="E95" s="3114">
        <v>87.95</v>
      </c>
      <c r="F95" s="3114">
        <v>11150</v>
      </c>
      <c r="G95" s="3114">
        <f t="shared" si="1"/>
        <v>980642.5</v>
      </c>
    </row>
    <row r="96" spans="1:7" ht="15">
      <c r="A96" s="3118">
        <v>92</v>
      </c>
      <c r="B96" s="3115" t="s">
        <v>6197</v>
      </c>
      <c r="C96" s="3115"/>
      <c r="D96" s="3115"/>
      <c r="E96" s="3114">
        <v>87.95</v>
      </c>
      <c r="F96" s="3114">
        <v>11150</v>
      </c>
      <c r="G96" s="3114">
        <f t="shared" si="1"/>
        <v>980642.5</v>
      </c>
    </row>
    <row r="97" spans="1:7" ht="15">
      <c r="A97" s="3118">
        <v>93</v>
      </c>
      <c r="B97" s="3115" t="s">
        <v>6196</v>
      </c>
      <c r="C97" s="3115"/>
      <c r="D97" s="3115"/>
      <c r="E97" s="3114">
        <v>87.95</v>
      </c>
      <c r="F97" s="3114">
        <v>11150</v>
      </c>
      <c r="G97" s="3114">
        <f t="shared" si="1"/>
        <v>980642.5</v>
      </c>
    </row>
    <row r="98" spans="1:7" ht="15">
      <c r="A98" s="3118">
        <v>94</v>
      </c>
      <c r="B98" s="3115" t="s">
        <v>6195</v>
      </c>
      <c r="C98" s="3115"/>
      <c r="D98" s="3115"/>
      <c r="E98" s="3114">
        <v>87.95</v>
      </c>
      <c r="F98" s="3114">
        <v>11150</v>
      </c>
      <c r="G98" s="3114">
        <f t="shared" si="1"/>
        <v>980642.5</v>
      </c>
    </row>
    <row r="99" spans="1:7" ht="15">
      <c r="A99" s="3118">
        <v>95</v>
      </c>
      <c r="B99" s="3115" t="s">
        <v>6194</v>
      </c>
      <c r="C99" s="3115"/>
      <c r="D99" s="3115"/>
      <c r="E99" s="3114">
        <v>87.95</v>
      </c>
      <c r="F99" s="3114">
        <v>11150</v>
      </c>
      <c r="G99" s="3114">
        <f t="shared" si="1"/>
        <v>980642.5</v>
      </c>
    </row>
    <row r="100" spans="1:7" ht="15">
      <c r="A100" s="3118">
        <v>96</v>
      </c>
      <c r="B100" s="3115" t="s">
        <v>6193</v>
      </c>
      <c r="C100" s="3115"/>
      <c r="D100" s="3115"/>
      <c r="E100" s="3114">
        <v>87.95</v>
      </c>
      <c r="F100" s="3114">
        <v>11150</v>
      </c>
      <c r="G100" s="3114">
        <f t="shared" si="1"/>
        <v>980642.5</v>
      </c>
    </row>
    <row r="101" spans="1:7" ht="15">
      <c r="A101" s="3118">
        <v>97</v>
      </c>
      <c r="B101" s="3115" t="s">
        <v>6192</v>
      </c>
      <c r="C101" s="3115"/>
      <c r="D101" s="3115"/>
      <c r="E101" s="3114">
        <v>87.95</v>
      </c>
      <c r="F101" s="3114">
        <v>11100</v>
      </c>
      <c r="G101" s="3114">
        <f t="shared" si="1"/>
        <v>976245</v>
      </c>
    </row>
    <row r="102" spans="1:7" s="3125" customFormat="1" ht="15">
      <c r="A102" s="3118">
        <v>98</v>
      </c>
      <c r="B102" s="3115" t="s">
        <v>6191</v>
      </c>
      <c r="C102" s="3115"/>
      <c r="D102" s="3115"/>
      <c r="E102" s="3114">
        <v>88.05</v>
      </c>
      <c r="F102" s="3114">
        <v>10300</v>
      </c>
      <c r="G102" s="3114">
        <f t="shared" si="1"/>
        <v>906915</v>
      </c>
    </row>
    <row r="103" spans="1:7" ht="15">
      <c r="A103" s="3118">
        <v>99</v>
      </c>
      <c r="B103" s="3115" t="s">
        <v>6190</v>
      </c>
      <c r="C103" s="3115"/>
      <c r="D103" s="3115"/>
      <c r="E103" s="3114">
        <v>87.95</v>
      </c>
      <c r="F103" s="3114">
        <v>11400</v>
      </c>
      <c r="G103" s="3114">
        <f t="shared" si="1"/>
        <v>1002630</v>
      </c>
    </row>
    <row r="104" spans="1:7" ht="15">
      <c r="A104" s="3118">
        <v>100</v>
      </c>
      <c r="B104" s="3115" t="s">
        <v>6189</v>
      </c>
      <c r="C104" s="3115"/>
      <c r="D104" s="3115"/>
      <c r="E104" s="3114">
        <v>87.95</v>
      </c>
      <c r="F104" s="3114">
        <v>10500</v>
      </c>
      <c r="G104" s="3114">
        <f t="shared" si="1"/>
        <v>923475</v>
      </c>
    </row>
    <row r="105" spans="1:7" ht="15">
      <c r="A105" s="3118">
        <v>101</v>
      </c>
      <c r="B105" s="3115" t="s">
        <v>6188</v>
      </c>
      <c r="C105" s="3115"/>
      <c r="D105" s="3115"/>
      <c r="E105" s="3114">
        <v>87.95</v>
      </c>
      <c r="F105" s="3114">
        <v>10800</v>
      </c>
      <c r="G105" s="3114">
        <f t="shared" si="1"/>
        <v>949860</v>
      </c>
    </row>
    <row r="106" spans="1:7" ht="15">
      <c r="A106" s="3118">
        <v>102</v>
      </c>
      <c r="B106" s="3115" t="s">
        <v>6187</v>
      </c>
      <c r="C106" s="3115"/>
      <c r="D106" s="3115"/>
      <c r="E106" s="3114">
        <v>87.95</v>
      </c>
      <c r="F106" s="3114">
        <v>11050</v>
      </c>
      <c r="G106" s="3114">
        <f t="shared" si="1"/>
        <v>971847.5</v>
      </c>
    </row>
    <row r="107" spans="1:7" ht="15">
      <c r="A107" s="3118">
        <v>103</v>
      </c>
      <c r="B107" s="3115" t="s">
        <v>6186</v>
      </c>
      <c r="C107" s="3115"/>
      <c r="D107" s="3115"/>
      <c r="E107" s="3114">
        <v>87.95</v>
      </c>
      <c r="F107" s="3114">
        <v>11100</v>
      </c>
      <c r="G107" s="3114">
        <f t="shared" si="1"/>
        <v>976245</v>
      </c>
    </row>
    <row r="108" spans="1:7" ht="15">
      <c r="A108" s="3118">
        <v>104</v>
      </c>
      <c r="B108" s="3115" t="s">
        <v>6185</v>
      </c>
      <c r="C108" s="3115"/>
      <c r="D108" s="3115"/>
      <c r="E108" s="3114">
        <v>87.95</v>
      </c>
      <c r="F108" s="3114">
        <v>11150</v>
      </c>
      <c r="G108" s="3114">
        <f t="shared" si="1"/>
        <v>980642.5</v>
      </c>
    </row>
    <row r="109" spans="1:7" ht="15">
      <c r="A109" s="3118">
        <v>105</v>
      </c>
      <c r="B109" s="3115" t="s">
        <v>6184</v>
      </c>
      <c r="C109" s="3115"/>
      <c r="D109" s="3115"/>
      <c r="E109" s="3114">
        <v>87.95</v>
      </c>
      <c r="F109" s="3114">
        <v>11150</v>
      </c>
      <c r="G109" s="3114">
        <f t="shared" si="1"/>
        <v>980642.5</v>
      </c>
    </row>
    <row r="110" spans="1:7" ht="15">
      <c r="A110" s="3118">
        <v>106</v>
      </c>
      <c r="B110" s="3115" t="s">
        <v>6183</v>
      </c>
      <c r="C110" s="3115"/>
      <c r="D110" s="3115"/>
      <c r="E110" s="3114">
        <v>87.95</v>
      </c>
      <c r="F110" s="3114">
        <v>11150</v>
      </c>
      <c r="G110" s="3114">
        <f t="shared" si="1"/>
        <v>980642.5</v>
      </c>
    </row>
    <row r="111" spans="1:7" ht="15">
      <c r="A111" s="3118">
        <v>107</v>
      </c>
      <c r="B111" s="3115" t="s">
        <v>6182</v>
      </c>
      <c r="C111" s="3115"/>
      <c r="D111" s="3115"/>
      <c r="E111" s="3114">
        <v>87.95</v>
      </c>
      <c r="F111" s="3114">
        <v>11150</v>
      </c>
      <c r="G111" s="3114">
        <f t="shared" si="1"/>
        <v>980642.5</v>
      </c>
    </row>
    <row r="112" spans="1:7" ht="15">
      <c r="A112" s="3118">
        <v>108</v>
      </c>
      <c r="B112" s="3115" t="s">
        <v>6181</v>
      </c>
      <c r="C112" s="3115"/>
      <c r="D112" s="3115"/>
      <c r="E112" s="3114">
        <v>87.95</v>
      </c>
      <c r="F112" s="3114">
        <v>11150</v>
      </c>
      <c r="G112" s="3114">
        <f t="shared" si="1"/>
        <v>980642.5</v>
      </c>
    </row>
    <row r="113" spans="1:7" ht="15">
      <c r="A113" s="3118">
        <v>109</v>
      </c>
      <c r="B113" s="3115" t="s">
        <v>6180</v>
      </c>
      <c r="C113" s="3115"/>
      <c r="D113" s="3115"/>
      <c r="E113" s="3114">
        <v>87.95</v>
      </c>
      <c r="F113" s="3114">
        <v>11150</v>
      </c>
      <c r="G113" s="3114">
        <f t="shared" si="1"/>
        <v>980642.5</v>
      </c>
    </row>
    <row r="114" spans="1:7" ht="15">
      <c r="A114" s="3118">
        <v>110</v>
      </c>
      <c r="B114" s="3115" t="s">
        <v>6179</v>
      </c>
      <c r="C114" s="3115"/>
      <c r="D114" s="3115"/>
      <c r="E114" s="3114">
        <v>87.95</v>
      </c>
      <c r="F114" s="3114">
        <v>11150</v>
      </c>
      <c r="G114" s="3114">
        <f t="shared" si="1"/>
        <v>980642.5</v>
      </c>
    </row>
    <row r="115" spans="1:7" ht="15">
      <c r="A115" s="3118">
        <v>111</v>
      </c>
      <c r="B115" s="3115" t="s">
        <v>6178</v>
      </c>
      <c r="C115" s="3115"/>
      <c r="D115" s="3115"/>
      <c r="E115" s="3114">
        <v>87.95</v>
      </c>
      <c r="F115" s="3114">
        <v>11150</v>
      </c>
      <c r="G115" s="3114">
        <f t="shared" si="1"/>
        <v>980642.5</v>
      </c>
    </row>
    <row r="116" spans="1:7" ht="15">
      <c r="A116" s="3118">
        <v>112</v>
      </c>
      <c r="B116" s="3115" t="s">
        <v>6177</v>
      </c>
      <c r="C116" s="3115"/>
      <c r="D116" s="3115"/>
      <c r="E116" s="3114">
        <v>87.95</v>
      </c>
      <c r="F116" s="3114">
        <v>11150</v>
      </c>
      <c r="G116" s="3114">
        <f t="shared" si="1"/>
        <v>980642.5</v>
      </c>
    </row>
    <row r="117" spans="1:7" ht="15">
      <c r="A117" s="3118">
        <v>113</v>
      </c>
      <c r="B117" s="3115" t="s">
        <v>6176</v>
      </c>
      <c r="C117" s="3115"/>
      <c r="D117" s="3115"/>
      <c r="E117" s="3114">
        <v>87.95</v>
      </c>
      <c r="F117" s="3114">
        <v>11100</v>
      </c>
      <c r="G117" s="3114">
        <f t="shared" si="1"/>
        <v>976245</v>
      </c>
    </row>
    <row r="118" spans="1:7" ht="15">
      <c r="A118" s="3118">
        <v>114</v>
      </c>
      <c r="B118" s="3115" t="s">
        <v>6175</v>
      </c>
      <c r="C118" s="3115"/>
      <c r="D118" s="3115"/>
      <c r="E118" s="3114">
        <v>88.05</v>
      </c>
      <c r="F118" s="3114">
        <v>10300</v>
      </c>
      <c r="G118" s="3114">
        <f t="shared" si="1"/>
        <v>906915</v>
      </c>
    </row>
    <row r="119" spans="1:7" ht="15">
      <c r="A119" s="3118">
        <v>115</v>
      </c>
      <c r="B119" s="3115" t="s">
        <v>6174</v>
      </c>
      <c r="C119" s="3115"/>
      <c r="D119" s="3115"/>
      <c r="E119" s="3114">
        <v>108.29</v>
      </c>
      <c r="F119" s="3114">
        <v>10400</v>
      </c>
      <c r="G119" s="3114">
        <f t="shared" si="1"/>
        <v>1126216</v>
      </c>
    </row>
    <row r="120" spans="1:7" ht="15">
      <c r="A120" s="3118">
        <v>116</v>
      </c>
      <c r="B120" s="3115" t="s">
        <v>6173</v>
      </c>
      <c r="C120" s="3115"/>
      <c r="D120" s="3115"/>
      <c r="E120" s="3114">
        <v>108.29</v>
      </c>
      <c r="F120" s="3114">
        <v>9500</v>
      </c>
      <c r="G120" s="3114">
        <f t="shared" si="1"/>
        <v>1028755.0000000001</v>
      </c>
    </row>
    <row r="121" spans="1:7" ht="15">
      <c r="A121" s="3118">
        <v>117</v>
      </c>
      <c r="B121" s="3115" t="s">
        <v>6172</v>
      </c>
      <c r="C121" s="3115"/>
      <c r="D121" s="3115"/>
      <c r="E121" s="3114">
        <v>108.29</v>
      </c>
      <c r="F121" s="3114">
        <v>9800</v>
      </c>
      <c r="G121" s="3114">
        <f t="shared" si="1"/>
        <v>1061242</v>
      </c>
    </row>
    <row r="122" spans="1:7" ht="15">
      <c r="A122" s="3118">
        <v>118</v>
      </c>
      <c r="B122" s="3115" t="s">
        <v>6171</v>
      </c>
      <c r="C122" s="3115"/>
      <c r="D122" s="3115"/>
      <c r="E122" s="3114">
        <v>108.29</v>
      </c>
      <c r="F122" s="3114">
        <v>10050</v>
      </c>
      <c r="G122" s="3114">
        <f t="shared" si="1"/>
        <v>1088314.5</v>
      </c>
    </row>
    <row r="123" spans="1:7" ht="15">
      <c r="A123" s="3118">
        <v>119</v>
      </c>
      <c r="B123" s="3115" t="s">
        <v>6170</v>
      </c>
      <c r="C123" s="3115"/>
      <c r="D123" s="3115"/>
      <c r="E123" s="3114">
        <v>108.29</v>
      </c>
      <c r="F123" s="3114">
        <v>10100</v>
      </c>
      <c r="G123" s="3114">
        <f t="shared" si="1"/>
        <v>1093729</v>
      </c>
    </row>
    <row r="124" spans="1:7" ht="15">
      <c r="A124" s="3118">
        <v>120</v>
      </c>
      <c r="B124" s="3115" t="s">
        <v>6169</v>
      </c>
      <c r="C124" s="3115"/>
      <c r="D124" s="3115"/>
      <c r="E124" s="3114">
        <v>108.29</v>
      </c>
      <c r="F124" s="3114">
        <v>10150</v>
      </c>
      <c r="G124" s="3114">
        <f t="shared" si="1"/>
        <v>1099143.5</v>
      </c>
    </row>
    <row r="125" spans="1:7" ht="15">
      <c r="A125" s="3118">
        <v>121</v>
      </c>
      <c r="B125" s="3115" t="s">
        <v>6168</v>
      </c>
      <c r="C125" s="3115"/>
      <c r="D125" s="3115"/>
      <c r="E125" s="3114">
        <v>108.29</v>
      </c>
      <c r="F125" s="3114">
        <v>10150</v>
      </c>
      <c r="G125" s="3114">
        <f t="shared" si="1"/>
        <v>1099143.5</v>
      </c>
    </row>
    <row r="126" spans="1:7" ht="15">
      <c r="A126" s="3118">
        <v>122</v>
      </c>
      <c r="B126" s="3115" t="s">
        <v>6167</v>
      </c>
      <c r="C126" s="3115"/>
      <c r="D126" s="3115"/>
      <c r="E126" s="3114">
        <v>108.29</v>
      </c>
      <c r="F126" s="3114">
        <v>10150</v>
      </c>
      <c r="G126" s="3114">
        <f t="shared" si="1"/>
        <v>1099143.5</v>
      </c>
    </row>
    <row r="127" spans="1:7" ht="15">
      <c r="A127" s="3118">
        <v>123</v>
      </c>
      <c r="B127" s="3115" t="s">
        <v>6166</v>
      </c>
      <c r="C127" s="3115"/>
      <c r="D127" s="3115"/>
      <c r="E127" s="3114">
        <v>108.29</v>
      </c>
      <c r="F127" s="3114">
        <v>10150</v>
      </c>
      <c r="G127" s="3114">
        <f t="shared" si="1"/>
        <v>1099143.5</v>
      </c>
    </row>
    <row r="128" spans="1:7" ht="15">
      <c r="A128" s="3118">
        <v>124</v>
      </c>
      <c r="B128" s="3115" t="s">
        <v>6165</v>
      </c>
      <c r="C128" s="3115"/>
      <c r="D128" s="3115"/>
      <c r="E128" s="3114">
        <v>108.29</v>
      </c>
      <c r="F128" s="3114">
        <v>10150</v>
      </c>
      <c r="G128" s="3114">
        <f t="shared" si="1"/>
        <v>1099143.5</v>
      </c>
    </row>
    <row r="129" spans="1:7" ht="15">
      <c r="A129" s="3118">
        <v>125</v>
      </c>
      <c r="B129" s="3115" t="s">
        <v>6164</v>
      </c>
      <c r="C129" s="3115"/>
      <c r="D129" s="3115"/>
      <c r="E129" s="3114">
        <v>108.29</v>
      </c>
      <c r="F129" s="3114">
        <v>10150</v>
      </c>
      <c r="G129" s="3114">
        <f t="shared" si="1"/>
        <v>1099143.5</v>
      </c>
    </row>
    <row r="130" spans="1:7" ht="15">
      <c r="A130" s="3118">
        <v>126</v>
      </c>
      <c r="B130" s="3115" t="s">
        <v>6163</v>
      </c>
      <c r="C130" s="3115"/>
      <c r="D130" s="3115"/>
      <c r="E130" s="3114">
        <v>108.29</v>
      </c>
      <c r="F130" s="3114">
        <v>10150</v>
      </c>
      <c r="G130" s="3114">
        <f t="shared" si="1"/>
        <v>1099143.5</v>
      </c>
    </row>
    <row r="131" spans="1:7" ht="15">
      <c r="A131" s="3118">
        <v>127</v>
      </c>
      <c r="B131" s="3115" t="s">
        <v>6162</v>
      </c>
      <c r="C131" s="3115"/>
      <c r="D131" s="3115"/>
      <c r="E131" s="3114">
        <v>108.29</v>
      </c>
      <c r="F131" s="3114">
        <v>10150</v>
      </c>
      <c r="G131" s="3114">
        <f t="shared" si="1"/>
        <v>1099143.5</v>
      </c>
    </row>
    <row r="132" spans="1:7" ht="15">
      <c r="A132" s="3118">
        <v>128</v>
      </c>
      <c r="B132" s="3115" t="s">
        <v>6161</v>
      </c>
      <c r="C132" s="3115"/>
      <c r="D132" s="3115"/>
      <c r="E132" s="3114">
        <v>108.29</v>
      </c>
      <c r="F132" s="3114">
        <v>10150</v>
      </c>
      <c r="G132" s="3114">
        <f t="shared" si="1"/>
        <v>1099143.5</v>
      </c>
    </row>
    <row r="133" spans="1:7" ht="15">
      <c r="A133" s="3118">
        <v>129</v>
      </c>
      <c r="B133" s="3115" t="s">
        <v>6160</v>
      </c>
      <c r="C133" s="3115"/>
      <c r="D133" s="3115"/>
      <c r="E133" s="3114">
        <v>108.29</v>
      </c>
      <c r="F133" s="3114">
        <v>10100</v>
      </c>
      <c r="G133" s="3114">
        <f t="shared" ref="G133:G196" si="2">E133*F133</f>
        <v>1093729</v>
      </c>
    </row>
    <row r="134" spans="1:7" s="3125" customFormat="1" ht="15">
      <c r="A134" s="3118">
        <v>130</v>
      </c>
      <c r="B134" s="3115" t="s">
        <v>6159</v>
      </c>
      <c r="C134" s="3115"/>
      <c r="D134" s="3115"/>
      <c r="E134" s="3114">
        <v>94.02</v>
      </c>
      <c r="F134" s="3114">
        <v>9300</v>
      </c>
      <c r="G134" s="3114">
        <f t="shared" si="2"/>
        <v>874386</v>
      </c>
    </row>
    <row r="135" spans="1:7" ht="15">
      <c r="A135" s="3118">
        <v>131</v>
      </c>
      <c r="B135" s="3115" t="s">
        <v>6158</v>
      </c>
      <c r="C135" s="3115"/>
      <c r="D135" s="3115"/>
      <c r="E135" s="3114">
        <v>108.29</v>
      </c>
      <c r="F135" s="3114">
        <v>10400</v>
      </c>
      <c r="G135" s="3114">
        <f t="shared" si="2"/>
        <v>1126216</v>
      </c>
    </row>
    <row r="136" spans="1:7" ht="15">
      <c r="A136" s="3118">
        <v>132</v>
      </c>
      <c r="B136" s="3115" t="s">
        <v>6157</v>
      </c>
      <c r="C136" s="3115"/>
      <c r="D136" s="3115"/>
      <c r="E136" s="3114">
        <v>108.29</v>
      </c>
      <c r="F136" s="3114">
        <v>9500</v>
      </c>
      <c r="G136" s="3114">
        <f t="shared" si="2"/>
        <v>1028755.0000000001</v>
      </c>
    </row>
    <row r="137" spans="1:7" ht="15">
      <c r="A137" s="3118">
        <v>133</v>
      </c>
      <c r="B137" s="3115" t="s">
        <v>6156</v>
      </c>
      <c r="C137" s="3115"/>
      <c r="D137" s="3115"/>
      <c r="E137" s="3114">
        <v>108.29</v>
      </c>
      <c r="F137" s="3114">
        <v>9800</v>
      </c>
      <c r="G137" s="3114">
        <f t="shared" si="2"/>
        <v>1061242</v>
      </c>
    </row>
    <row r="138" spans="1:7" ht="15">
      <c r="A138" s="3118">
        <v>134</v>
      </c>
      <c r="B138" s="3115" t="s">
        <v>6155</v>
      </c>
      <c r="C138" s="3115"/>
      <c r="D138" s="3115"/>
      <c r="E138" s="3114">
        <v>108.29</v>
      </c>
      <c r="F138" s="3114">
        <v>10050</v>
      </c>
      <c r="G138" s="3114">
        <f t="shared" si="2"/>
        <v>1088314.5</v>
      </c>
    </row>
    <row r="139" spans="1:7" ht="15">
      <c r="A139" s="3118">
        <v>135</v>
      </c>
      <c r="B139" s="3115" t="s">
        <v>6154</v>
      </c>
      <c r="C139" s="3115"/>
      <c r="D139" s="3115"/>
      <c r="E139" s="3114">
        <v>108.29</v>
      </c>
      <c r="F139" s="3114">
        <v>10100</v>
      </c>
      <c r="G139" s="3114">
        <f t="shared" si="2"/>
        <v>1093729</v>
      </c>
    </row>
    <row r="140" spans="1:7" ht="15">
      <c r="A140" s="3118">
        <v>136</v>
      </c>
      <c r="B140" s="3115" t="s">
        <v>6153</v>
      </c>
      <c r="C140" s="3115"/>
      <c r="D140" s="3115"/>
      <c r="E140" s="3114">
        <v>108.29</v>
      </c>
      <c r="F140" s="3114">
        <v>10150</v>
      </c>
      <c r="G140" s="3114">
        <f t="shared" si="2"/>
        <v>1099143.5</v>
      </c>
    </row>
    <row r="141" spans="1:7" ht="15">
      <c r="A141" s="3118">
        <v>137</v>
      </c>
      <c r="B141" s="3115" t="s">
        <v>6152</v>
      </c>
      <c r="C141" s="3115"/>
      <c r="D141" s="3115"/>
      <c r="E141" s="3114">
        <v>108.29</v>
      </c>
      <c r="F141" s="3114">
        <v>10150</v>
      </c>
      <c r="G141" s="3114">
        <f t="shared" si="2"/>
        <v>1099143.5</v>
      </c>
    </row>
    <row r="142" spans="1:7" ht="15">
      <c r="A142" s="3118">
        <v>138</v>
      </c>
      <c r="B142" s="3115" t="s">
        <v>6151</v>
      </c>
      <c r="C142" s="3115"/>
      <c r="D142" s="3115"/>
      <c r="E142" s="3114">
        <v>108.29</v>
      </c>
      <c r="F142" s="3114">
        <v>10150</v>
      </c>
      <c r="G142" s="3114">
        <f t="shared" si="2"/>
        <v>1099143.5</v>
      </c>
    </row>
    <row r="143" spans="1:7" ht="15">
      <c r="A143" s="3118">
        <v>139</v>
      </c>
      <c r="B143" s="3115" t="s">
        <v>6150</v>
      </c>
      <c r="C143" s="3115"/>
      <c r="D143" s="3115"/>
      <c r="E143" s="3114">
        <v>108.29</v>
      </c>
      <c r="F143" s="3114">
        <v>10150</v>
      </c>
      <c r="G143" s="3114">
        <f t="shared" si="2"/>
        <v>1099143.5</v>
      </c>
    </row>
    <row r="144" spans="1:7" ht="15">
      <c r="A144" s="3118">
        <v>140</v>
      </c>
      <c r="B144" s="3115" t="s">
        <v>6149</v>
      </c>
      <c r="C144" s="3115"/>
      <c r="D144" s="3115"/>
      <c r="E144" s="3114">
        <v>108.29</v>
      </c>
      <c r="F144" s="3114">
        <v>10150</v>
      </c>
      <c r="G144" s="3114">
        <f t="shared" si="2"/>
        <v>1099143.5</v>
      </c>
    </row>
    <row r="145" spans="1:7" ht="15">
      <c r="A145" s="3118">
        <v>141</v>
      </c>
      <c r="B145" s="3115" t="s">
        <v>6148</v>
      </c>
      <c r="C145" s="3115"/>
      <c r="D145" s="3115"/>
      <c r="E145" s="3114">
        <v>108.29</v>
      </c>
      <c r="F145" s="3114">
        <v>10150</v>
      </c>
      <c r="G145" s="3114">
        <f t="shared" si="2"/>
        <v>1099143.5</v>
      </c>
    </row>
    <row r="146" spans="1:7" ht="15">
      <c r="A146" s="3118">
        <v>142</v>
      </c>
      <c r="B146" s="3115" t="s">
        <v>6147</v>
      </c>
      <c r="C146" s="3115"/>
      <c r="D146" s="3115"/>
      <c r="E146" s="3114">
        <v>108.29</v>
      </c>
      <c r="F146" s="3114">
        <v>10150</v>
      </c>
      <c r="G146" s="3114">
        <f t="shared" si="2"/>
        <v>1099143.5</v>
      </c>
    </row>
    <row r="147" spans="1:7" ht="15">
      <c r="A147" s="3118">
        <v>143</v>
      </c>
      <c r="B147" s="3115" t="s">
        <v>6146</v>
      </c>
      <c r="C147" s="3115"/>
      <c r="D147" s="3115"/>
      <c r="E147" s="3114">
        <v>108.29</v>
      </c>
      <c r="F147" s="3114">
        <v>10150</v>
      </c>
      <c r="G147" s="3114">
        <f t="shared" si="2"/>
        <v>1099143.5</v>
      </c>
    </row>
    <row r="148" spans="1:7" ht="15">
      <c r="A148" s="3118">
        <v>144</v>
      </c>
      <c r="B148" s="3115" t="s">
        <v>6145</v>
      </c>
      <c r="C148" s="3115"/>
      <c r="D148" s="3115"/>
      <c r="E148" s="3114">
        <v>108.29</v>
      </c>
      <c r="F148" s="3114">
        <v>10150</v>
      </c>
      <c r="G148" s="3114">
        <f t="shared" si="2"/>
        <v>1099143.5</v>
      </c>
    </row>
    <row r="149" spans="1:7" ht="15">
      <c r="A149" s="3118">
        <v>145</v>
      </c>
      <c r="B149" s="3115" t="s">
        <v>6144</v>
      </c>
      <c r="C149" s="3115"/>
      <c r="D149" s="3115"/>
      <c r="E149" s="3114">
        <v>108.29</v>
      </c>
      <c r="F149" s="3114">
        <v>10100</v>
      </c>
      <c r="G149" s="3114">
        <f t="shared" si="2"/>
        <v>1093729</v>
      </c>
    </row>
    <row r="150" spans="1:7" ht="15">
      <c r="A150" s="3118">
        <v>146</v>
      </c>
      <c r="B150" s="3115" t="s">
        <v>6143</v>
      </c>
      <c r="C150" s="3115"/>
      <c r="D150" s="3115"/>
      <c r="E150" s="3114">
        <v>94.02</v>
      </c>
      <c r="F150" s="3114">
        <v>9800</v>
      </c>
      <c r="G150" s="3114">
        <f t="shared" si="2"/>
        <v>921396</v>
      </c>
    </row>
    <row r="151" spans="1:7" ht="15">
      <c r="A151" s="3118">
        <v>147</v>
      </c>
      <c r="B151" s="3115" t="s">
        <v>6142</v>
      </c>
      <c r="C151" s="3115"/>
      <c r="D151" s="3115"/>
      <c r="E151" s="3114">
        <v>87.85</v>
      </c>
      <c r="F151" s="3114">
        <v>10400</v>
      </c>
      <c r="G151" s="3114">
        <f t="shared" si="2"/>
        <v>913639.99999999988</v>
      </c>
    </row>
    <row r="152" spans="1:7" ht="15">
      <c r="A152" s="3118">
        <v>148</v>
      </c>
      <c r="B152" s="3115" t="s">
        <v>6141</v>
      </c>
      <c r="C152" s="3115"/>
      <c r="D152" s="3115"/>
      <c r="E152" s="3114">
        <v>87.85</v>
      </c>
      <c r="F152" s="3114">
        <v>9500</v>
      </c>
      <c r="G152" s="3114">
        <f t="shared" si="2"/>
        <v>834575</v>
      </c>
    </row>
    <row r="153" spans="1:7" ht="15">
      <c r="A153" s="3118">
        <v>149</v>
      </c>
      <c r="B153" s="3115" t="s">
        <v>6140</v>
      </c>
      <c r="C153" s="3115"/>
      <c r="D153" s="3115"/>
      <c r="E153" s="3114">
        <v>87.85</v>
      </c>
      <c r="F153" s="3114">
        <v>9800</v>
      </c>
      <c r="G153" s="3114">
        <f t="shared" si="2"/>
        <v>860930</v>
      </c>
    </row>
    <row r="154" spans="1:7" ht="15">
      <c r="A154" s="3118">
        <v>150</v>
      </c>
      <c r="B154" s="3115" t="s">
        <v>6139</v>
      </c>
      <c r="C154" s="3115"/>
      <c r="D154" s="3115"/>
      <c r="E154" s="3114">
        <v>87.85</v>
      </c>
      <c r="F154" s="3114">
        <v>10050</v>
      </c>
      <c r="G154" s="3114">
        <f t="shared" si="2"/>
        <v>882892.5</v>
      </c>
    </row>
    <row r="155" spans="1:7" ht="15">
      <c r="A155" s="3118">
        <v>151</v>
      </c>
      <c r="B155" s="3115" t="s">
        <v>6138</v>
      </c>
      <c r="C155" s="3115"/>
      <c r="D155" s="3115"/>
      <c r="E155" s="3114">
        <v>87.85</v>
      </c>
      <c r="F155" s="3114">
        <v>10100</v>
      </c>
      <c r="G155" s="3114">
        <f t="shared" si="2"/>
        <v>887285</v>
      </c>
    </row>
    <row r="156" spans="1:7" ht="15">
      <c r="A156" s="3118">
        <v>152</v>
      </c>
      <c r="B156" s="3115" t="s">
        <v>6137</v>
      </c>
      <c r="C156" s="3115"/>
      <c r="D156" s="3115"/>
      <c r="E156" s="3114">
        <v>87.85</v>
      </c>
      <c r="F156" s="3114">
        <v>10150</v>
      </c>
      <c r="G156" s="3114">
        <f t="shared" si="2"/>
        <v>891677.5</v>
      </c>
    </row>
    <row r="157" spans="1:7" ht="15">
      <c r="A157" s="3118">
        <v>153</v>
      </c>
      <c r="B157" s="3115" t="s">
        <v>6136</v>
      </c>
      <c r="C157" s="3115"/>
      <c r="D157" s="3115"/>
      <c r="E157" s="3114">
        <v>87.85</v>
      </c>
      <c r="F157" s="3114">
        <v>10150</v>
      </c>
      <c r="G157" s="3114">
        <f t="shared" si="2"/>
        <v>891677.5</v>
      </c>
    </row>
    <row r="158" spans="1:7" ht="15">
      <c r="A158" s="3118">
        <v>154</v>
      </c>
      <c r="B158" s="3115" t="s">
        <v>6135</v>
      </c>
      <c r="C158" s="3115"/>
      <c r="D158" s="3115"/>
      <c r="E158" s="3114">
        <v>87.85</v>
      </c>
      <c r="F158" s="3114">
        <v>10150</v>
      </c>
      <c r="G158" s="3114">
        <f t="shared" si="2"/>
        <v>891677.5</v>
      </c>
    </row>
    <row r="159" spans="1:7" ht="15">
      <c r="A159" s="3118">
        <v>155</v>
      </c>
      <c r="B159" s="3115" t="s">
        <v>6134</v>
      </c>
      <c r="C159" s="3115"/>
      <c r="D159" s="3115"/>
      <c r="E159" s="3114">
        <v>87.85</v>
      </c>
      <c r="F159" s="3114">
        <v>10150</v>
      </c>
      <c r="G159" s="3114">
        <f t="shared" si="2"/>
        <v>891677.5</v>
      </c>
    </row>
    <row r="160" spans="1:7" ht="15">
      <c r="A160" s="3118">
        <v>156</v>
      </c>
      <c r="B160" s="3115" t="s">
        <v>6133</v>
      </c>
      <c r="C160" s="3115"/>
      <c r="D160" s="3115"/>
      <c r="E160" s="3114">
        <v>87.85</v>
      </c>
      <c r="F160" s="3114">
        <v>10150</v>
      </c>
      <c r="G160" s="3114">
        <f t="shared" si="2"/>
        <v>891677.5</v>
      </c>
    </row>
    <row r="161" spans="1:7" ht="15">
      <c r="A161" s="3118">
        <v>157</v>
      </c>
      <c r="B161" s="3115" t="s">
        <v>6132</v>
      </c>
      <c r="C161" s="3115"/>
      <c r="D161" s="3115"/>
      <c r="E161" s="3114">
        <v>87.85</v>
      </c>
      <c r="F161" s="3114">
        <v>10150</v>
      </c>
      <c r="G161" s="3114">
        <f t="shared" si="2"/>
        <v>891677.5</v>
      </c>
    </row>
    <row r="162" spans="1:7" ht="15">
      <c r="A162" s="3118">
        <v>158</v>
      </c>
      <c r="B162" s="3115" t="s">
        <v>6131</v>
      </c>
      <c r="C162" s="3115"/>
      <c r="D162" s="3115"/>
      <c r="E162" s="3114">
        <v>87.85</v>
      </c>
      <c r="F162" s="3114">
        <v>10150</v>
      </c>
      <c r="G162" s="3114">
        <f t="shared" si="2"/>
        <v>891677.5</v>
      </c>
    </row>
    <row r="163" spans="1:7" ht="15">
      <c r="A163" s="3118">
        <v>159</v>
      </c>
      <c r="B163" s="3115" t="s">
        <v>6130</v>
      </c>
      <c r="C163" s="3115"/>
      <c r="D163" s="3115"/>
      <c r="E163" s="3114">
        <v>87.85</v>
      </c>
      <c r="F163" s="3114">
        <v>10150</v>
      </c>
      <c r="G163" s="3114">
        <f t="shared" si="2"/>
        <v>891677.5</v>
      </c>
    </row>
    <row r="164" spans="1:7" ht="15">
      <c r="A164" s="3118">
        <v>160</v>
      </c>
      <c r="B164" s="3115" t="s">
        <v>6129</v>
      </c>
      <c r="C164" s="3115"/>
      <c r="D164" s="3115"/>
      <c r="E164" s="3114">
        <v>87.85</v>
      </c>
      <c r="F164" s="3114">
        <v>10150</v>
      </c>
      <c r="G164" s="3114">
        <f t="shared" si="2"/>
        <v>891677.5</v>
      </c>
    </row>
    <row r="165" spans="1:7" ht="15">
      <c r="A165" s="3118">
        <v>161</v>
      </c>
      <c r="B165" s="3115" t="s">
        <v>6128</v>
      </c>
      <c r="C165" s="3115"/>
      <c r="D165" s="3115"/>
      <c r="E165" s="3114">
        <v>87.85</v>
      </c>
      <c r="F165" s="3114">
        <v>10100</v>
      </c>
      <c r="G165" s="3114">
        <f t="shared" si="2"/>
        <v>887285</v>
      </c>
    </row>
    <row r="166" spans="1:7" ht="15">
      <c r="A166" s="3118">
        <v>162</v>
      </c>
      <c r="B166" s="3115" t="s">
        <v>6127</v>
      </c>
      <c r="C166" s="3115"/>
      <c r="D166" s="3115"/>
      <c r="E166" s="3114">
        <v>88.05</v>
      </c>
      <c r="F166" s="3114">
        <v>9800</v>
      </c>
      <c r="G166" s="3114">
        <f t="shared" si="2"/>
        <v>862890</v>
      </c>
    </row>
    <row r="167" spans="1:7" ht="15">
      <c r="A167" s="3118">
        <v>163</v>
      </c>
      <c r="B167" s="3115" t="s">
        <v>6126</v>
      </c>
      <c r="C167" s="3115"/>
      <c r="D167" s="3115"/>
      <c r="E167" s="3114">
        <v>110.15</v>
      </c>
      <c r="F167" s="3114">
        <v>11750</v>
      </c>
      <c r="G167" s="3114">
        <f t="shared" si="2"/>
        <v>1294262.5</v>
      </c>
    </row>
    <row r="168" spans="1:7" ht="15">
      <c r="A168" s="3118">
        <v>164</v>
      </c>
      <c r="B168" s="3115" t="s">
        <v>6125</v>
      </c>
      <c r="C168" s="3115"/>
      <c r="D168" s="3115"/>
      <c r="E168" s="3114">
        <v>110.15</v>
      </c>
      <c r="F168" s="3114">
        <v>10850</v>
      </c>
      <c r="G168" s="3114">
        <f t="shared" si="2"/>
        <v>1195127.5</v>
      </c>
    </row>
    <row r="169" spans="1:7" ht="15">
      <c r="A169" s="3118">
        <v>165</v>
      </c>
      <c r="B169" s="3115" t="s">
        <v>6124</v>
      </c>
      <c r="C169" s="3115"/>
      <c r="D169" s="3115"/>
      <c r="E169" s="3114">
        <v>110.15</v>
      </c>
      <c r="F169" s="3114">
        <v>11150</v>
      </c>
      <c r="G169" s="3114">
        <f t="shared" si="2"/>
        <v>1228172.5</v>
      </c>
    </row>
    <row r="170" spans="1:7" ht="15">
      <c r="A170" s="3118">
        <v>166</v>
      </c>
      <c r="B170" s="3115" t="s">
        <v>6123</v>
      </c>
      <c r="C170" s="3115"/>
      <c r="D170" s="3115"/>
      <c r="E170" s="3114">
        <v>110.15</v>
      </c>
      <c r="F170" s="3114">
        <v>11400</v>
      </c>
      <c r="G170" s="3114">
        <f t="shared" si="2"/>
        <v>1255710</v>
      </c>
    </row>
    <row r="171" spans="1:7" ht="15">
      <c r="A171" s="3118">
        <v>167</v>
      </c>
      <c r="B171" s="3115" t="s">
        <v>6122</v>
      </c>
      <c r="C171" s="3115"/>
      <c r="D171" s="3115"/>
      <c r="E171" s="3114">
        <v>110.15</v>
      </c>
      <c r="F171" s="3114">
        <v>11450</v>
      </c>
      <c r="G171" s="3114">
        <f t="shared" si="2"/>
        <v>1261217.5</v>
      </c>
    </row>
    <row r="172" spans="1:7" ht="15">
      <c r="A172" s="3118">
        <v>168</v>
      </c>
      <c r="B172" s="3115" t="s">
        <v>6121</v>
      </c>
      <c r="C172" s="3115"/>
      <c r="D172" s="3115"/>
      <c r="E172" s="3114">
        <v>110.15</v>
      </c>
      <c r="F172" s="3114">
        <v>11500</v>
      </c>
      <c r="G172" s="3114">
        <f t="shared" si="2"/>
        <v>1266725</v>
      </c>
    </row>
    <row r="173" spans="1:7" ht="15">
      <c r="A173" s="3118">
        <v>169</v>
      </c>
      <c r="B173" s="3115" t="s">
        <v>6120</v>
      </c>
      <c r="C173" s="3115"/>
      <c r="D173" s="3115"/>
      <c r="E173" s="3114">
        <v>110.15</v>
      </c>
      <c r="F173" s="3114">
        <v>11500</v>
      </c>
      <c r="G173" s="3114">
        <f t="shared" si="2"/>
        <v>1266725</v>
      </c>
    </row>
    <row r="174" spans="1:7" ht="15">
      <c r="A174" s="3118">
        <v>170</v>
      </c>
      <c r="B174" s="3115" t="s">
        <v>6119</v>
      </c>
      <c r="C174" s="3115"/>
      <c r="D174" s="3115"/>
      <c r="E174" s="3114">
        <v>110.15</v>
      </c>
      <c r="F174" s="3114">
        <v>11500</v>
      </c>
      <c r="G174" s="3114">
        <f t="shared" si="2"/>
        <v>1266725</v>
      </c>
    </row>
    <row r="175" spans="1:7" ht="15">
      <c r="A175" s="3118">
        <v>171</v>
      </c>
      <c r="B175" s="3115" t="s">
        <v>6118</v>
      </c>
      <c r="C175" s="3115"/>
      <c r="D175" s="3115"/>
      <c r="E175" s="3114">
        <v>110.15</v>
      </c>
      <c r="F175" s="3114">
        <v>11500</v>
      </c>
      <c r="G175" s="3114">
        <f t="shared" si="2"/>
        <v>1266725</v>
      </c>
    </row>
    <row r="176" spans="1:7" ht="15">
      <c r="A176" s="3118">
        <v>172</v>
      </c>
      <c r="B176" s="3115" t="s">
        <v>6117</v>
      </c>
      <c r="C176" s="3115"/>
      <c r="D176" s="3115"/>
      <c r="E176" s="3114">
        <v>110.15</v>
      </c>
      <c r="F176" s="3114">
        <v>11500</v>
      </c>
      <c r="G176" s="3114">
        <f t="shared" si="2"/>
        <v>1266725</v>
      </c>
    </row>
    <row r="177" spans="1:7" ht="15">
      <c r="A177" s="3118">
        <v>173</v>
      </c>
      <c r="B177" s="3115" t="s">
        <v>6116</v>
      </c>
      <c r="C177" s="3115"/>
      <c r="D177" s="3115"/>
      <c r="E177" s="3114">
        <v>110.15</v>
      </c>
      <c r="F177" s="3114">
        <v>11500</v>
      </c>
      <c r="G177" s="3114">
        <f t="shared" si="2"/>
        <v>1266725</v>
      </c>
    </row>
    <row r="178" spans="1:7" ht="15">
      <c r="A178" s="3118">
        <v>174</v>
      </c>
      <c r="B178" s="3115" t="s">
        <v>6115</v>
      </c>
      <c r="C178" s="3115"/>
      <c r="D178" s="3115"/>
      <c r="E178" s="3114">
        <v>110.15</v>
      </c>
      <c r="F178" s="3114">
        <v>11500</v>
      </c>
      <c r="G178" s="3114">
        <f t="shared" si="2"/>
        <v>1266725</v>
      </c>
    </row>
    <row r="179" spans="1:7" ht="15">
      <c r="A179" s="3118">
        <v>175</v>
      </c>
      <c r="B179" s="3115" t="s">
        <v>6114</v>
      </c>
      <c r="C179" s="3115"/>
      <c r="D179" s="3115"/>
      <c r="E179" s="3114">
        <v>110.15</v>
      </c>
      <c r="F179" s="3114">
        <v>11500</v>
      </c>
      <c r="G179" s="3114">
        <f t="shared" si="2"/>
        <v>1266725</v>
      </c>
    </row>
    <row r="180" spans="1:7" ht="15">
      <c r="A180" s="3118">
        <v>176</v>
      </c>
      <c r="B180" s="3115" t="s">
        <v>6113</v>
      </c>
      <c r="C180" s="3115"/>
      <c r="D180" s="3115"/>
      <c r="E180" s="3114">
        <v>110.15</v>
      </c>
      <c r="F180" s="3114">
        <v>11500</v>
      </c>
      <c r="G180" s="3114">
        <f t="shared" si="2"/>
        <v>1266725</v>
      </c>
    </row>
    <row r="181" spans="1:7" ht="15">
      <c r="A181" s="3118">
        <v>177</v>
      </c>
      <c r="B181" s="3115" t="s">
        <v>6112</v>
      </c>
      <c r="C181" s="3115"/>
      <c r="D181" s="3115"/>
      <c r="E181" s="3114">
        <v>110.15</v>
      </c>
      <c r="F181" s="3114">
        <v>11450</v>
      </c>
      <c r="G181" s="3114">
        <f t="shared" si="2"/>
        <v>1261217.5</v>
      </c>
    </row>
    <row r="182" spans="1:7" ht="15">
      <c r="A182" s="3118">
        <v>178</v>
      </c>
      <c r="B182" s="3115" t="s">
        <v>6111</v>
      </c>
      <c r="C182" s="3115"/>
      <c r="D182" s="3115"/>
      <c r="E182" s="3114">
        <v>96.21</v>
      </c>
      <c r="F182" s="3114">
        <v>11150</v>
      </c>
      <c r="G182" s="3114">
        <f t="shared" si="2"/>
        <v>1072741.5</v>
      </c>
    </row>
    <row r="183" spans="1:7" s="3125" customFormat="1" ht="15">
      <c r="A183" s="3118">
        <v>179</v>
      </c>
      <c r="B183" s="3116" t="s">
        <v>6298</v>
      </c>
      <c r="C183" s="3116"/>
      <c r="D183" s="3115"/>
      <c r="E183" s="3114">
        <v>107.91</v>
      </c>
      <c r="F183" s="3114">
        <v>9450</v>
      </c>
      <c r="G183" s="3114">
        <f t="shared" si="2"/>
        <v>1019749.5</v>
      </c>
    </row>
    <row r="184" spans="1:7" ht="15">
      <c r="A184" s="3118">
        <v>180</v>
      </c>
      <c r="B184" s="3115" t="s">
        <v>6110</v>
      </c>
      <c r="C184" s="3115"/>
      <c r="D184" s="3115" t="s">
        <v>6109</v>
      </c>
      <c r="E184" s="3114">
        <v>127.19</v>
      </c>
      <c r="F184" s="3114">
        <v>11100</v>
      </c>
      <c r="G184" s="3114">
        <f t="shared" si="2"/>
        <v>1411809</v>
      </c>
    </row>
    <row r="185" spans="1:7" ht="15">
      <c r="A185" s="3118">
        <v>181</v>
      </c>
      <c r="B185" s="3115" t="s">
        <v>6108</v>
      </c>
      <c r="C185" s="3115"/>
      <c r="D185" s="3115" t="s">
        <v>6107</v>
      </c>
      <c r="E185" s="3114">
        <v>127.19</v>
      </c>
      <c r="F185" s="3114">
        <v>11300</v>
      </c>
      <c r="G185" s="3114">
        <f t="shared" si="2"/>
        <v>1437247</v>
      </c>
    </row>
    <row r="186" spans="1:7" ht="15">
      <c r="A186" s="3118">
        <v>182</v>
      </c>
      <c r="B186" s="3115" t="s">
        <v>6106</v>
      </c>
      <c r="C186" s="3115"/>
      <c r="D186" s="3115" t="s">
        <v>6105</v>
      </c>
      <c r="E186" s="3114">
        <v>127.19</v>
      </c>
      <c r="F186" s="3114">
        <v>11750</v>
      </c>
      <c r="G186" s="3114">
        <f t="shared" si="2"/>
        <v>1494482.5</v>
      </c>
    </row>
    <row r="187" spans="1:7" ht="15">
      <c r="A187" s="3118">
        <v>183</v>
      </c>
      <c r="B187" s="3115" t="s">
        <v>6104</v>
      </c>
      <c r="C187" s="3115"/>
      <c r="D187" s="3115" t="s">
        <v>6103</v>
      </c>
      <c r="E187" s="3114">
        <v>127.19</v>
      </c>
      <c r="F187" s="3114">
        <v>12100</v>
      </c>
      <c r="G187" s="3114">
        <f t="shared" si="2"/>
        <v>1538999</v>
      </c>
    </row>
    <row r="188" spans="1:7" ht="15">
      <c r="A188" s="3118">
        <v>184</v>
      </c>
      <c r="B188" s="3115" t="s">
        <v>6102</v>
      </c>
      <c r="C188" s="3115"/>
      <c r="D188" s="3115" t="s">
        <v>6101</v>
      </c>
      <c r="E188" s="3114">
        <v>127.19</v>
      </c>
      <c r="F188" s="3114">
        <v>12150</v>
      </c>
      <c r="G188" s="3114">
        <f t="shared" si="2"/>
        <v>1545358.5</v>
      </c>
    </row>
    <row r="189" spans="1:7" ht="15">
      <c r="A189" s="3118">
        <v>185</v>
      </c>
      <c r="B189" s="3115" t="s">
        <v>6100</v>
      </c>
      <c r="C189" s="3115"/>
      <c r="D189" s="3115" t="s">
        <v>6099</v>
      </c>
      <c r="E189" s="3114">
        <v>127.19</v>
      </c>
      <c r="F189" s="3114">
        <v>12200</v>
      </c>
      <c r="G189" s="3114">
        <f t="shared" si="2"/>
        <v>1551718</v>
      </c>
    </row>
    <row r="190" spans="1:7" ht="15">
      <c r="A190" s="3118">
        <v>186</v>
      </c>
      <c r="B190" s="3115" t="s">
        <v>6098</v>
      </c>
      <c r="C190" s="3115"/>
      <c r="D190" s="3115" t="s">
        <v>6097</v>
      </c>
      <c r="E190" s="3114">
        <v>127.19</v>
      </c>
      <c r="F190" s="3114">
        <v>12250</v>
      </c>
      <c r="G190" s="3114">
        <f t="shared" si="2"/>
        <v>1558077.5</v>
      </c>
    </row>
    <row r="191" spans="1:7" ht="15">
      <c r="A191" s="3118">
        <v>187</v>
      </c>
      <c r="B191" s="3115" t="s">
        <v>6096</v>
      </c>
      <c r="C191" s="3115"/>
      <c r="D191" s="3115" t="s">
        <v>6095</v>
      </c>
      <c r="E191" s="3114">
        <v>127.19</v>
      </c>
      <c r="F191" s="3114">
        <v>12300</v>
      </c>
      <c r="G191" s="3114">
        <f t="shared" si="2"/>
        <v>1564437</v>
      </c>
    </row>
    <row r="192" spans="1:7" ht="15">
      <c r="A192" s="3118">
        <v>188</v>
      </c>
      <c r="B192" s="3115" t="s">
        <v>6094</v>
      </c>
      <c r="C192" s="3115"/>
      <c r="D192" s="3115" t="s">
        <v>6093</v>
      </c>
      <c r="E192" s="3114">
        <v>127.19</v>
      </c>
      <c r="F192" s="3114">
        <v>11000</v>
      </c>
      <c r="G192" s="3114">
        <f t="shared" si="2"/>
        <v>1399090</v>
      </c>
    </row>
    <row r="193" spans="1:7" ht="15">
      <c r="A193" s="3118">
        <v>189</v>
      </c>
      <c r="B193" s="3115" t="s">
        <v>6092</v>
      </c>
      <c r="C193" s="3115"/>
      <c r="D193" s="3115" t="s">
        <v>6091</v>
      </c>
      <c r="E193" s="3114">
        <v>127.19</v>
      </c>
      <c r="F193" s="3114">
        <v>11050</v>
      </c>
      <c r="G193" s="3114">
        <f t="shared" si="2"/>
        <v>1405449.5</v>
      </c>
    </row>
    <row r="194" spans="1:7" ht="15">
      <c r="A194" s="3118">
        <v>190</v>
      </c>
      <c r="B194" s="3115" t="s">
        <v>6090</v>
      </c>
      <c r="C194" s="3115"/>
      <c r="D194" s="3115" t="s">
        <v>6089</v>
      </c>
      <c r="E194" s="3114">
        <v>127.19</v>
      </c>
      <c r="F194" s="3114">
        <v>11000</v>
      </c>
      <c r="G194" s="3114">
        <f t="shared" si="2"/>
        <v>1399090</v>
      </c>
    </row>
    <row r="195" spans="1:7" ht="15">
      <c r="A195" s="3118">
        <v>191</v>
      </c>
      <c r="B195" s="3115" t="s">
        <v>6088</v>
      </c>
      <c r="C195" s="3115"/>
      <c r="D195" s="3115" t="s">
        <v>6087</v>
      </c>
      <c r="E195" s="3114">
        <v>127.19</v>
      </c>
      <c r="F195" s="3114">
        <v>11100</v>
      </c>
      <c r="G195" s="3114">
        <f t="shared" si="2"/>
        <v>1411809</v>
      </c>
    </row>
    <row r="196" spans="1:7" ht="15">
      <c r="A196" s="3118">
        <v>192</v>
      </c>
      <c r="B196" s="3115" t="s">
        <v>6086</v>
      </c>
      <c r="C196" s="3115"/>
      <c r="D196" s="3115" t="s">
        <v>6085</v>
      </c>
      <c r="E196" s="3114">
        <v>127.19</v>
      </c>
      <c r="F196" s="3114">
        <v>11100</v>
      </c>
      <c r="G196" s="3114">
        <f t="shared" si="2"/>
        <v>1411809</v>
      </c>
    </row>
    <row r="197" spans="1:7" ht="15">
      <c r="A197" s="3118">
        <v>193</v>
      </c>
      <c r="B197" s="3115" t="s">
        <v>6084</v>
      </c>
      <c r="C197" s="3115"/>
      <c r="D197" s="3115" t="s">
        <v>6083</v>
      </c>
      <c r="E197" s="3114">
        <v>127.19</v>
      </c>
      <c r="F197" s="3114">
        <v>11130</v>
      </c>
      <c r="G197" s="3114">
        <f t="shared" ref="G197:G260" si="3">E197*F197</f>
        <v>1415624.7</v>
      </c>
    </row>
    <row r="198" spans="1:7" ht="15">
      <c r="A198" s="3118">
        <v>194</v>
      </c>
      <c r="B198" s="3115" t="s">
        <v>6082</v>
      </c>
      <c r="C198" s="3115"/>
      <c r="D198" s="3115" t="s">
        <v>6081</v>
      </c>
      <c r="E198" s="3114">
        <v>127.19</v>
      </c>
      <c r="F198" s="3114">
        <v>11130</v>
      </c>
      <c r="G198" s="3114">
        <f t="shared" si="3"/>
        <v>1415624.7</v>
      </c>
    </row>
    <row r="199" spans="1:7" ht="15">
      <c r="A199" s="3118">
        <v>195</v>
      </c>
      <c r="B199" s="3115" t="s">
        <v>6080</v>
      </c>
      <c r="C199" s="3115"/>
      <c r="D199" s="3115" t="s">
        <v>6079</v>
      </c>
      <c r="E199" s="3114">
        <v>127.19</v>
      </c>
      <c r="F199" s="3114">
        <v>11160</v>
      </c>
      <c r="G199" s="3114">
        <f t="shared" si="3"/>
        <v>1419440.4</v>
      </c>
    </row>
    <row r="200" spans="1:7" ht="15">
      <c r="A200" s="3118">
        <v>196</v>
      </c>
      <c r="B200" s="3115" t="s">
        <v>6078</v>
      </c>
      <c r="C200" s="3115"/>
      <c r="D200" s="3115" t="s">
        <v>6077</v>
      </c>
      <c r="E200" s="3114">
        <v>127.19</v>
      </c>
      <c r="F200" s="3114">
        <v>11160</v>
      </c>
      <c r="G200" s="3114">
        <f t="shared" si="3"/>
        <v>1419440.4</v>
      </c>
    </row>
    <row r="201" spans="1:7" ht="15">
      <c r="A201" s="3118">
        <v>197</v>
      </c>
      <c r="B201" s="3115" t="s">
        <v>6076</v>
      </c>
      <c r="C201" s="3115"/>
      <c r="D201" s="3115" t="s">
        <v>6075</v>
      </c>
      <c r="E201" s="3114">
        <v>127.19</v>
      </c>
      <c r="F201" s="3114">
        <v>11160</v>
      </c>
      <c r="G201" s="3114">
        <f t="shared" si="3"/>
        <v>1419440.4</v>
      </c>
    </row>
    <row r="202" spans="1:7" ht="15">
      <c r="A202" s="3118">
        <v>198</v>
      </c>
      <c r="B202" s="3115" t="s">
        <v>6074</v>
      </c>
      <c r="C202" s="3115"/>
      <c r="D202" s="3115" t="s">
        <v>6073</v>
      </c>
      <c r="E202" s="3114">
        <v>127.19</v>
      </c>
      <c r="F202" s="3114">
        <v>11160</v>
      </c>
      <c r="G202" s="3114">
        <f t="shared" si="3"/>
        <v>1419440.4</v>
      </c>
    </row>
    <row r="203" spans="1:7" ht="15">
      <c r="A203" s="3118">
        <v>199</v>
      </c>
      <c r="B203" s="3115" t="s">
        <v>6072</v>
      </c>
      <c r="C203" s="3115"/>
      <c r="D203" s="3115" t="s">
        <v>6071</v>
      </c>
      <c r="E203" s="3114">
        <v>127.19</v>
      </c>
      <c r="F203" s="3114">
        <v>11190</v>
      </c>
      <c r="G203" s="3114">
        <f t="shared" si="3"/>
        <v>1423256.0999999999</v>
      </c>
    </row>
    <row r="204" spans="1:7" ht="15">
      <c r="A204" s="3118">
        <v>200</v>
      </c>
      <c r="B204" s="3115" t="s">
        <v>6070</v>
      </c>
      <c r="C204" s="3115"/>
      <c r="D204" s="3115" t="s">
        <v>6069</v>
      </c>
      <c r="E204" s="3114">
        <v>127.19</v>
      </c>
      <c r="F204" s="3114">
        <v>11190</v>
      </c>
      <c r="G204" s="3114">
        <f t="shared" si="3"/>
        <v>1423256.0999999999</v>
      </c>
    </row>
    <row r="205" spans="1:7" ht="15">
      <c r="A205" s="3118">
        <v>201</v>
      </c>
      <c r="B205" s="3115" t="s">
        <v>6068</v>
      </c>
      <c r="C205" s="3115"/>
      <c r="D205" s="3115" t="s">
        <v>6067</v>
      </c>
      <c r="E205" s="3114">
        <v>127.19</v>
      </c>
      <c r="F205" s="3114">
        <v>11190</v>
      </c>
      <c r="G205" s="3114">
        <f t="shared" si="3"/>
        <v>1423256.0999999999</v>
      </c>
    </row>
    <row r="206" spans="1:7" ht="15">
      <c r="A206" s="3118">
        <v>202</v>
      </c>
      <c r="B206" s="3115" t="s">
        <v>6066</v>
      </c>
      <c r="C206" s="3115"/>
      <c r="D206" s="3115" t="s">
        <v>6065</v>
      </c>
      <c r="E206" s="3114">
        <v>127.19</v>
      </c>
      <c r="F206" s="3114">
        <v>11190</v>
      </c>
      <c r="G206" s="3114">
        <f t="shared" si="3"/>
        <v>1423256.0999999999</v>
      </c>
    </row>
    <row r="207" spans="1:7" ht="15">
      <c r="A207" s="3118">
        <v>203</v>
      </c>
      <c r="B207" s="3115" t="s">
        <v>6064</v>
      </c>
      <c r="C207" s="3115"/>
      <c r="D207" s="3115" t="s">
        <v>6063</v>
      </c>
      <c r="E207" s="3114">
        <v>127.19</v>
      </c>
      <c r="F207" s="3114">
        <v>11190</v>
      </c>
      <c r="G207" s="3114">
        <f t="shared" si="3"/>
        <v>1423256.0999999999</v>
      </c>
    </row>
    <row r="208" spans="1:7" ht="15">
      <c r="A208" s="3118">
        <v>204</v>
      </c>
      <c r="B208" s="3115" t="s">
        <v>6062</v>
      </c>
      <c r="C208" s="3115"/>
      <c r="D208" s="3115" t="s">
        <v>6061</v>
      </c>
      <c r="E208" s="3114">
        <v>127.19</v>
      </c>
      <c r="F208" s="3114">
        <v>11190</v>
      </c>
      <c r="G208" s="3114">
        <f t="shared" si="3"/>
        <v>1423256.0999999999</v>
      </c>
    </row>
    <row r="209" spans="1:7" ht="15">
      <c r="A209" s="3118">
        <v>205</v>
      </c>
      <c r="B209" s="3115" t="s">
        <v>6060</v>
      </c>
      <c r="C209" s="3115"/>
      <c r="D209" s="3115" t="s">
        <v>6059</v>
      </c>
      <c r="E209" s="3114">
        <v>127.19</v>
      </c>
      <c r="F209" s="3114">
        <v>11190</v>
      </c>
      <c r="G209" s="3114">
        <f t="shared" si="3"/>
        <v>1423256.0999999999</v>
      </c>
    </row>
    <row r="210" spans="1:7" ht="15">
      <c r="A210" s="3118">
        <v>206</v>
      </c>
      <c r="B210" s="3115" t="s">
        <v>6058</v>
      </c>
      <c r="C210" s="3115"/>
      <c r="D210" s="3115" t="s">
        <v>6057</v>
      </c>
      <c r="E210" s="3114">
        <v>127.19</v>
      </c>
      <c r="F210" s="3114">
        <v>11190</v>
      </c>
      <c r="G210" s="3114">
        <f t="shared" si="3"/>
        <v>1423256.0999999999</v>
      </c>
    </row>
    <row r="211" spans="1:7" ht="15">
      <c r="A211" s="3118">
        <v>207</v>
      </c>
      <c r="B211" s="3115" t="s">
        <v>6056</v>
      </c>
      <c r="C211" s="3115"/>
      <c r="D211" s="3115" t="s">
        <v>6055</v>
      </c>
      <c r="E211" s="3114">
        <v>127.19</v>
      </c>
      <c r="F211" s="3114">
        <v>11190</v>
      </c>
      <c r="G211" s="3114">
        <f t="shared" si="3"/>
        <v>1423256.0999999999</v>
      </c>
    </row>
    <row r="212" spans="1:7" ht="15">
      <c r="A212" s="3118">
        <v>208</v>
      </c>
      <c r="B212" s="3115" t="s">
        <v>6054</v>
      </c>
      <c r="C212" s="3115"/>
      <c r="D212" s="3115" t="s">
        <v>6053</v>
      </c>
      <c r="E212" s="3114">
        <v>114.04</v>
      </c>
      <c r="F212" s="3114">
        <v>10690</v>
      </c>
      <c r="G212" s="3114">
        <f t="shared" si="3"/>
        <v>1219087.6000000001</v>
      </c>
    </row>
    <row r="213" spans="1:7" ht="15">
      <c r="A213" s="3118">
        <v>209</v>
      </c>
      <c r="B213" s="3115" t="s">
        <v>6052</v>
      </c>
      <c r="C213" s="3115"/>
      <c r="D213" s="3115" t="s">
        <v>6051</v>
      </c>
      <c r="E213" s="3114">
        <v>87.98</v>
      </c>
      <c r="F213" s="3114">
        <v>10750</v>
      </c>
      <c r="G213" s="3114">
        <f t="shared" si="3"/>
        <v>945785</v>
      </c>
    </row>
    <row r="214" spans="1:7" s="3125" customFormat="1" ht="15">
      <c r="A214" s="3118">
        <v>210</v>
      </c>
      <c r="B214" s="3115" t="s">
        <v>6050</v>
      </c>
      <c r="C214" s="3115"/>
      <c r="D214" s="3115" t="s">
        <v>6049</v>
      </c>
      <c r="E214" s="3114">
        <v>87.98</v>
      </c>
      <c r="F214" s="3114">
        <v>10950</v>
      </c>
      <c r="G214" s="3114">
        <f t="shared" si="3"/>
        <v>963381</v>
      </c>
    </row>
    <row r="215" spans="1:7" s="3125" customFormat="1" ht="15">
      <c r="A215" s="3118">
        <v>211</v>
      </c>
      <c r="B215" s="3115" t="s">
        <v>6048</v>
      </c>
      <c r="C215" s="3115"/>
      <c r="D215" s="3115" t="s">
        <v>6047</v>
      </c>
      <c r="E215" s="3114">
        <v>87.98</v>
      </c>
      <c r="F215" s="3114">
        <v>11400</v>
      </c>
      <c r="G215" s="3114">
        <f t="shared" si="3"/>
        <v>1002972</v>
      </c>
    </row>
    <row r="216" spans="1:7" s="3125" customFormat="1" ht="15">
      <c r="A216" s="3118">
        <v>212</v>
      </c>
      <c r="B216" s="3115" t="s">
        <v>6046</v>
      </c>
      <c r="C216" s="3115"/>
      <c r="D216" s="3115" t="s">
        <v>6045</v>
      </c>
      <c r="E216" s="3114">
        <v>87.98</v>
      </c>
      <c r="F216" s="3114">
        <v>11750</v>
      </c>
      <c r="G216" s="3114">
        <f t="shared" si="3"/>
        <v>1033765</v>
      </c>
    </row>
    <row r="217" spans="1:7" s="3125" customFormat="1" ht="15">
      <c r="A217" s="3118">
        <v>213</v>
      </c>
      <c r="B217" s="3115" t="s">
        <v>6044</v>
      </c>
      <c r="C217" s="3115"/>
      <c r="D217" s="3115" t="s">
        <v>6043</v>
      </c>
      <c r="E217" s="3114">
        <v>87.98</v>
      </c>
      <c r="F217" s="3114">
        <v>11800</v>
      </c>
      <c r="G217" s="3114">
        <f t="shared" si="3"/>
        <v>1038164</v>
      </c>
    </row>
    <row r="218" spans="1:7" s="3125" customFormat="1" ht="15">
      <c r="A218" s="3118">
        <v>214</v>
      </c>
      <c r="B218" s="3115" t="s">
        <v>6042</v>
      </c>
      <c r="C218" s="3115"/>
      <c r="D218" s="3115" t="s">
        <v>6041</v>
      </c>
      <c r="E218" s="3114">
        <v>87.98</v>
      </c>
      <c r="F218" s="3114">
        <v>11850</v>
      </c>
      <c r="G218" s="3114">
        <f t="shared" si="3"/>
        <v>1042563</v>
      </c>
    </row>
    <row r="219" spans="1:7" s="3125" customFormat="1" ht="15">
      <c r="A219" s="3118">
        <v>215</v>
      </c>
      <c r="B219" s="3115" t="s">
        <v>6040</v>
      </c>
      <c r="C219" s="3115"/>
      <c r="D219" s="3115" t="s">
        <v>6039</v>
      </c>
      <c r="E219" s="3114">
        <v>87.98</v>
      </c>
      <c r="F219" s="3114">
        <v>11900</v>
      </c>
      <c r="G219" s="3114">
        <f t="shared" si="3"/>
        <v>1046962</v>
      </c>
    </row>
    <row r="220" spans="1:7" s="3125" customFormat="1" ht="15">
      <c r="A220" s="3118">
        <v>216</v>
      </c>
      <c r="B220" s="3115" t="s">
        <v>6038</v>
      </c>
      <c r="C220" s="3115"/>
      <c r="D220" s="3115" t="s">
        <v>6037</v>
      </c>
      <c r="E220" s="3114">
        <v>87.98</v>
      </c>
      <c r="F220" s="3114">
        <v>11950</v>
      </c>
      <c r="G220" s="3114">
        <f t="shared" si="3"/>
        <v>1051361</v>
      </c>
    </row>
    <row r="221" spans="1:7" s="3125" customFormat="1" ht="15">
      <c r="A221" s="3118">
        <v>217</v>
      </c>
      <c r="B221" s="3115" t="s">
        <v>6036</v>
      </c>
      <c r="C221" s="3115"/>
      <c r="D221" s="3115" t="s">
        <v>6035</v>
      </c>
      <c r="E221" s="3114">
        <v>87.98</v>
      </c>
      <c r="F221" s="3114">
        <v>12000</v>
      </c>
      <c r="G221" s="3114">
        <f t="shared" si="3"/>
        <v>1055760</v>
      </c>
    </row>
    <row r="222" spans="1:7" s="3125" customFormat="1" ht="15">
      <c r="A222" s="3118">
        <v>218</v>
      </c>
      <c r="B222" s="3115" t="s">
        <v>6034</v>
      </c>
      <c r="C222" s="3115"/>
      <c r="D222" s="3115" t="s">
        <v>6033</v>
      </c>
      <c r="E222" s="3114">
        <v>87.98</v>
      </c>
      <c r="F222" s="3114">
        <v>12050</v>
      </c>
      <c r="G222" s="3114">
        <f t="shared" si="3"/>
        <v>1060159</v>
      </c>
    </row>
    <row r="223" spans="1:7" s="3125" customFormat="1" ht="15">
      <c r="A223" s="3118">
        <v>219</v>
      </c>
      <c r="B223" s="3115" t="s">
        <v>6032</v>
      </c>
      <c r="C223" s="3115"/>
      <c r="D223" s="3115" t="s">
        <v>6031</v>
      </c>
      <c r="E223" s="3114">
        <v>87.98</v>
      </c>
      <c r="F223" s="3114">
        <v>12100</v>
      </c>
      <c r="G223" s="3114">
        <f t="shared" si="3"/>
        <v>1064558</v>
      </c>
    </row>
    <row r="224" spans="1:7" ht="15">
      <c r="A224" s="3118">
        <v>220</v>
      </c>
      <c r="B224" s="3115" t="s">
        <v>6030</v>
      </c>
      <c r="C224" s="3115"/>
      <c r="D224" s="3115" t="s">
        <v>6029</v>
      </c>
      <c r="E224" s="3114">
        <v>87.98</v>
      </c>
      <c r="F224" s="3114">
        <v>12100</v>
      </c>
      <c r="G224" s="3114">
        <f t="shared" si="3"/>
        <v>1064558</v>
      </c>
    </row>
    <row r="225" spans="1:7" ht="15">
      <c r="A225" s="3118">
        <v>221</v>
      </c>
      <c r="B225" s="3115" t="s">
        <v>6028</v>
      </c>
      <c r="C225" s="3115"/>
      <c r="D225" s="3115" t="s">
        <v>6027</v>
      </c>
      <c r="E225" s="3114">
        <v>87.98</v>
      </c>
      <c r="F225" s="3114">
        <v>12100</v>
      </c>
      <c r="G225" s="3114">
        <f t="shared" si="3"/>
        <v>1064558</v>
      </c>
    </row>
    <row r="226" spans="1:7" ht="15">
      <c r="A226" s="3118">
        <v>222</v>
      </c>
      <c r="B226" s="3115" t="s">
        <v>6026</v>
      </c>
      <c r="C226" s="3115"/>
      <c r="D226" s="3115" t="s">
        <v>6025</v>
      </c>
      <c r="E226" s="3114">
        <v>87.98</v>
      </c>
      <c r="F226" s="3114">
        <v>12130</v>
      </c>
      <c r="G226" s="3114">
        <f t="shared" si="3"/>
        <v>1067197.4000000001</v>
      </c>
    </row>
    <row r="227" spans="1:7" ht="15">
      <c r="A227" s="3118">
        <v>223</v>
      </c>
      <c r="B227" s="3115" t="s">
        <v>6024</v>
      </c>
      <c r="C227" s="3115"/>
      <c r="D227" s="3115" t="s">
        <v>6023</v>
      </c>
      <c r="E227" s="3114">
        <v>87.98</v>
      </c>
      <c r="F227" s="3114">
        <v>12130</v>
      </c>
      <c r="G227" s="3114">
        <f t="shared" si="3"/>
        <v>1067197.4000000001</v>
      </c>
    </row>
    <row r="228" spans="1:7" ht="15">
      <c r="A228" s="3118">
        <v>224</v>
      </c>
      <c r="B228" s="3115" t="s">
        <v>6022</v>
      </c>
      <c r="C228" s="3115"/>
      <c r="D228" s="3115" t="s">
        <v>6021</v>
      </c>
      <c r="E228" s="3114">
        <v>87.98</v>
      </c>
      <c r="F228" s="3114">
        <v>12160</v>
      </c>
      <c r="G228" s="3114">
        <f t="shared" si="3"/>
        <v>1069836.8</v>
      </c>
    </row>
    <row r="229" spans="1:7" ht="15">
      <c r="A229" s="3118">
        <v>225</v>
      </c>
      <c r="B229" s="3115" t="s">
        <v>6020</v>
      </c>
      <c r="C229" s="3115"/>
      <c r="D229" s="3115" t="s">
        <v>6019</v>
      </c>
      <c r="E229" s="3114">
        <v>87.98</v>
      </c>
      <c r="F229" s="3114">
        <v>12160</v>
      </c>
      <c r="G229" s="3114">
        <f t="shared" si="3"/>
        <v>1069836.8</v>
      </c>
    </row>
    <row r="230" spans="1:7" ht="15">
      <c r="A230" s="3118">
        <v>226</v>
      </c>
      <c r="B230" s="3115" t="s">
        <v>6018</v>
      </c>
      <c r="C230" s="3115"/>
      <c r="D230" s="3115" t="s">
        <v>6017</v>
      </c>
      <c r="E230" s="3114">
        <v>87.98</v>
      </c>
      <c r="F230" s="3114">
        <v>12160</v>
      </c>
      <c r="G230" s="3114">
        <f t="shared" si="3"/>
        <v>1069836.8</v>
      </c>
    </row>
    <row r="231" spans="1:7" ht="15">
      <c r="A231" s="3118">
        <v>227</v>
      </c>
      <c r="B231" s="3115" t="s">
        <v>6016</v>
      </c>
      <c r="C231" s="3115"/>
      <c r="D231" s="3115" t="s">
        <v>6015</v>
      </c>
      <c r="E231" s="3114">
        <v>87.98</v>
      </c>
      <c r="F231" s="3114">
        <v>12160</v>
      </c>
      <c r="G231" s="3114">
        <f t="shared" si="3"/>
        <v>1069836.8</v>
      </c>
    </row>
    <row r="232" spans="1:7" ht="15">
      <c r="A232" s="3118">
        <v>228</v>
      </c>
      <c r="B232" s="3115" t="s">
        <v>6014</v>
      </c>
      <c r="C232" s="3115"/>
      <c r="D232" s="3115" t="s">
        <v>6013</v>
      </c>
      <c r="E232" s="3114">
        <v>87.98</v>
      </c>
      <c r="F232" s="3114">
        <v>12190</v>
      </c>
      <c r="G232" s="3114">
        <f t="shared" si="3"/>
        <v>1072476.2</v>
      </c>
    </row>
    <row r="233" spans="1:7" ht="15">
      <c r="A233" s="3118">
        <v>229</v>
      </c>
      <c r="B233" s="3115" t="s">
        <v>6012</v>
      </c>
      <c r="C233" s="3115"/>
      <c r="D233" s="3115" t="s">
        <v>6011</v>
      </c>
      <c r="E233" s="3114">
        <v>87.98</v>
      </c>
      <c r="F233" s="3114">
        <v>12190</v>
      </c>
      <c r="G233" s="3114">
        <f t="shared" si="3"/>
        <v>1072476.2</v>
      </c>
    </row>
    <row r="234" spans="1:7" ht="15">
      <c r="A234" s="3118">
        <v>230</v>
      </c>
      <c r="B234" s="3115" t="s">
        <v>6010</v>
      </c>
      <c r="C234" s="3115"/>
      <c r="D234" s="3115" t="s">
        <v>6009</v>
      </c>
      <c r="E234" s="3114">
        <v>87.98</v>
      </c>
      <c r="F234" s="3114">
        <v>12190</v>
      </c>
      <c r="G234" s="3114">
        <f t="shared" si="3"/>
        <v>1072476.2</v>
      </c>
    </row>
    <row r="235" spans="1:7" ht="15">
      <c r="A235" s="3118">
        <v>231</v>
      </c>
      <c r="B235" s="3115" t="s">
        <v>6008</v>
      </c>
      <c r="C235" s="3115"/>
      <c r="D235" s="3115" t="s">
        <v>6007</v>
      </c>
      <c r="E235" s="3114">
        <v>87.98</v>
      </c>
      <c r="F235" s="3114">
        <v>12190</v>
      </c>
      <c r="G235" s="3114">
        <f t="shared" si="3"/>
        <v>1072476.2</v>
      </c>
    </row>
    <row r="236" spans="1:7" ht="15">
      <c r="A236" s="3118">
        <v>232</v>
      </c>
      <c r="B236" s="3115" t="s">
        <v>6006</v>
      </c>
      <c r="C236" s="3115"/>
      <c r="D236" s="3115" t="s">
        <v>6005</v>
      </c>
      <c r="E236" s="3114">
        <v>87.98</v>
      </c>
      <c r="F236" s="3114">
        <v>12190</v>
      </c>
      <c r="G236" s="3114">
        <f t="shared" si="3"/>
        <v>1072476.2</v>
      </c>
    </row>
    <row r="237" spans="1:7" ht="15">
      <c r="A237" s="3118">
        <v>233</v>
      </c>
      <c r="B237" s="3115" t="s">
        <v>6004</v>
      </c>
      <c r="C237" s="3115"/>
      <c r="D237" s="3115" t="s">
        <v>6003</v>
      </c>
      <c r="E237" s="3114">
        <v>87.98</v>
      </c>
      <c r="F237" s="3114">
        <v>12190</v>
      </c>
      <c r="G237" s="3114">
        <f t="shared" si="3"/>
        <v>1072476.2</v>
      </c>
    </row>
    <row r="238" spans="1:7" ht="15">
      <c r="A238" s="3118">
        <v>234</v>
      </c>
      <c r="B238" s="3115" t="s">
        <v>6002</v>
      </c>
      <c r="C238" s="3115"/>
      <c r="D238" s="3115" t="s">
        <v>6001</v>
      </c>
      <c r="E238" s="3114">
        <v>87.98</v>
      </c>
      <c r="F238" s="3114">
        <v>12190</v>
      </c>
      <c r="G238" s="3114">
        <f t="shared" si="3"/>
        <v>1072476.2</v>
      </c>
    </row>
    <row r="239" spans="1:7" s="3125" customFormat="1" ht="15">
      <c r="A239" s="3118">
        <v>235</v>
      </c>
      <c r="B239" s="3115" t="s">
        <v>6000</v>
      </c>
      <c r="C239" s="3115"/>
      <c r="D239" s="3115" t="s">
        <v>5999</v>
      </c>
      <c r="E239" s="3114">
        <v>87.98</v>
      </c>
      <c r="F239" s="3114">
        <v>12190</v>
      </c>
      <c r="G239" s="3114">
        <f t="shared" si="3"/>
        <v>1072476.2</v>
      </c>
    </row>
    <row r="240" spans="1:7" s="3125" customFormat="1" ht="15">
      <c r="A240" s="3118">
        <v>236</v>
      </c>
      <c r="B240" s="3115" t="s">
        <v>5998</v>
      </c>
      <c r="C240" s="3115"/>
      <c r="D240" s="3115" t="s">
        <v>5997</v>
      </c>
      <c r="E240" s="3114">
        <v>87.98</v>
      </c>
      <c r="F240" s="3114">
        <v>12190</v>
      </c>
      <c r="G240" s="3114">
        <f t="shared" si="3"/>
        <v>1072476.2</v>
      </c>
    </row>
    <row r="241" spans="1:7" s="3125" customFormat="1" ht="15">
      <c r="A241" s="3118">
        <v>237</v>
      </c>
      <c r="B241" s="3115" t="s">
        <v>5996</v>
      </c>
      <c r="C241" s="3115"/>
      <c r="D241" s="3115" t="s">
        <v>5995</v>
      </c>
      <c r="E241" s="3114">
        <v>87.98</v>
      </c>
      <c r="F241" s="3114">
        <v>11190</v>
      </c>
      <c r="G241" s="3114">
        <f t="shared" si="3"/>
        <v>984496.20000000007</v>
      </c>
    </row>
    <row r="242" spans="1:7" s="3125" customFormat="1" ht="15">
      <c r="A242" s="3118">
        <v>238</v>
      </c>
      <c r="B242" s="3115" t="s">
        <v>5994</v>
      </c>
      <c r="C242" s="3115"/>
      <c r="D242" s="3115" t="s">
        <v>5993</v>
      </c>
      <c r="E242" s="3114">
        <v>88</v>
      </c>
      <c r="F242" s="3114">
        <v>10750</v>
      </c>
      <c r="G242" s="3114">
        <f t="shared" si="3"/>
        <v>946000</v>
      </c>
    </row>
    <row r="243" spans="1:7" ht="15">
      <c r="A243" s="3118">
        <v>239</v>
      </c>
      <c r="B243" s="3115" t="s">
        <v>5992</v>
      </c>
      <c r="C243" s="3115"/>
      <c r="D243" s="3115" t="s">
        <v>5991</v>
      </c>
      <c r="E243" s="3114">
        <v>88</v>
      </c>
      <c r="F243" s="3114">
        <v>10950</v>
      </c>
      <c r="G243" s="3114">
        <f t="shared" si="3"/>
        <v>963600</v>
      </c>
    </row>
    <row r="244" spans="1:7" ht="15">
      <c r="A244" s="3118">
        <v>240</v>
      </c>
      <c r="B244" s="3115" t="s">
        <v>5990</v>
      </c>
      <c r="C244" s="3115"/>
      <c r="D244" s="3115" t="s">
        <v>5989</v>
      </c>
      <c r="E244" s="3114">
        <v>88</v>
      </c>
      <c r="F244" s="3114">
        <v>11400</v>
      </c>
      <c r="G244" s="3114">
        <f t="shared" si="3"/>
        <v>1003200</v>
      </c>
    </row>
    <row r="245" spans="1:7" ht="15">
      <c r="A245" s="3118">
        <v>241</v>
      </c>
      <c r="B245" s="3115" t="s">
        <v>5988</v>
      </c>
      <c r="C245" s="3115"/>
      <c r="D245" s="3115" t="s">
        <v>5987</v>
      </c>
      <c r="E245" s="3114">
        <v>88</v>
      </c>
      <c r="F245" s="3114">
        <v>11750</v>
      </c>
      <c r="G245" s="3114">
        <f t="shared" si="3"/>
        <v>1034000</v>
      </c>
    </row>
    <row r="246" spans="1:7" ht="15">
      <c r="A246" s="3118">
        <v>242</v>
      </c>
      <c r="B246" s="3115" t="s">
        <v>5986</v>
      </c>
      <c r="C246" s="3115"/>
      <c r="D246" s="3115" t="s">
        <v>5985</v>
      </c>
      <c r="E246" s="3114">
        <v>88</v>
      </c>
      <c r="F246" s="3114">
        <v>11800</v>
      </c>
      <c r="G246" s="3114">
        <f t="shared" si="3"/>
        <v>1038400</v>
      </c>
    </row>
    <row r="247" spans="1:7" ht="15">
      <c r="A247" s="3118">
        <v>243</v>
      </c>
      <c r="B247" s="3115" t="s">
        <v>5984</v>
      </c>
      <c r="C247" s="3115"/>
      <c r="D247" s="3115" t="s">
        <v>5983</v>
      </c>
      <c r="E247" s="3114">
        <v>88</v>
      </c>
      <c r="F247" s="3114">
        <v>11850</v>
      </c>
      <c r="G247" s="3114">
        <f t="shared" si="3"/>
        <v>1042800</v>
      </c>
    </row>
    <row r="248" spans="1:7" ht="15">
      <c r="A248" s="3118">
        <v>244</v>
      </c>
      <c r="B248" s="3115" t="s">
        <v>5982</v>
      </c>
      <c r="C248" s="3115"/>
      <c r="D248" s="3115" t="s">
        <v>5981</v>
      </c>
      <c r="E248" s="3114">
        <v>88</v>
      </c>
      <c r="F248" s="3114">
        <v>11900</v>
      </c>
      <c r="G248" s="3114">
        <f t="shared" si="3"/>
        <v>1047200</v>
      </c>
    </row>
    <row r="249" spans="1:7" ht="15">
      <c r="A249" s="3118">
        <v>245</v>
      </c>
      <c r="B249" s="3115" t="s">
        <v>5980</v>
      </c>
      <c r="C249" s="3115"/>
      <c r="D249" s="3115" t="s">
        <v>5979</v>
      </c>
      <c r="E249" s="3114">
        <v>88</v>
      </c>
      <c r="F249" s="3114">
        <v>11950</v>
      </c>
      <c r="G249" s="3114">
        <f t="shared" si="3"/>
        <v>1051600</v>
      </c>
    </row>
    <row r="250" spans="1:7" ht="15">
      <c r="A250" s="3118">
        <v>246</v>
      </c>
      <c r="B250" s="3115" t="s">
        <v>5978</v>
      </c>
      <c r="C250" s="3115"/>
      <c r="D250" s="3115" t="s">
        <v>5977</v>
      </c>
      <c r="E250" s="3114">
        <v>88</v>
      </c>
      <c r="F250" s="3114">
        <v>12350</v>
      </c>
      <c r="G250" s="3114">
        <f t="shared" si="3"/>
        <v>1086800</v>
      </c>
    </row>
    <row r="251" spans="1:7" ht="15">
      <c r="A251" s="3118">
        <v>247</v>
      </c>
      <c r="B251" s="3115" t="s">
        <v>5976</v>
      </c>
      <c r="C251" s="3115"/>
      <c r="D251" s="3115" t="s">
        <v>5975</v>
      </c>
      <c r="E251" s="3114">
        <v>88</v>
      </c>
      <c r="F251" s="3114">
        <v>12400</v>
      </c>
      <c r="G251" s="3114">
        <f t="shared" si="3"/>
        <v>1091200</v>
      </c>
    </row>
    <row r="252" spans="1:7" ht="15">
      <c r="A252" s="3118">
        <v>248</v>
      </c>
      <c r="B252" s="3115" t="s">
        <v>5974</v>
      </c>
      <c r="C252" s="3115"/>
      <c r="D252" s="3115" t="s">
        <v>5973</v>
      </c>
      <c r="E252" s="3114">
        <v>88</v>
      </c>
      <c r="F252" s="3114">
        <v>12450</v>
      </c>
      <c r="G252" s="3114">
        <f t="shared" si="3"/>
        <v>1095600</v>
      </c>
    </row>
    <row r="253" spans="1:7" ht="15">
      <c r="A253" s="3118">
        <v>249</v>
      </c>
      <c r="B253" s="3115" t="s">
        <v>5972</v>
      </c>
      <c r="C253" s="3115"/>
      <c r="D253" s="3115" t="s">
        <v>5971</v>
      </c>
      <c r="E253" s="3114">
        <v>88</v>
      </c>
      <c r="F253" s="3114">
        <v>12450</v>
      </c>
      <c r="G253" s="3114">
        <f t="shared" si="3"/>
        <v>1095600</v>
      </c>
    </row>
    <row r="254" spans="1:7" ht="15">
      <c r="A254" s="3118">
        <v>250</v>
      </c>
      <c r="B254" s="3115" t="s">
        <v>5970</v>
      </c>
      <c r="C254" s="3115"/>
      <c r="D254" s="3115" t="s">
        <v>5969</v>
      </c>
      <c r="E254" s="3114">
        <v>88</v>
      </c>
      <c r="F254" s="3114">
        <v>12450</v>
      </c>
      <c r="G254" s="3114">
        <f t="shared" si="3"/>
        <v>1095600</v>
      </c>
    </row>
    <row r="255" spans="1:7" ht="15">
      <c r="A255" s="3118">
        <v>251</v>
      </c>
      <c r="B255" s="3115" t="s">
        <v>5968</v>
      </c>
      <c r="C255" s="3115"/>
      <c r="D255" s="3115" t="s">
        <v>5967</v>
      </c>
      <c r="E255" s="3114">
        <v>88</v>
      </c>
      <c r="F255" s="3114">
        <v>12480</v>
      </c>
      <c r="G255" s="3114">
        <f t="shared" si="3"/>
        <v>1098240</v>
      </c>
    </row>
    <row r="256" spans="1:7" ht="15">
      <c r="A256" s="3118">
        <v>252</v>
      </c>
      <c r="B256" s="3115" t="s">
        <v>5966</v>
      </c>
      <c r="C256" s="3115"/>
      <c r="D256" s="3115" t="s">
        <v>5965</v>
      </c>
      <c r="E256" s="3114">
        <v>88</v>
      </c>
      <c r="F256" s="3114">
        <v>12480</v>
      </c>
      <c r="G256" s="3114">
        <f t="shared" si="3"/>
        <v>1098240</v>
      </c>
    </row>
    <row r="257" spans="1:7" ht="15">
      <c r="A257" s="3118">
        <v>253</v>
      </c>
      <c r="B257" s="3115" t="s">
        <v>5964</v>
      </c>
      <c r="C257" s="3115"/>
      <c r="D257" s="3115" t="s">
        <v>5963</v>
      </c>
      <c r="E257" s="3114">
        <v>88</v>
      </c>
      <c r="F257" s="3114">
        <v>12510</v>
      </c>
      <c r="G257" s="3114">
        <f t="shared" si="3"/>
        <v>1100880</v>
      </c>
    </row>
    <row r="258" spans="1:7" ht="15">
      <c r="A258" s="3118">
        <v>254</v>
      </c>
      <c r="B258" s="3115" t="s">
        <v>5962</v>
      </c>
      <c r="C258" s="3115"/>
      <c r="D258" s="3115" t="s">
        <v>5961</v>
      </c>
      <c r="E258" s="3114">
        <v>88</v>
      </c>
      <c r="F258" s="3114">
        <v>12510</v>
      </c>
      <c r="G258" s="3114">
        <f t="shared" si="3"/>
        <v>1100880</v>
      </c>
    </row>
    <row r="259" spans="1:7" ht="15">
      <c r="A259" s="3118">
        <v>255</v>
      </c>
      <c r="B259" s="3115" t="s">
        <v>5960</v>
      </c>
      <c r="C259" s="3115"/>
      <c r="D259" s="3115" t="s">
        <v>5959</v>
      </c>
      <c r="E259" s="3114">
        <v>88</v>
      </c>
      <c r="F259" s="3114">
        <v>12160</v>
      </c>
      <c r="G259" s="3114">
        <f t="shared" si="3"/>
        <v>1070080</v>
      </c>
    </row>
    <row r="260" spans="1:7" ht="15">
      <c r="A260" s="3118">
        <v>256</v>
      </c>
      <c r="B260" s="3115" t="s">
        <v>5958</v>
      </c>
      <c r="C260" s="3115"/>
      <c r="D260" s="3115" t="s">
        <v>5957</v>
      </c>
      <c r="E260" s="3114">
        <v>88</v>
      </c>
      <c r="F260" s="3114">
        <v>12510</v>
      </c>
      <c r="G260" s="3114">
        <f t="shared" si="3"/>
        <v>1100880</v>
      </c>
    </row>
    <row r="261" spans="1:7" ht="15">
      <c r="A261" s="3118">
        <v>257</v>
      </c>
      <c r="B261" s="3115" t="s">
        <v>5956</v>
      </c>
      <c r="C261" s="3115"/>
      <c r="D261" s="3115" t="s">
        <v>5955</v>
      </c>
      <c r="E261" s="3114">
        <v>88</v>
      </c>
      <c r="F261" s="3114">
        <v>12450</v>
      </c>
      <c r="G261" s="3114">
        <f t="shared" ref="G261:G324" si="4">E261*F261</f>
        <v>1095600</v>
      </c>
    </row>
    <row r="262" spans="1:7" ht="15">
      <c r="A262" s="3118">
        <v>258</v>
      </c>
      <c r="B262" s="3115" t="s">
        <v>5954</v>
      </c>
      <c r="C262" s="3115"/>
      <c r="D262" s="3115" t="s">
        <v>5953</v>
      </c>
      <c r="E262" s="3114">
        <v>88</v>
      </c>
      <c r="F262" s="3114">
        <v>12540</v>
      </c>
      <c r="G262" s="3114">
        <f t="shared" si="4"/>
        <v>1103520</v>
      </c>
    </row>
    <row r="263" spans="1:7" ht="15">
      <c r="A263" s="3118">
        <v>259</v>
      </c>
      <c r="B263" s="3115" t="s">
        <v>5952</v>
      </c>
      <c r="C263" s="3115"/>
      <c r="D263" s="3115" t="s">
        <v>5951</v>
      </c>
      <c r="E263" s="3114">
        <v>88</v>
      </c>
      <c r="F263" s="3114">
        <v>12540</v>
      </c>
      <c r="G263" s="3114">
        <f t="shared" si="4"/>
        <v>1103520</v>
      </c>
    </row>
    <row r="264" spans="1:7" ht="15">
      <c r="A264" s="3118">
        <v>260</v>
      </c>
      <c r="B264" s="3115" t="s">
        <v>5950</v>
      </c>
      <c r="C264" s="3115"/>
      <c r="D264" s="3115" t="s">
        <v>5949</v>
      </c>
      <c r="E264" s="3114">
        <v>88</v>
      </c>
      <c r="F264" s="3114">
        <v>12540</v>
      </c>
      <c r="G264" s="3114">
        <f t="shared" si="4"/>
        <v>1103520</v>
      </c>
    </row>
    <row r="265" spans="1:7" ht="15">
      <c r="A265" s="3118">
        <v>261</v>
      </c>
      <c r="B265" s="3115" t="s">
        <v>5948</v>
      </c>
      <c r="C265" s="3115"/>
      <c r="D265" s="3115" t="s">
        <v>5947</v>
      </c>
      <c r="E265" s="3114">
        <v>88</v>
      </c>
      <c r="F265" s="3114">
        <v>12540</v>
      </c>
      <c r="G265" s="3114">
        <f t="shared" si="4"/>
        <v>1103520</v>
      </c>
    </row>
    <row r="266" spans="1:7" ht="15">
      <c r="A266" s="3118">
        <v>262</v>
      </c>
      <c r="B266" s="3115" t="s">
        <v>5946</v>
      </c>
      <c r="C266" s="3115"/>
      <c r="D266" s="3115" t="s">
        <v>5945</v>
      </c>
      <c r="E266" s="3114">
        <v>88</v>
      </c>
      <c r="F266" s="3114">
        <v>12540</v>
      </c>
      <c r="G266" s="3114">
        <f t="shared" si="4"/>
        <v>1103520</v>
      </c>
    </row>
    <row r="267" spans="1:7" ht="15">
      <c r="A267" s="3118">
        <v>263</v>
      </c>
      <c r="B267" s="3115" t="s">
        <v>5944</v>
      </c>
      <c r="C267" s="3115"/>
      <c r="D267" s="3115" t="s">
        <v>5943</v>
      </c>
      <c r="E267" s="3114">
        <v>88</v>
      </c>
      <c r="F267" s="3114">
        <v>12540</v>
      </c>
      <c r="G267" s="3114">
        <f t="shared" si="4"/>
        <v>1103520</v>
      </c>
    </row>
    <row r="268" spans="1:7" ht="15">
      <c r="A268" s="3118">
        <v>264</v>
      </c>
      <c r="B268" s="3115" t="s">
        <v>5942</v>
      </c>
      <c r="C268" s="3115"/>
      <c r="D268" s="3115" t="s">
        <v>5941</v>
      </c>
      <c r="E268" s="3114">
        <v>88</v>
      </c>
      <c r="F268" s="3114">
        <v>12540</v>
      </c>
      <c r="G268" s="3114">
        <f t="shared" si="4"/>
        <v>1103520</v>
      </c>
    </row>
    <row r="269" spans="1:7" ht="15">
      <c r="A269" s="3118">
        <v>265</v>
      </c>
      <c r="B269" s="3115" t="s">
        <v>5940</v>
      </c>
      <c r="C269" s="3115"/>
      <c r="D269" s="3115" t="s">
        <v>5939</v>
      </c>
      <c r="E269" s="3114">
        <v>88</v>
      </c>
      <c r="F269" s="3114">
        <v>12540</v>
      </c>
      <c r="G269" s="3114">
        <f t="shared" si="4"/>
        <v>1103520</v>
      </c>
    </row>
    <row r="270" spans="1:7" ht="15">
      <c r="A270" s="3118">
        <v>266</v>
      </c>
      <c r="B270" s="3115" t="s">
        <v>5938</v>
      </c>
      <c r="C270" s="3115"/>
      <c r="D270" s="3115" t="s">
        <v>5937</v>
      </c>
      <c r="E270" s="3114">
        <v>88.11</v>
      </c>
      <c r="F270" s="3114">
        <v>11190</v>
      </c>
      <c r="G270" s="3114">
        <f t="shared" si="4"/>
        <v>985950.9</v>
      </c>
    </row>
    <row r="271" spans="1:7" ht="15">
      <c r="A271" s="3118">
        <v>267</v>
      </c>
      <c r="B271" s="3115" t="s">
        <v>5936</v>
      </c>
      <c r="C271" s="3115"/>
      <c r="D271" s="3115" t="s">
        <v>5935</v>
      </c>
      <c r="E271" s="3114">
        <v>107.91</v>
      </c>
      <c r="F271" s="3114">
        <v>9750</v>
      </c>
      <c r="G271" s="3114">
        <f t="shared" si="4"/>
        <v>1052122.5</v>
      </c>
    </row>
    <row r="272" spans="1:7" ht="15">
      <c r="A272" s="3118">
        <v>268</v>
      </c>
      <c r="B272" s="3115" t="s">
        <v>5934</v>
      </c>
      <c r="C272" s="3115"/>
      <c r="D272" s="3115" t="s">
        <v>5933</v>
      </c>
      <c r="E272" s="3114">
        <v>107.91</v>
      </c>
      <c r="F272" s="3114">
        <v>9950</v>
      </c>
      <c r="G272" s="3114">
        <f t="shared" si="4"/>
        <v>1073704.5</v>
      </c>
    </row>
    <row r="273" spans="1:7" ht="15">
      <c r="A273" s="3118">
        <v>269</v>
      </c>
      <c r="B273" s="3115" t="s">
        <v>5932</v>
      </c>
      <c r="C273" s="3115"/>
      <c r="D273" s="3115" t="s">
        <v>5931</v>
      </c>
      <c r="E273" s="3114">
        <v>107.91</v>
      </c>
      <c r="F273" s="3114">
        <v>10400</v>
      </c>
      <c r="G273" s="3114">
        <f t="shared" si="4"/>
        <v>1122264</v>
      </c>
    </row>
    <row r="274" spans="1:7" ht="15">
      <c r="A274" s="3118">
        <v>270</v>
      </c>
      <c r="B274" s="3115" t="s">
        <v>5930</v>
      </c>
      <c r="C274" s="3115"/>
      <c r="D274" s="3115" t="s">
        <v>5929</v>
      </c>
      <c r="E274" s="3114">
        <v>107.91</v>
      </c>
      <c r="F274" s="3114">
        <v>10750</v>
      </c>
      <c r="G274" s="3114">
        <f t="shared" si="4"/>
        <v>1160032.5</v>
      </c>
    </row>
    <row r="275" spans="1:7" ht="15">
      <c r="A275" s="3118">
        <v>271</v>
      </c>
      <c r="B275" s="3115" t="s">
        <v>5928</v>
      </c>
      <c r="C275" s="3115"/>
      <c r="D275" s="3115" t="s">
        <v>5927</v>
      </c>
      <c r="E275" s="3114">
        <v>107.91</v>
      </c>
      <c r="F275" s="3114">
        <v>10800</v>
      </c>
      <c r="G275" s="3114">
        <f t="shared" si="4"/>
        <v>1165428</v>
      </c>
    </row>
    <row r="276" spans="1:7" s="3125" customFormat="1" ht="15">
      <c r="A276" s="3118">
        <v>272</v>
      </c>
      <c r="B276" s="3115" t="s">
        <v>5926</v>
      </c>
      <c r="C276" s="3115"/>
      <c r="D276" s="3115" t="s">
        <v>5925</v>
      </c>
      <c r="E276" s="3114">
        <v>107.91</v>
      </c>
      <c r="F276" s="3114">
        <v>10850</v>
      </c>
      <c r="G276" s="3114">
        <f t="shared" si="4"/>
        <v>1170823.5</v>
      </c>
    </row>
    <row r="277" spans="1:7" s="3125" customFormat="1" ht="15">
      <c r="A277" s="3118">
        <v>273</v>
      </c>
      <c r="B277" s="3115" t="s">
        <v>5924</v>
      </c>
      <c r="C277" s="3115"/>
      <c r="D277" s="3115" t="s">
        <v>5923</v>
      </c>
      <c r="E277" s="3114">
        <v>107.91</v>
      </c>
      <c r="F277" s="3114">
        <v>10900</v>
      </c>
      <c r="G277" s="3114">
        <f t="shared" si="4"/>
        <v>1176219</v>
      </c>
    </row>
    <row r="278" spans="1:7" s="3125" customFormat="1" ht="15">
      <c r="A278" s="3118">
        <v>274</v>
      </c>
      <c r="B278" s="3115" t="s">
        <v>5922</v>
      </c>
      <c r="C278" s="3115"/>
      <c r="D278" s="3115" t="s">
        <v>5921</v>
      </c>
      <c r="E278" s="3114">
        <v>107.91</v>
      </c>
      <c r="F278" s="3114">
        <v>10950</v>
      </c>
      <c r="G278" s="3114">
        <f t="shared" si="4"/>
        <v>1181614.5</v>
      </c>
    </row>
    <row r="279" spans="1:7" s="3125" customFormat="1" ht="15">
      <c r="A279" s="3118">
        <v>275</v>
      </c>
      <c r="B279" s="3115" t="s">
        <v>5920</v>
      </c>
      <c r="C279" s="3115"/>
      <c r="D279" s="3115" t="s">
        <v>5919</v>
      </c>
      <c r="E279" s="3114">
        <v>107.91</v>
      </c>
      <c r="F279" s="3114">
        <v>11000</v>
      </c>
      <c r="G279" s="3114">
        <f t="shared" si="4"/>
        <v>1187010</v>
      </c>
    </row>
    <row r="280" spans="1:7" ht="15">
      <c r="A280" s="3118">
        <v>276</v>
      </c>
      <c r="B280" s="3115" t="s">
        <v>5918</v>
      </c>
      <c r="C280" s="3115"/>
      <c r="D280" s="3115" t="s">
        <v>5917</v>
      </c>
      <c r="E280" s="3114">
        <v>107.91</v>
      </c>
      <c r="F280" s="3114">
        <v>11050</v>
      </c>
      <c r="G280" s="3114">
        <f t="shared" si="4"/>
        <v>1192405.5</v>
      </c>
    </row>
    <row r="281" spans="1:7" ht="15">
      <c r="A281" s="3118">
        <v>277</v>
      </c>
      <c r="B281" s="3115" t="s">
        <v>5916</v>
      </c>
      <c r="C281" s="3115"/>
      <c r="D281" s="3115" t="s">
        <v>5915</v>
      </c>
      <c r="E281" s="3114">
        <v>107.91</v>
      </c>
      <c r="F281" s="3114">
        <v>11000</v>
      </c>
      <c r="G281" s="3114">
        <f t="shared" si="4"/>
        <v>1187010</v>
      </c>
    </row>
    <row r="282" spans="1:7" ht="15">
      <c r="A282" s="3118">
        <v>278</v>
      </c>
      <c r="B282" s="3115" t="s">
        <v>5914</v>
      </c>
      <c r="C282" s="3115"/>
      <c r="D282" s="3115" t="s">
        <v>5913</v>
      </c>
      <c r="E282" s="3114">
        <v>107.91</v>
      </c>
      <c r="F282" s="3114">
        <v>11000</v>
      </c>
      <c r="G282" s="3114">
        <f t="shared" si="4"/>
        <v>1187010</v>
      </c>
    </row>
    <row r="283" spans="1:7" ht="15">
      <c r="A283" s="3118">
        <v>279</v>
      </c>
      <c r="B283" s="3115" t="s">
        <v>5912</v>
      </c>
      <c r="C283" s="3115"/>
      <c r="D283" s="3115" t="s">
        <v>5911</v>
      </c>
      <c r="E283" s="3114">
        <v>107.91</v>
      </c>
      <c r="F283" s="3114">
        <v>11000</v>
      </c>
      <c r="G283" s="3114">
        <f t="shared" si="4"/>
        <v>1187010</v>
      </c>
    </row>
    <row r="284" spans="1:7" ht="15">
      <c r="A284" s="3118">
        <v>280</v>
      </c>
      <c r="B284" s="3115" t="s">
        <v>5910</v>
      </c>
      <c r="C284" s="3115"/>
      <c r="D284" s="3115" t="s">
        <v>5909</v>
      </c>
      <c r="E284" s="3114">
        <v>107.91</v>
      </c>
      <c r="F284" s="3114">
        <v>11130</v>
      </c>
      <c r="G284" s="3114">
        <f t="shared" si="4"/>
        <v>1201038.3</v>
      </c>
    </row>
    <row r="285" spans="1:7" ht="15">
      <c r="A285" s="3118">
        <v>281</v>
      </c>
      <c r="B285" s="3115" t="s">
        <v>5908</v>
      </c>
      <c r="C285" s="3115"/>
      <c r="D285" s="3115" t="s">
        <v>5907</v>
      </c>
      <c r="E285" s="3114">
        <v>107.91</v>
      </c>
      <c r="F285" s="3114">
        <v>11130</v>
      </c>
      <c r="G285" s="3114">
        <f t="shared" si="4"/>
        <v>1201038.3</v>
      </c>
    </row>
    <row r="286" spans="1:7" ht="15">
      <c r="A286" s="3118">
        <v>282</v>
      </c>
      <c r="B286" s="3115" t="s">
        <v>5906</v>
      </c>
      <c r="C286" s="3115"/>
      <c r="D286" s="3115" t="s">
        <v>5905</v>
      </c>
      <c r="E286" s="3114">
        <v>107.91</v>
      </c>
      <c r="F286" s="3114">
        <v>11160</v>
      </c>
      <c r="G286" s="3114">
        <f t="shared" si="4"/>
        <v>1204275.5999999999</v>
      </c>
    </row>
    <row r="287" spans="1:7" ht="15">
      <c r="A287" s="3118">
        <v>283</v>
      </c>
      <c r="B287" s="3115" t="s">
        <v>5904</v>
      </c>
      <c r="C287" s="3115"/>
      <c r="D287" s="3115" t="s">
        <v>5903</v>
      </c>
      <c r="E287" s="3114">
        <v>107.91</v>
      </c>
      <c r="F287" s="3114">
        <v>11160</v>
      </c>
      <c r="G287" s="3114">
        <f t="shared" si="4"/>
        <v>1204275.5999999999</v>
      </c>
    </row>
    <row r="288" spans="1:7" ht="15">
      <c r="A288" s="3118">
        <v>284</v>
      </c>
      <c r="B288" s="3115" t="s">
        <v>5902</v>
      </c>
      <c r="C288" s="3115"/>
      <c r="D288" s="3115" t="s">
        <v>5901</v>
      </c>
      <c r="E288" s="3114">
        <v>107.91</v>
      </c>
      <c r="F288" s="3114">
        <v>11160</v>
      </c>
      <c r="G288" s="3114">
        <f t="shared" si="4"/>
        <v>1204275.5999999999</v>
      </c>
    </row>
    <row r="289" spans="1:7" ht="15">
      <c r="A289" s="3118">
        <v>285</v>
      </c>
      <c r="B289" s="3115" t="s">
        <v>5900</v>
      </c>
      <c r="C289" s="3115"/>
      <c r="D289" s="3115" t="s">
        <v>5899</v>
      </c>
      <c r="E289" s="3114">
        <v>107.91</v>
      </c>
      <c r="F289" s="3114">
        <v>11160</v>
      </c>
      <c r="G289" s="3114">
        <f t="shared" si="4"/>
        <v>1204275.5999999999</v>
      </c>
    </row>
    <row r="290" spans="1:7" ht="15">
      <c r="A290" s="3118">
        <v>286</v>
      </c>
      <c r="B290" s="3115" t="s">
        <v>5898</v>
      </c>
      <c r="C290" s="3115"/>
      <c r="D290" s="3115" t="s">
        <v>5897</v>
      </c>
      <c r="E290" s="3114">
        <v>107.91</v>
      </c>
      <c r="F290" s="3114">
        <v>11190</v>
      </c>
      <c r="G290" s="3114">
        <f t="shared" si="4"/>
        <v>1207512.8999999999</v>
      </c>
    </row>
    <row r="291" spans="1:7" ht="15">
      <c r="A291" s="3118">
        <v>287</v>
      </c>
      <c r="B291" s="3115" t="s">
        <v>5896</v>
      </c>
      <c r="C291" s="3115"/>
      <c r="D291" s="3115" t="s">
        <v>5895</v>
      </c>
      <c r="E291" s="3114">
        <v>107.91</v>
      </c>
      <c r="F291" s="3114">
        <v>11190</v>
      </c>
      <c r="G291" s="3114">
        <f t="shared" si="4"/>
        <v>1207512.8999999999</v>
      </c>
    </row>
    <row r="292" spans="1:7" ht="15">
      <c r="A292" s="3118">
        <v>288</v>
      </c>
      <c r="B292" s="3115" t="s">
        <v>5894</v>
      </c>
      <c r="C292" s="3115"/>
      <c r="D292" s="3115" t="s">
        <v>5893</v>
      </c>
      <c r="E292" s="3114">
        <v>107.91</v>
      </c>
      <c r="F292" s="3114">
        <v>11190</v>
      </c>
      <c r="G292" s="3114">
        <f t="shared" si="4"/>
        <v>1207512.8999999999</v>
      </c>
    </row>
    <row r="293" spans="1:7" ht="15">
      <c r="A293" s="3118">
        <v>289</v>
      </c>
      <c r="B293" s="3115" t="s">
        <v>5892</v>
      </c>
      <c r="C293" s="3115"/>
      <c r="D293" s="3115" t="s">
        <v>5891</v>
      </c>
      <c r="E293" s="3114">
        <v>107.91</v>
      </c>
      <c r="F293" s="3114">
        <v>11190</v>
      </c>
      <c r="G293" s="3114">
        <f t="shared" si="4"/>
        <v>1207512.8999999999</v>
      </c>
    </row>
    <row r="294" spans="1:7" ht="15">
      <c r="A294" s="3118">
        <v>290</v>
      </c>
      <c r="B294" s="3115" t="s">
        <v>5890</v>
      </c>
      <c r="C294" s="3115"/>
      <c r="D294" s="3115" t="s">
        <v>5889</v>
      </c>
      <c r="E294" s="3114">
        <v>107.91</v>
      </c>
      <c r="F294" s="3114">
        <v>11190</v>
      </c>
      <c r="G294" s="3114">
        <f t="shared" si="4"/>
        <v>1207512.8999999999</v>
      </c>
    </row>
    <row r="295" spans="1:7" ht="15">
      <c r="A295" s="3118">
        <v>291</v>
      </c>
      <c r="B295" s="3115" t="s">
        <v>5888</v>
      </c>
      <c r="C295" s="3115"/>
      <c r="D295" s="3115" t="s">
        <v>5887</v>
      </c>
      <c r="E295" s="3114">
        <v>107.91</v>
      </c>
      <c r="F295" s="3114">
        <v>11190</v>
      </c>
      <c r="G295" s="3114">
        <f t="shared" si="4"/>
        <v>1207512.8999999999</v>
      </c>
    </row>
    <row r="296" spans="1:7" ht="15">
      <c r="A296" s="3118">
        <v>292</v>
      </c>
      <c r="B296" s="3115" t="s">
        <v>5886</v>
      </c>
      <c r="C296" s="3115"/>
      <c r="D296" s="3115" t="s">
        <v>5885</v>
      </c>
      <c r="E296" s="3114">
        <v>107.91</v>
      </c>
      <c r="F296" s="3114">
        <v>11190</v>
      </c>
      <c r="G296" s="3114">
        <f t="shared" si="4"/>
        <v>1207512.8999999999</v>
      </c>
    </row>
    <row r="297" spans="1:7" ht="15">
      <c r="A297" s="3118">
        <v>293</v>
      </c>
      <c r="B297" s="3115" t="s">
        <v>5884</v>
      </c>
      <c r="C297" s="3115"/>
      <c r="D297" s="3115" t="s">
        <v>5883</v>
      </c>
      <c r="E297" s="3114">
        <v>107.91</v>
      </c>
      <c r="F297" s="3114">
        <v>11190</v>
      </c>
      <c r="G297" s="3114">
        <f t="shared" si="4"/>
        <v>1207512.8999999999</v>
      </c>
    </row>
    <row r="298" spans="1:7" ht="15">
      <c r="A298" s="3118">
        <v>294</v>
      </c>
      <c r="B298" s="3115" t="s">
        <v>5882</v>
      </c>
      <c r="C298" s="3115"/>
      <c r="D298" s="3115" t="s">
        <v>5881</v>
      </c>
      <c r="E298" s="3114">
        <v>107.91</v>
      </c>
      <c r="F298" s="3114">
        <v>11190</v>
      </c>
      <c r="G298" s="3114">
        <f t="shared" si="4"/>
        <v>1207512.8999999999</v>
      </c>
    </row>
    <row r="299" spans="1:7" ht="15">
      <c r="A299" s="3118">
        <v>295</v>
      </c>
      <c r="B299" s="3115" t="s">
        <v>5880</v>
      </c>
      <c r="C299" s="3115"/>
      <c r="D299" s="3115" t="s">
        <v>5879</v>
      </c>
      <c r="E299" s="3114">
        <v>93.87</v>
      </c>
      <c r="F299" s="3114">
        <v>10690</v>
      </c>
      <c r="G299" s="3114">
        <f t="shared" si="4"/>
        <v>1003470.3</v>
      </c>
    </row>
    <row r="300" spans="1:7" ht="15">
      <c r="A300" s="3118">
        <v>296</v>
      </c>
      <c r="B300" s="3115" t="s">
        <v>5878</v>
      </c>
      <c r="C300" s="3115"/>
      <c r="D300" s="3115" t="s">
        <v>5877</v>
      </c>
      <c r="E300" s="3114">
        <v>107.91</v>
      </c>
      <c r="F300" s="3114">
        <v>9750</v>
      </c>
      <c r="G300" s="3114">
        <f t="shared" si="4"/>
        <v>1052122.5</v>
      </c>
    </row>
    <row r="301" spans="1:7" ht="15">
      <c r="A301" s="3118">
        <v>297</v>
      </c>
      <c r="B301" s="3115" t="s">
        <v>5876</v>
      </c>
      <c r="C301" s="3115"/>
      <c r="D301" s="3115" t="s">
        <v>5875</v>
      </c>
      <c r="E301" s="3114">
        <v>107.91</v>
      </c>
      <c r="F301" s="3114">
        <v>9950</v>
      </c>
      <c r="G301" s="3114">
        <f t="shared" si="4"/>
        <v>1073704.5</v>
      </c>
    </row>
    <row r="302" spans="1:7" ht="15">
      <c r="A302" s="3118">
        <v>298</v>
      </c>
      <c r="B302" s="3115" t="s">
        <v>5874</v>
      </c>
      <c r="C302" s="3115"/>
      <c r="D302" s="3115" t="s">
        <v>5873</v>
      </c>
      <c r="E302" s="3114">
        <v>107.91</v>
      </c>
      <c r="F302" s="3114">
        <v>10400</v>
      </c>
      <c r="G302" s="3114">
        <f t="shared" si="4"/>
        <v>1122264</v>
      </c>
    </row>
    <row r="303" spans="1:7" ht="15">
      <c r="A303" s="3118">
        <v>299</v>
      </c>
      <c r="B303" s="3115" t="s">
        <v>5872</v>
      </c>
      <c r="C303" s="3115"/>
      <c r="D303" s="3115" t="s">
        <v>5871</v>
      </c>
      <c r="E303" s="3114">
        <v>107.91</v>
      </c>
      <c r="F303" s="3114">
        <v>10750</v>
      </c>
      <c r="G303" s="3114">
        <f t="shared" si="4"/>
        <v>1160032.5</v>
      </c>
    </row>
    <row r="304" spans="1:7" ht="15">
      <c r="A304" s="3118">
        <v>300</v>
      </c>
      <c r="B304" s="3115" t="s">
        <v>5870</v>
      </c>
      <c r="C304" s="3115"/>
      <c r="D304" s="3115" t="s">
        <v>5869</v>
      </c>
      <c r="E304" s="3114">
        <v>107.91</v>
      </c>
      <c r="F304" s="3114">
        <v>10800</v>
      </c>
      <c r="G304" s="3114">
        <f t="shared" si="4"/>
        <v>1165428</v>
      </c>
    </row>
    <row r="305" spans="1:7" ht="15">
      <c r="A305" s="3118">
        <v>301</v>
      </c>
      <c r="B305" s="3115" t="s">
        <v>5868</v>
      </c>
      <c r="C305" s="3115"/>
      <c r="D305" s="3115" t="s">
        <v>5867</v>
      </c>
      <c r="E305" s="3114">
        <v>107.91</v>
      </c>
      <c r="F305" s="3114">
        <v>10850</v>
      </c>
      <c r="G305" s="3114">
        <f t="shared" si="4"/>
        <v>1170823.5</v>
      </c>
    </row>
    <row r="306" spans="1:7" ht="15">
      <c r="A306" s="3118">
        <v>302</v>
      </c>
      <c r="B306" s="3115" t="s">
        <v>5866</v>
      </c>
      <c r="C306" s="3115"/>
      <c r="D306" s="3115" t="s">
        <v>5865</v>
      </c>
      <c r="E306" s="3114">
        <v>107.91</v>
      </c>
      <c r="F306" s="3114">
        <v>10900</v>
      </c>
      <c r="G306" s="3114">
        <f t="shared" si="4"/>
        <v>1176219</v>
      </c>
    </row>
    <row r="307" spans="1:7" ht="15">
      <c r="A307" s="3118">
        <v>303</v>
      </c>
      <c r="B307" s="3115" t="s">
        <v>5864</v>
      </c>
      <c r="C307" s="3115"/>
      <c r="D307" s="3115" t="s">
        <v>5863</v>
      </c>
      <c r="E307" s="3114">
        <v>107.91</v>
      </c>
      <c r="F307" s="3114">
        <v>10950</v>
      </c>
      <c r="G307" s="3114">
        <f t="shared" si="4"/>
        <v>1181614.5</v>
      </c>
    </row>
    <row r="308" spans="1:7" ht="15">
      <c r="A308" s="3118">
        <v>304</v>
      </c>
      <c r="B308" s="3115" t="s">
        <v>5862</v>
      </c>
      <c r="C308" s="3115"/>
      <c r="D308" s="3115" t="s">
        <v>5861</v>
      </c>
      <c r="E308" s="3114">
        <v>107.91</v>
      </c>
      <c r="F308" s="3114">
        <v>11000</v>
      </c>
      <c r="G308" s="3114">
        <f t="shared" si="4"/>
        <v>1187010</v>
      </c>
    </row>
    <row r="309" spans="1:7" ht="15">
      <c r="A309" s="3118">
        <v>305</v>
      </c>
      <c r="B309" s="3115" t="s">
        <v>5860</v>
      </c>
      <c r="C309" s="3115"/>
      <c r="D309" s="3115" t="s">
        <v>5859</v>
      </c>
      <c r="E309" s="3114">
        <v>107.91</v>
      </c>
      <c r="F309" s="3114">
        <v>11050</v>
      </c>
      <c r="G309" s="3114">
        <f t="shared" si="4"/>
        <v>1192405.5</v>
      </c>
    </row>
    <row r="310" spans="1:7" ht="15">
      <c r="A310" s="3118">
        <v>306</v>
      </c>
      <c r="B310" s="3115" t="s">
        <v>5858</v>
      </c>
      <c r="C310" s="3115"/>
      <c r="D310" s="3115" t="s">
        <v>5857</v>
      </c>
      <c r="E310" s="3114">
        <v>107.91</v>
      </c>
      <c r="F310" s="3114">
        <v>11000</v>
      </c>
      <c r="G310" s="3114">
        <f t="shared" si="4"/>
        <v>1187010</v>
      </c>
    </row>
    <row r="311" spans="1:7" ht="15">
      <c r="A311" s="3118">
        <v>307</v>
      </c>
      <c r="B311" s="3115" t="s">
        <v>5856</v>
      </c>
      <c r="C311" s="3115"/>
      <c r="D311" s="3115" t="s">
        <v>5855</v>
      </c>
      <c r="E311" s="3114">
        <v>107.91</v>
      </c>
      <c r="F311" s="3114">
        <v>11100</v>
      </c>
      <c r="G311" s="3114">
        <f t="shared" si="4"/>
        <v>1197801</v>
      </c>
    </row>
    <row r="312" spans="1:7" ht="15">
      <c r="A312" s="3118">
        <v>308</v>
      </c>
      <c r="B312" s="3115" t="s">
        <v>5854</v>
      </c>
      <c r="C312" s="3115"/>
      <c r="D312" s="3115" t="s">
        <v>5853</v>
      </c>
      <c r="E312" s="3114">
        <v>107.91</v>
      </c>
      <c r="F312" s="3114">
        <v>11100</v>
      </c>
      <c r="G312" s="3114">
        <f t="shared" si="4"/>
        <v>1197801</v>
      </c>
    </row>
    <row r="313" spans="1:7" ht="15">
      <c r="A313" s="3118">
        <v>309</v>
      </c>
      <c r="B313" s="3115" t="s">
        <v>5852</v>
      </c>
      <c r="C313" s="3115"/>
      <c r="D313" s="3115" t="s">
        <v>5851</v>
      </c>
      <c r="E313" s="3114">
        <v>107.91</v>
      </c>
      <c r="F313" s="3114">
        <v>11130</v>
      </c>
      <c r="G313" s="3114">
        <f t="shared" si="4"/>
        <v>1201038.3</v>
      </c>
    </row>
    <row r="314" spans="1:7" s="3125" customFormat="1" ht="15">
      <c r="A314" s="3118">
        <v>310</v>
      </c>
      <c r="B314" s="3115" t="s">
        <v>5850</v>
      </c>
      <c r="C314" s="3115"/>
      <c r="D314" s="3115" t="s">
        <v>5849</v>
      </c>
      <c r="E314" s="3114">
        <v>107.91</v>
      </c>
      <c r="F314" s="3114">
        <v>11130</v>
      </c>
      <c r="G314" s="3114">
        <f t="shared" si="4"/>
        <v>1201038.3</v>
      </c>
    </row>
    <row r="315" spans="1:7" s="3125" customFormat="1" ht="15">
      <c r="A315" s="3118">
        <v>311</v>
      </c>
      <c r="B315" s="3115" t="s">
        <v>5848</v>
      </c>
      <c r="C315" s="3115"/>
      <c r="D315" s="3115" t="s">
        <v>5847</v>
      </c>
      <c r="E315" s="3114">
        <v>107.91</v>
      </c>
      <c r="F315" s="3114">
        <v>11160</v>
      </c>
      <c r="G315" s="3114">
        <f t="shared" si="4"/>
        <v>1204275.5999999999</v>
      </c>
    </row>
    <row r="316" spans="1:7" s="3125" customFormat="1" ht="15">
      <c r="A316" s="3118">
        <v>312</v>
      </c>
      <c r="B316" s="3115" t="s">
        <v>5846</v>
      </c>
      <c r="C316" s="3115"/>
      <c r="D316" s="3115" t="s">
        <v>5845</v>
      </c>
      <c r="E316" s="3114">
        <v>107.91</v>
      </c>
      <c r="F316" s="3114">
        <v>11160</v>
      </c>
      <c r="G316" s="3114">
        <f t="shared" si="4"/>
        <v>1204275.5999999999</v>
      </c>
    </row>
    <row r="317" spans="1:7" s="3125" customFormat="1" ht="15">
      <c r="A317" s="3118">
        <v>313</v>
      </c>
      <c r="B317" s="3115" t="s">
        <v>5844</v>
      </c>
      <c r="C317" s="3115"/>
      <c r="D317" s="3115" t="s">
        <v>5843</v>
      </c>
      <c r="E317" s="3114">
        <v>107.91</v>
      </c>
      <c r="F317" s="3114">
        <v>11160</v>
      </c>
      <c r="G317" s="3114">
        <f t="shared" si="4"/>
        <v>1204275.5999999999</v>
      </c>
    </row>
    <row r="318" spans="1:7" s="3125" customFormat="1" ht="15">
      <c r="A318" s="3118">
        <v>314</v>
      </c>
      <c r="B318" s="3115" t="s">
        <v>5842</v>
      </c>
      <c r="C318" s="3115"/>
      <c r="D318" s="3115" t="s">
        <v>5841</v>
      </c>
      <c r="E318" s="3114">
        <v>107.91</v>
      </c>
      <c r="F318" s="3114">
        <v>11160</v>
      </c>
      <c r="G318" s="3114">
        <f t="shared" si="4"/>
        <v>1204275.5999999999</v>
      </c>
    </row>
    <row r="319" spans="1:7" ht="15">
      <c r="A319" s="3118">
        <v>315</v>
      </c>
      <c r="B319" s="3115" t="s">
        <v>5840</v>
      </c>
      <c r="C319" s="3115"/>
      <c r="D319" s="3115" t="s">
        <v>5839</v>
      </c>
      <c r="E319" s="3114">
        <v>107.91</v>
      </c>
      <c r="F319" s="3114">
        <v>11190</v>
      </c>
      <c r="G319" s="3114">
        <f t="shared" si="4"/>
        <v>1207512.8999999999</v>
      </c>
    </row>
    <row r="320" spans="1:7" ht="15">
      <c r="A320" s="3118">
        <v>316</v>
      </c>
      <c r="B320" s="3115" t="s">
        <v>5838</v>
      </c>
      <c r="C320" s="3115"/>
      <c r="D320" s="3115" t="s">
        <v>5837</v>
      </c>
      <c r="E320" s="3114">
        <v>107.91</v>
      </c>
      <c r="F320" s="3114">
        <v>11190</v>
      </c>
      <c r="G320" s="3114">
        <f t="shared" si="4"/>
        <v>1207512.8999999999</v>
      </c>
    </row>
    <row r="321" spans="1:7" ht="15">
      <c r="A321" s="3118">
        <v>317</v>
      </c>
      <c r="B321" s="3115" t="s">
        <v>5836</v>
      </c>
      <c r="C321" s="3115"/>
      <c r="D321" s="3115" t="s">
        <v>5835</v>
      </c>
      <c r="E321" s="3114">
        <v>107.91</v>
      </c>
      <c r="F321" s="3114">
        <v>11190</v>
      </c>
      <c r="G321" s="3114">
        <f t="shared" si="4"/>
        <v>1207512.8999999999</v>
      </c>
    </row>
    <row r="322" spans="1:7" ht="15">
      <c r="A322" s="3118">
        <v>318</v>
      </c>
      <c r="B322" s="3115" t="s">
        <v>5834</v>
      </c>
      <c r="C322" s="3115"/>
      <c r="D322" s="3115" t="s">
        <v>5833</v>
      </c>
      <c r="E322" s="3114">
        <v>107.91</v>
      </c>
      <c r="F322" s="3114">
        <v>11190</v>
      </c>
      <c r="G322" s="3114">
        <f t="shared" si="4"/>
        <v>1207512.8999999999</v>
      </c>
    </row>
    <row r="323" spans="1:7" ht="15">
      <c r="A323" s="3118">
        <v>319</v>
      </c>
      <c r="B323" s="3115" t="s">
        <v>5832</v>
      </c>
      <c r="C323" s="3115"/>
      <c r="D323" s="3115" t="s">
        <v>5831</v>
      </c>
      <c r="E323" s="3114">
        <v>107.91</v>
      </c>
      <c r="F323" s="3114">
        <v>11190</v>
      </c>
      <c r="G323" s="3114">
        <f t="shared" si="4"/>
        <v>1207512.8999999999</v>
      </c>
    </row>
    <row r="324" spans="1:7" ht="15">
      <c r="A324" s="3118">
        <v>320</v>
      </c>
      <c r="B324" s="3115" t="s">
        <v>5830</v>
      </c>
      <c r="C324" s="3115"/>
      <c r="D324" s="3115" t="s">
        <v>5829</v>
      </c>
      <c r="E324" s="3114">
        <v>107.91</v>
      </c>
      <c r="F324" s="3114">
        <v>11190</v>
      </c>
      <c r="G324" s="3114">
        <f t="shared" si="4"/>
        <v>1207512.8999999999</v>
      </c>
    </row>
    <row r="325" spans="1:7" ht="15">
      <c r="A325" s="3118">
        <v>321</v>
      </c>
      <c r="B325" s="3115" t="s">
        <v>5828</v>
      </c>
      <c r="C325" s="3115"/>
      <c r="D325" s="3115" t="s">
        <v>5827</v>
      </c>
      <c r="E325" s="3114">
        <v>107.91</v>
      </c>
      <c r="F325" s="3114">
        <v>11190</v>
      </c>
      <c r="G325" s="3114">
        <f t="shared" ref="G325:G388" si="5">E325*F325</f>
        <v>1207512.8999999999</v>
      </c>
    </row>
    <row r="326" spans="1:7" ht="15">
      <c r="A326" s="3118">
        <v>322</v>
      </c>
      <c r="B326" s="3115" t="s">
        <v>5826</v>
      </c>
      <c r="C326" s="3115"/>
      <c r="D326" s="3115" t="s">
        <v>5825</v>
      </c>
      <c r="E326" s="3114">
        <v>107.91</v>
      </c>
      <c r="F326" s="3114">
        <v>11190</v>
      </c>
      <c r="G326" s="3114">
        <f t="shared" si="5"/>
        <v>1207512.8999999999</v>
      </c>
    </row>
    <row r="327" spans="1:7" ht="15">
      <c r="A327" s="3118">
        <v>323</v>
      </c>
      <c r="B327" s="3115" t="s">
        <v>5824</v>
      </c>
      <c r="C327" s="3115"/>
      <c r="D327" s="3115" t="s">
        <v>5823</v>
      </c>
      <c r="E327" s="3114">
        <v>107.91</v>
      </c>
      <c r="F327" s="3114">
        <v>11190</v>
      </c>
      <c r="G327" s="3114">
        <f t="shared" si="5"/>
        <v>1207512.8999999999</v>
      </c>
    </row>
    <row r="328" spans="1:7" ht="15">
      <c r="A328" s="3118">
        <v>324</v>
      </c>
      <c r="B328" s="3115" t="s">
        <v>5822</v>
      </c>
      <c r="C328" s="3115"/>
      <c r="D328" s="3115" t="s">
        <v>5821</v>
      </c>
      <c r="E328" s="3114">
        <v>93.87</v>
      </c>
      <c r="F328" s="3114">
        <v>10690</v>
      </c>
      <c r="G328" s="3114">
        <f t="shared" si="5"/>
        <v>1003470.3</v>
      </c>
    </row>
    <row r="329" spans="1:7" ht="15">
      <c r="A329" s="3118">
        <v>325</v>
      </c>
      <c r="B329" s="3115" t="s">
        <v>5820</v>
      </c>
      <c r="C329" s="3115"/>
      <c r="D329" s="3115" t="s">
        <v>5819</v>
      </c>
      <c r="E329" s="3114">
        <v>87.87</v>
      </c>
      <c r="F329" s="3114">
        <v>10750</v>
      </c>
      <c r="G329" s="3114">
        <f t="shared" si="5"/>
        <v>944602.5</v>
      </c>
    </row>
    <row r="330" spans="1:7" ht="15">
      <c r="A330" s="3118">
        <v>326</v>
      </c>
      <c r="B330" s="3115" t="s">
        <v>5818</v>
      </c>
      <c r="C330" s="3115"/>
      <c r="D330" s="3115" t="s">
        <v>5817</v>
      </c>
      <c r="E330" s="3114">
        <v>87.87</v>
      </c>
      <c r="F330" s="3114">
        <v>10950</v>
      </c>
      <c r="G330" s="3114">
        <f t="shared" si="5"/>
        <v>962176.5</v>
      </c>
    </row>
    <row r="331" spans="1:7" ht="15">
      <c r="A331" s="3118">
        <v>327</v>
      </c>
      <c r="B331" s="3115" t="s">
        <v>5816</v>
      </c>
      <c r="C331" s="3115"/>
      <c r="D331" s="3115" t="s">
        <v>5815</v>
      </c>
      <c r="E331" s="3114">
        <v>87.87</v>
      </c>
      <c r="F331" s="3114">
        <v>11400</v>
      </c>
      <c r="G331" s="3114">
        <f t="shared" si="5"/>
        <v>1001718</v>
      </c>
    </row>
    <row r="332" spans="1:7" ht="15">
      <c r="A332" s="3118">
        <v>328</v>
      </c>
      <c r="B332" s="3115" t="s">
        <v>5814</v>
      </c>
      <c r="C332" s="3115"/>
      <c r="D332" s="3115" t="s">
        <v>5813</v>
      </c>
      <c r="E332" s="3114">
        <v>87.87</v>
      </c>
      <c r="F332" s="3114">
        <v>11750</v>
      </c>
      <c r="G332" s="3114">
        <f t="shared" si="5"/>
        <v>1032472.5</v>
      </c>
    </row>
    <row r="333" spans="1:7" ht="15">
      <c r="A333" s="3118">
        <v>329</v>
      </c>
      <c r="B333" s="3115" t="s">
        <v>5812</v>
      </c>
      <c r="C333" s="3115"/>
      <c r="D333" s="3115" t="s">
        <v>5811</v>
      </c>
      <c r="E333" s="3114">
        <v>87.87</v>
      </c>
      <c r="F333" s="3114">
        <v>11800</v>
      </c>
      <c r="G333" s="3114">
        <f t="shared" si="5"/>
        <v>1036866</v>
      </c>
    </row>
    <row r="334" spans="1:7" ht="15">
      <c r="A334" s="3118">
        <v>330</v>
      </c>
      <c r="B334" s="3115" t="s">
        <v>5810</v>
      </c>
      <c r="C334" s="3115"/>
      <c r="D334" s="3115" t="s">
        <v>5809</v>
      </c>
      <c r="E334" s="3114">
        <v>87.87</v>
      </c>
      <c r="F334" s="3114">
        <v>11850</v>
      </c>
      <c r="G334" s="3114">
        <f t="shared" si="5"/>
        <v>1041259.5</v>
      </c>
    </row>
    <row r="335" spans="1:7" ht="15">
      <c r="A335" s="3118">
        <v>331</v>
      </c>
      <c r="B335" s="3115" t="s">
        <v>5808</v>
      </c>
      <c r="C335" s="3115"/>
      <c r="D335" s="3115" t="s">
        <v>5807</v>
      </c>
      <c r="E335" s="3114">
        <v>87.87</v>
      </c>
      <c r="F335" s="3114">
        <v>11900</v>
      </c>
      <c r="G335" s="3114">
        <f t="shared" si="5"/>
        <v>1045653</v>
      </c>
    </row>
    <row r="336" spans="1:7" ht="15">
      <c r="A336" s="3118">
        <v>332</v>
      </c>
      <c r="B336" s="3115" t="s">
        <v>5806</v>
      </c>
      <c r="C336" s="3115"/>
      <c r="D336" s="3115" t="s">
        <v>5805</v>
      </c>
      <c r="E336" s="3114">
        <v>87.87</v>
      </c>
      <c r="F336" s="3114">
        <v>11950</v>
      </c>
      <c r="G336" s="3114">
        <f t="shared" si="5"/>
        <v>1050046.5</v>
      </c>
    </row>
    <row r="337" spans="1:7" ht="15">
      <c r="A337" s="3118">
        <v>333</v>
      </c>
      <c r="B337" s="3115" t="s">
        <v>5804</v>
      </c>
      <c r="C337" s="3115"/>
      <c r="D337" s="3115" t="s">
        <v>5803</v>
      </c>
      <c r="E337" s="3114">
        <v>87.87</v>
      </c>
      <c r="F337" s="3114">
        <v>12000</v>
      </c>
      <c r="G337" s="3114">
        <f t="shared" si="5"/>
        <v>1054440</v>
      </c>
    </row>
    <row r="338" spans="1:7" ht="15">
      <c r="A338" s="3118">
        <v>334</v>
      </c>
      <c r="B338" s="3115" t="s">
        <v>5802</v>
      </c>
      <c r="C338" s="3115"/>
      <c r="D338" s="3115" t="s">
        <v>5801</v>
      </c>
      <c r="E338" s="3114">
        <v>87.87</v>
      </c>
      <c r="F338" s="3114">
        <v>12050</v>
      </c>
      <c r="G338" s="3114">
        <f t="shared" si="5"/>
        <v>1058833.5</v>
      </c>
    </row>
    <row r="339" spans="1:7" ht="15">
      <c r="A339" s="3118">
        <v>335</v>
      </c>
      <c r="B339" s="3115" t="s">
        <v>5800</v>
      </c>
      <c r="C339" s="3115"/>
      <c r="D339" s="3115" t="s">
        <v>5799</v>
      </c>
      <c r="E339" s="3114">
        <v>87.87</v>
      </c>
      <c r="F339" s="3114">
        <v>12100</v>
      </c>
      <c r="G339" s="3114">
        <f t="shared" si="5"/>
        <v>1063227</v>
      </c>
    </row>
    <row r="340" spans="1:7" ht="15">
      <c r="A340" s="3118">
        <v>336</v>
      </c>
      <c r="B340" s="3115" t="s">
        <v>5798</v>
      </c>
      <c r="C340" s="3115"/>
      <c r="D340" s="3115" t="s">
        <v>5797</v>
      </c>
      <c r="E340" s="3114">
        <v>87.87</v>
      </c>
      <c r="F340" s="3114">
        <v>12100</v>
      </c>
      <c r="G340" s="3114">
        <f t="shared" si="5"/>
        <v>1063227</v>
      </c>
    </row>
    <row r="341" spans="1:7" ht="15">
      <c r="A341" s="3118">
        <v>337</v>
      </c>
      <c r="B341" s="3115" t="s">
        <v>5796</v>
      </c>
      <c r="C341" s="3115"/>
      <c r="D341" s="3115" t="s">
        <v>5795</v>
      </c>
      <c r="E341" s="3114">
        <v>87.87</v>
      </c>
      <c r="F341" s="3114">
        <v>12100</v>
      </c>
      <c r="G341" s="3114">
        <f t="shared" si="5"/>
        <v>1063227</v>
      </c>
    </row>
    <row r="342" spans="1:7" ht="15">
      <c r="A342" s="3118">
        <v>338</v>
      </c>
      <c r="B342" s="3115" t="s">
        <v>5794</v>
      </c>
      <c r="C342" s="3115"/>
      <c r="D342" s="3115" t="s">
        <v>5793</v>
      </c>
      <c r="E342" s="3114">
        <v>87.87</v>
      </c>
      <c r="F342" s="3114">
        <v>12130</v>
      </c>
      <c r="G342" s="3114">
        <f t="shared" si="5"/>
        <v>1065863.1000000001</v>
      </c>
    </row>
    <row r="343" spans="1:7" ht="15">
      <c r="A343" s="3118">
        <v>339</v>
      </c>
      <c r="B343" s="3115" t="s">
        <v>5792</v>
      </c>
      <c r="C343" s="3115"/>
      <c r="D343" s="3115" t="s">
        <v>5791</v>
      </c>
      <c r="E343" s="3114">
        <v>87.87</v>
      </c>
      <c r="F343" s="3114">
        <v>12130</v>
      </c>
      <c r="G343" s="3114">
        <f t="shared" si="5"/>
        <v>1065863.1000000001</v>
      </c>
    </row>
    <row r="344" spans="1:7" ht="15">
      <c r="A344" s="3118">
        <v>340</v>
      </c>
      <c r="B344" s="3115" t="s">
        <v>5790</v>
      </c>
      <c r="C344" s="3115"/>
      <c r="D344" s="3115" t="s">
        <v>5789</v>
      </c>
      <c r="E344" s="3114">
        <v>87.87</v>
      </c>
      <c r="F344" s="3114">
        <v>12160</v>
      </c>
      <c r="G344" s="3114">
        <f t="shared" si="5"/>
        <v>1068499.2</v>
      </c>
    </row>
    <row r="345" spans="1:7" ht="15">
      <c r="A345" s="3118">
        <v>341</v>
      </c>
      <c r="B345" s="3115" t="s">
        <v>5788</v>
      </c>
      <c r="C345" s="3115"/>
      <c r="D345" s="3115" t="s">
        <v>5787</v>
      </c>
      <c r="E345" s="3114">
        <v>87.87</v>
      </c>
      <c r="F345" s="3114">
        <v>12160</v>
      </c>
      <c r="G345" s="3114">
        <f t="shared" si="5"/>
        <v>1068499.2</v>
      </c>
    </row>
    <row r="346" spans="1:7" ht="15">
      <c r="A346" s="3118">
        <v>342</v>
      </c>
      <c r="B346" s="3115" t="s">
        <v>5786</v>
      </c>
      <c r="C346" s="3115"/>
      <c r="D346" s="3115" t="s">
        <v>5785</v>
      </c>
      <c r="E346" s="3114">
        <v>87.87</v>
      </c>
      <c r="F346" s="3114">
        <v>12160</v>
      </c>
      <c r="G346" s="3114">
        <f t="shared" si="5"/>
        <v>1068499.2</v>
      </c>
    </row>
    <row r="347" spans="1:7" ht="15">
      <c r="A347" s="3118">
        <v>343</v>
      </c>
      <c r="B347" s="3115" t="s">
        <v>5784</v>
      </c>
      <c r="C347" s="3115"/>
      <c r="D347" s="3115" t="s">
        <v>5783</v>
      </c>
      <c r="E347" s="3114">
        <v>87.87</v>
      </c>
      <c r="F347" s="3114">
        <v>12160</v>
      </c>
      <c r="G347" s="3114">
        <f t="shared" si="5"/>
        <v>1068499.2</v>
      </c>
    </row>
    <row r="348" spans="1:7" ht="15">
      <c r="A348" s="3118">
        <v>344</v>
      </c>
      <c r="B348" s="3115" t="s">
        <v>5782</v>
      </c>
      <c r="C348" s="3115"/>
      <c r="D348" s="3115" t="s">
        <v>5781</v>
      </c>
      <c r="E348" s="3114">
        <v>87.87</v>
      </c>
      <c r="F348" s="3114">
        <v>12190</v>
      </c>
      <c r="G348" s="3114">
        <f t="shared" si="5"/>
        <v>1071135.3</v>
      </c>
    </row>
    <row r="349" spans="1:7" ht="15">
      <c r="A349" s="3118">
        <v>345</v>
      </c>
      <c r="B349" s="3115" t="s">
        <v>5780</v>
      </c>
      <c r="C349" s="3115"/>
      <c r="D349" s="3115" t="s">
        <v>5779</v>
      </c>
      <c r="E349" s="3114">
        <v>87.87</v>
      </c>
      <c r="F349" s="3114">
        <v>12190</v>
      </c>
      <c r="G349" s="3114">
        <f t="shared" si="5"/>
        <v>1071135.3</v>
      </c>
    </row>
    <row r="350" spans="1:7" ht="15">
      <c r="A350" s="3118">
        <v>346</v>
      </c>
      <c r="B350" s="3115" t="s">
        <v>5778</v>
      </c>
      <c r="C350" s="3115"/>
      <c r="D350" s="3115" t="s">
        <v>5777</v>
      </c>
      <c r="E350" s="3114">
        <v>87.87</v>
      </c>
      <c r="F350" s="3114">
        <v>12190</v>
      </c>
      <c r="G350" s="3114">
        <f t="shared" si="5"/>
        <v>1071135.3</v>
      </c>
    </row>
    <row r="351" spans="1:7" ht="15">
      <c r="A351" s="3118">
        <v>347</v>
      </c>
      <c r="B351" s="3115" t="s">
        <v>5776</v>
      </c>
      <c r="C351" s="3115"/>
      <c r="D351" s="3115" t="s">
        <v>5775</v>
      </c>
      <c r="E351" s="3114">
        <v>87.87</v>
      </c>
      <c r="F351" s="3114">
        <v>12190</v>
      </c>
      <c r="G351" s="3114">
        <f t="shared" si="5"/>
        <v>1071135.3</v>
      </c>
    </row>
    <row r="352" spans="1:7" ht="15">
      <c r="A352" s="3118">
        <v>348</v>
      </c>
      <c r="B352" s="3115" t="s">
        <v>5774</v>
      </c>
      <c r="C352" s="3115"/>
      <c r="D352" s="3115" t="s">
        <v>5773</v>
      </c>
      <c r="E352" s="3114">
        <v>87.87</v>
      </c>
      <c r="F352" s="3114">
        <v>12190</v>
      </c>
      <c r="G352" s="3114">
        <f t="shared" si="5"/>
        <v>1071135.3</v>
      </c>
    </row>
    <row r="353" spans="1:7" ht="15">
      <c r="A353" s="3118">
        <v>349</v>
      </c>
      <c r="B353" s="3115" t="s">
        <v>5772</v>
      </c>
      <c r="C353" s="3115"/>
      <c r="D353" s="3115" t="s">
        <v>5771</v>
      </c>
      <c r="E353" s="3114">
        <v>87.87</v>
      </c>
      <c r="F353" s="3114">
        <v>12190</v>
      </c>
      <c r="G353" s="3114">
        <f t="shared" si="5"/>
        <v>1071135.3</v>
      </c>
    </row>
    <row r="354" spans="1:7" ht="15">
      <c r="A354" s="3118">
        <v>350</v>
      </c>
      <c r="B354" s="3115" t="s">
        <v>5770</v>
      </c>
      <c r="C354" s="3115"/>
      <c r="D354" s="3115" t="s">
        <v>5769</v>
      </c>
      <c r="E354" s="3114">
        <v>87.87</v>
      </c>
      <c r="F354" s="3114">
        <v>12190</v>
      </c>
      <c r="G354" s="3114">
        <f t="shared" si="5"/>
        <v>1071135.3</v>
      </c>
    </row>
    <row r="355" spans="1:7" ht="15">
      <c r="A355" s="3118">
        <v>351</v>
      </c>
      <c r="B355" s="3115" t="s">
        <v>5768</v>
      </c>
      <c r="C355" s="3115"/>
      <c r="D355" s="3115" t="s">
        <v>5767</v>
      </c>
      <c r="E355" s="3114">
        <v>87.87</v>
      </c>
      <c r="F355" s="3114">
        <v>12190</v>
      </c>
      <c r="G355" s="3114">
        <f t="shared" si="5"/>
        <v>1071135.3</v>
      </c>
    </row>
    <row r="356" spans="1:7" ht="15">
      <c r="A356" s="3118">
        <v>352</v>
      </c>
      <c r="B356" s="3115" t="s">
        <v>5766</v>
      </c>
      <c r="C356" s="3115"/>
      <c r="D356" s="3115" t="s">
        <v>5765</v>
      </c>
      <c r="E356" s="3114">
        <v>87.87</v>
      </c>
      <c r="F356" s="3114">
        <v>12190</v>
      </c>
      <c r="G356" s="3114">
        <f t="shared" si="5"/>
        <v>1071135.3</v>
      </c>
    </row>
    <row r="357" spans="1:7" ht="15">
      <c r="A357" s="3118">
        <v>353</v>
      </c>
      <c r="B357" s="3115" t="s">
        <v>5764</v>
      </c>
      <c r="C357" s="3115"/>
      <c r="D357" s="3115" t="s">
        <v>5763</v>
      </c>
      <c r="E357" s="3114">
        <v>88.11</v>
      </c>
      <c r="F357" s="3114">
        <v>11190</v>
      </c>
      <c r="G357" s="3114">
        <f t="shared" si="5"/>
        <v>985950.9</v>
      </c>
    </row>
    <row r="358" spans="1:7" ht="15">
      <c r="A358" s="3118">
        <v>354</v>
      </c>
      <c r="B358" s="3115" t="s">
        <v>5762</v>
      </c>
      <c r="C358" s="3115"/>
      <c r="D358" s="3115" t="s">
        <v>5761</v>
      </c>
      <c r="E358" s="3114">
        <v>127.04</v>
      </c>
      <c r="F358" s="3114">
        <v>11100</v>
      </c>
      <c r="G358" s="3114">
        <f t="shared" si="5"/>
        <v>1410144</v>
      </c>
    </row>
    <row r="359" spans="1:7" ht="15">
      <c r="A359" s="3118">
        <v>355</v>
      </c>
      <c r="B359" s="3115" t="s">
        <v>5760</v>
      </c>
      <c r="C359" s="3115"/>
      <c r="D359" s="3115" t="s">
        <v>5759</v>
      </c>
      <c r="E359" s="3114">
        <v>127.04</v>
      </c>
      <c r="F359" s="3114">
        <v>11300</v>
      </c>
      <c r="G359" s="3114">
        <f t="shared" si="5"/>
        <v>1435552</v>
      </c>
    </row>
    <row r="360" spans="1:7" ht="15">
      <c r="A360" s="3118">
        <v>356</v>
      </c>
      <c r="B360" s="3115" t="s">
        <v>5758</v>
      </c>
      <c r="C360" s="3115"/>
      <c r="D360" s="3115" t="s">
        <v>5757</v>
      </c>
      <c r="E360" s="3114">
        <v>127.04</v>
      </c>
      <c r="F360" s="3114">
        <v>11750</v>
      </c>
      <c r="G360" s="3114">
        <f t="shared" si="5"/>
        <v>1492720</v>
      </c>
    </row>
    <row r="361" spans="1:7" ht="15">
      <c r="A361" s="3118">
        <v>357</v>
      </c>
      <c r="B361" s="3115" t="s">
        <v>5756</v>
      </c>
      <c r="C361" s="3115"/>
      <c r="D361" s="3115" t="s">
        <v>5755</v>
      </c>
      <c r="E361" s="3114">
        <v>127.04</v>
      </c>
      <c r="F361" s="3114">
        <v>12100</v>
      </c>
      <c r="G361" s="3114">
        <f t="shared" si="5"/>
        <v>1537184</v>
      </c>
    </row>
    <row r="362" spans="1:7" ht="15">
      <c r="A362" s="3118">
        <v>358</v>
      </c>
      <c r="B362" s="3115" t="s">
        <v>5754</v>
      </c>
      <c r="C362" s="3115"/>
      <c r="D362" s="3115" t="s">
        <v>5753</v>
      </c>
      <c r="E362" s="3114">
        <v>127.04</v>
      </c>
      <c r="F362" s="3114">
        <v>12150</v>
      </c>
      <c r="G362" s="3114">
        <f t="shared" si="5"/>
        <v>1543536</v>
      </c>
    </row>
    <row r="363" spans="1:7" ht="15">
      <c r="A363" s="3118">
        <v>359</v>
      </c>
      <c r="B363" s="3115" t="s">
        <v>5752</v>
      </c>
      <c r="C363" s="3115"/>
      <c r="D363" s="3115" t="s">
        <v>5751</v>
      </c>
      <c r="E363" s="3114">
        <v>127.04</v>
      </c>
      <c r="F363" s="3114">
        <v>11200</v>
      </c>
      <c r="G363" s="3114">
        <f t="shared" si="5"/>
        <v>1422848</v>
      </c>
    </row>
    <row r="364" spans="1:7" ht="15">
      <c r="A364" s="3118">
        <v>360</v>
      </c>
      <c r="B364" s="3115" t="s">
        <v>5750</v>
      </c>
      <c r="C364" s="3115"/>
      <c r="D364" s="3115" t="s">
        <v>5749</v>
      </c>
      <c r="E364" s="3114">
        <v>127.04</v>
      </c>
      <c r="F364" s="3114">
        <v>12250</v>
      </c>
      <c r="G364" s="3114">
        <f t="shared" si="5"/>
        <v>1556240</v>
      </c>
    </row>
    <row r="365" spans="1:7" ht="15">
      <c r="A365" s="3118">
        <v>361</v>
      </c>
      <c r="B365" s="3115" t="s">
        <v>5748</v>
      </c>
      <c r="C365" s="3115"/>
      <c r="D365" s="3115" t="s">
        <v>5747</v>
      </c>
      <c r="E365" s="3114">
        <v>127.04</v>
      </c>
      <c r="F365" s="3114">
        <v>12300</v>
      </c>
      <c r="G365" s="3114">
        <f t="shared" si="5"/>
        <v>1562592</v>
      </c>
    </row>
    <row r="366" spans="1:7" ht="15">
      <c r="A366" s="3118">
        <v>362</v>
      </c>
      <c r="B366" s="3115" t="s">
        <v>5746</v>
      </c>
      <c r="C366" s="3115"/>
      <c r="D366" s="3115" t="s">
        <v>5745</v>
      </c>
      <c r="E366" s="3114">
        <v>127.04</v>
      </c>
      <c r="F366" s="3114">
        <v>12350</v>
      </c>
      <c r="G366" s="3114">
        <f t="shared" si="5"/>
        <v>1568944</v>
      </c>
    </row>
    <row r="367" spans="1:7" ht="15">
      <c r="A367" s="3118">
        <v>363</v>
      </c>
      <c r="B367" s="3115" t="s">
        <v>5744</v>
      </c>
      <c r="C367" s="3115"/>
      <c r="D367" s="3115" t="s">
        <v>5743</v>
      </c>
      <c r="E367" s="3114">
        <v>127.04</v>
      </c>
      <c r="F367" s="3114">
        <v>12400</v>
      </c>
      <c r="G367" s="3114">
        <f t="shared" si="5"/>
        <v>1575296</v>
      </c>
    </row>
    <row r="368" spans="1:7" ht="15">
      <c r="A368" s="3118">
        <v>364</v>
      </c>
      <c r="B368" s="3115" t="s">
        <v>5742</v>
      </c>
      <c r="C368" s="3115"/>
      <c r="D368" s="3115" t="s">
        <v>5741</v>
      </c>
      <c r="E368" s="3114">
        <v>127.04</v>
      </c>
      <c r="F368" s="3114">
        <v>12450</v>
      </c>
      <c r="G368" s="3114">
        <f t="shared" si="5"/>
        <v>1581648</v>
      </c>
    </row>
    <row r="369" spans="1:7" ht="15">
      <c r="A369" s="3118">
        <v>365</v>
      </c>
      <c r="B369" s="3115" t="s">
        <v>5740</v>
      </c>
      <c r="C369" s="3115"/>
      <c r="D369" s="3115" t="s">
        <v>5739</v>
      </c>
      <c r="E369" s="3114">
        <v>127.04</v>
      </c>
      <c r="F369" s="3114">
        <v>12450</v>
      </c>
      <c r="G369" s="3114">
        <f t="shared" si="5"/>
        <v>1581648</v>
      </c>
    </row>
    <row r="370" spans="1:7" ht="15">
      <c r="A370" s="3118">
        <v>366</v>
      </c>
      <c r="B370" s="3115" t="s">
        <v>5738</v>
      </c>
      <c r="C370" s="3115"/>
      <c r="D370" s="3115" t="s">
        <v>5737</v>
      </c>
      <c r="E370" s="3114">
        <v>127.04</v>
      </c>
      <c r="F370" s="3114">
        <v>12450</v>
      </c>
      <c r="G370" s="3114">
        <f t="shared" si="5"/>
        <v>1581648</v>
      </c>
    </row>
    <row r="371" spans="1:7" ht="15">
      <c r="A371" s="3118">
        <v>367</v>
      </c>
      <c r="B371" s="3115" t="s">
        <v>5736</v>
      </c>
      <c r="C371" s="3115"/>
      <c r="D371" s="3115" t="s">
        <v>5735</v>
      </c>
      <c r="E371" s="3114">
        <v>127.04</v>
      </c>
      <c r="F371" s="3114">
        <v>12480</v>
      </c>
      <c r="G371" s="3114">
        <f t="shared" si="5"/>
        <v>1585459.2000000002</v>
      </c>
    </row>
    <row r="372" spans="1:7" ht="15">
      <c r="A372" s="3118">
        <v>368</v>
      </c>
      <c r="B372" s="3115" t="s">
        <v>5734</v>
      </c>
      <c r="C372" s="3115"/>
      <c r="D372" s="3115" t="s">
        <v>5733</v>
      </c>
      <c r="E372" s="3114">
        <v>127.04</v>
      </c>
      <c r="F372" s="3114">
        <v>12480</v>
      </c>
      <c r="G372" s="3114">
        <f t="shared" si="5"/>
        <v>1585459.2000000002</v>
      </c>
    </row>
    <row r="373" spans="1:7" ht="15">
      <c r="A373" s="3118">
        <v>369</v>
      </c>
      <c r="B373" s="3115" t="s">
        <v>5732</v>
      </c>
      <c r="C373" s="3115"/>
      <c r="D373" s="3115" t="s">
        <v>5731</v>
      </c>
      <c r="E373" s="3114">
        <v>127.04</v>
      </c>
      <c r="F373" s="3114">
        <v>12510</v>
      </c>
      <c r="G373" s="3114">
        <f t="shared" si="5"/>
        <v>1589270.4000000001</v>
      </c>
    </row>
    <row r="374" spans="1:7" ht="15">
      <c r="A374" s="3118">
        <v>370</v>
      </c>
      <c r="B374" s="3115" t="s">
        <v>5730</v>
      </c>
      <c r="C374" s="3115"/>
      <c r="D374" s="3115" t="s">
        <v>5729</v>
      </c>
      <c r="E374" s="3114">
        <v>127.04</v>
      </c>
      <c r="F374" s="3114">
        <v>12510</v>
      </c>
      <c r="G374" s="3114">
        <f t="shared" si="5"/>
        <v>1589270.4000000001</v>
      </c>
    </row>
    <row r="375" spans="1:7" ht="15">
      <c r="A375" s="3118">
        <v>371</v>
      </c>
      <c r="B375" s="3115" t="s">
        <v>5728</v>
      </c>
      <c r="C375" s="3115"/>
      <c r="D375" s="3115" t="s">
        <v>5727</v>
      </c>
      <c r="E375" s="3114">
        <v>127.04</v>
      </c>
      <c r="F375" s="3114">
        <v>12510</v>
      </c>
      <c r="G375" s="3114">
        <f t="shared" si="5"/>
        <v>1589270.4000000001</v>
      </c>
    </row>
    <row r="376" spans="1:7" ht="15">
      <c r="A376" s="3118">
        <v>372</v>
      </c>
      <c r="B376" s="3115" t="s">
        <v>5726</v>
      </c>
      <c r="C376" s="3115"/>
      <c r="D376" s="3115" t="s">
        <v>5725</v>
      </c>
      <c r="E376" s="3114">
        <v>127.04</v>
      </c>
      <c r="F376" s="3114">
        <v>12510</v>
      </c>
      <c r="G376" s="3114">
        <f t="shared" si="5"/>
        <v>1589270.4000000001</v>
      </c>
    </row>
    <row r="377" spans="1:7" ht="15">
      <c r="A377" s="3118">
        <v>373</v>
      </c>
      <c r="B377" s="3115" t="s">
        <v>5724</v>
      </c>
      <c r="C377" s="3115"/>
      <c r="D377" s="3115" t="s">
        <v>5723</v>
      </c>
      <c r="E377" s="3114">
        <v>127.04</v>
      </c>
      <c r="F377" s="3114">
        <v>12450</v>
      </c>
      <c r="G377" s="3114">
        <f t="shared" si="5"/>
        <v>1581648</v>
      </c>
    </row>
    <row r="378" spans="1:7" ht="15">
      <c r="A378" s="3118">
        <v>374</v>
      </c>
      <c r="B378" s="3115" t="s">
        <v>5722</v>
      </c>
      <c r="C378" s="3115"/>
      <c r="D378" s="3115" t="s">
        <v>5721</v>
      </c>
      <c r="E378" s="3114">
        <v>127.04</v>
      </c>
      <c r="F378" s="3114">
        <v>12540</v>
      </c>
      <c r="G378" s="3114">
        <f t="shared" si="5"/>
        <v>1593081.6</v>
      </c>
    </row>
    <row r="379" spans="1:7" ht="15">
      <c r="A379" s="3118">
        <v>375</v>
      </c>
      <c r="B379" s="3115" t="s">
        <v>5720</v>
      </c>
      <c r="C379" s="3115"/>
      <c r="D379" s="3115" t="s">
        <v>5719</v>
      </c>
      <c r="E379" s="3114">
        <v>127.04</v>
      </c>
      <c r="F379" s="3114">
        <v>12540</v>
      </c>
      <c r="G379" s="3114">
        <f t="shared" si="5"/>
        <v>1593081.6</v>
      </c>
    </row>
    <row r="380" spans="1:7" s="3125" customFormat="1" ht="15">
      <c r="A380" s="3118">
        <v>376</v>
      </c>
      <c r="B380" s="3115" t="s">
        <v>5718</v>
      </c>
      <c r="C380" s="3115"/>
      <c r="D380" s="3115" t="s">
        <v>5717</v>
      </c>
      <c r="E380" s="3114">
        <v>127.04</v>
      </c>
      <c r="F380" s="3114">
        <v>12540</v>
      </c>
      <c r="G380" s="3114">
        <f t="shared" si="5"/>
        <v>1593081.6</v>
      </c>
    </row>
    <row r="381" spans="1:7" s="3125" customFormat="1" ht="15">
      <c r="A381" s="3118">
        <v>377</v>
      </c>
      <c r="B381" s="3115" t="s">
        <v>5716</v>
      </c>
      <c r="C381" s="3115"/>
      <c r="D381" s="3115" t="s">
        <v>5715</v>
      </c>
      <c r="E381" s="3114">
        <v>127.04</v>
      </c>
      <c r="F381" s="3114">
        <v>12540</v>
      </c>
      <c r="G381" s="3114">
        <f t="shared" si="5"/>
        <v>1593081.6</v>
      </c>
    </row>
    <row r="382" spans="1:7" s="3125" customFormat="1" ht="15">
      <c r="A382" s="3118">
        <v>378</v>
      </c>
      <c r="B382" s="3115" t="s">
        <v>5714</v>
      </c>
      <c r="C382" s="3115"/>
      <c r="D382" s="3115" t="s">
        <v>5713</v>
      </c>
      <c r="E382" s="3114">
        <v>127.04</v>
      </c>
      <c r="F382" s="3114">
        <v>12540</v>
      </c>
      <c r="G382" s="3114">
        <f t="shared" si="5"/>
        <v>1593081.6</v>
      </c>
    </row>
    <row r="383" spans="1:7" s="3125" customFormat="1" ht="15">
      <c r="A383" s="3118">
        <v>379</v>
      </c>
      <c r="B383" s="3115" t="s">
        <v>5712</v>
      </c>
      <c r="C383" s="3115"/>
      <c r="D383" s="3115" t="s">
        <v>5711</v>
      </c>
      <c r="E383" s="3114">
        <v>127.04</v>
      </c>
      <c r="F383" s="3114">
        <v>12540</v>
      </c>
      <c r="G383" s="3114">
        <f t="shared" si="5"/>
        <v>1593081.6</v>
      </c>
    </row>
    <row r="384" spans="1:7" s="3125" customFormat="1" ht="15">
      <c r="A384" s="3118">
        <v>380</v>
      </c>
      <c r="B384" s="3115" t="s">
        <v>5710</v>
      </c>
      <c r="C384" s="3115"/>
      <c r="D384" s="3115" t="s">
        <v>5709</v>
      </c>
      <c r="E384" s="3114">
        <v>127.04</v>
      </c>
      <c r="F384" s="3114">
        <v>12540</v>
      </c>
      <c r="G384" s="3114">
        <f t="shared" si="5"/>
        <v>1593081.6</v>
      </c>
    </row>
    <row r="385" spans="1:7" s="3125" customFormat="1" ht="15">
      <c r="A385" s="3118">
        <v>381</v>
      </c>
      <c r="B385" s="3115" t="s">
        <v>5708</v>
      </c>
      <c r="C385" s="3115"/>
      <c r="D385" s="3115" t="s">
        <v>5707</v>
      </c>
      <c r="E385" s="3114">
        <v>127.04</v>
      </c>
      <c r="F385" s="3114">
        <v>12540</v>
      </c>
      <c r="G385" s="3114">
        <f t="shared" si="5"/>
        <v>1593081.6</v>
      </c>
    </row>
    <row r="386" spans="1:7" s="3125" customFormat="1" ht="15">
      <c r="A386" s="3118">
        <v>382</v>
      </c>
      <c r="B386" s="3115" t="s">
        <v>5706</v>
      </c>
      <c r="C386" s="3115"/>
      <c r="D386" s="3115" t="s">
        <v>5705</v>
      </c>
      <c r="E386" s="3114">
        <v>104.77</v>
      </c>
      <c r="F386" s="3114">
        <v>11540</v>
      </c>
      <c r="G386" s="3114">
        <f t="shared" si="5"/>
        <v>1209045.8</v>
      </c>
    </row>
    <row r="387" spans="1:7" s="3125" customFormat="1" ht="15">
      <c r="A387" s="3118">
        <v>383</v>
      </c>
      <c r="B387" s="3115" t="s">
        <v>5704</v>
      </c>
      <c r="C387" s="3115"/>
      <c r="D387" s="3115" t="s">
        <v>5703</v>
      </c>
      <c r="E387" s="3114">
        <v>137.88</v>
      </c>
      <c r="F387" s="3114">
        <v>11150</v>
      </c>
      <c r="G387" s="3114">
        <f t="shared" si="5"/>
        <v>1537362</v>
      </c>
    </row>
    <row r="388" spans="1:7" s="3125" customFormat="1" ht="15">
      <c r="A388" s="3118">
        <v>384</v>
      </c>
      <c r="B388" s="3115" t="s">
        <v>5702</v>
      </c>
      <c r="C388" s="3115"/>
      <c r="D388" s="3115" t="s">
        <v>5701</v>
      </c>
      <c r="E388" s="3114">
        <v>137.88</v>
      </c>
      <c r="F388" s="3114">
        <v>11350</v>
      </c>
      <c r="G388" s="3114">
        <f t="shared" si="5"/>
        <v>1564938</v>
      </c>
    </row>
    <row r="389" spans="1:7" s="3125" customFormat="1" ht="15">
      <c r="A389" s="3118">
        <v>385</v>
      </c>
      <c r="B389" s="3115" t="s">
        <v>5700</v>
      </c>
      <c r="C389" s="3115"/>
      <c r="D389" s="3115"/>
      <c r="E389" s="3114">
        <v>137.88</v>
      </c>
      <c r="F389" s="3114">
        <v>11800</v>
      </c>
      <c r="G389" s="3114">
        <f t="shared" ref="G389:G452" si="6">E389*F389</f>
        <v>1626984</v>
      </c>
    </row>
    <row r="390" spans="1:7" s="3125" customFormat="1" ht="15">
      <c r="A390" s="3118">
        <v>386</v>
      </c>
      <c r="B390" s="3115" t="s">
        <v>5699</v>
      </c>
      <c r="C390" s="3115"/>
      <c r="D390" s="3115" t="s">
        <v>5698</v>
      </c>
      <c r="E390" s="3114">
        <v>137.88</v>
      </c>
      <c r="F390" s="3114">
        <v>12150</v>
      </c>
      <c r="G390" s="3114">
        <f t="shared" si="6"/>
        <v>1675242</v>
      </c>
    </row>
    <row r="391" spans="1:7" s="3125" customFormat="1" ht="15">
      <c r="A391" s="3118">
        <v>387</v>
      </c>
      <c r="B391" s="3115" t="s">
        <v>5697</v>
      </c>
      <c r="C391" s="3115"/>
      <c r="D391" s="3115" t="s">
        <v>5696</v>
      </c>
      <c r="E391" s="3114">
        <v>137.88</v>
      </c>
      <c r="F391" s="3114">
        <v>12200</v>
      </c>
      <c r="G391" s="3114">
        <f t="shared" si="6"/>
        <v>1682136</v>
      </c>
    </row>
    <row r="392" spans="1:7" s="3125" customFormat="1" ht="15">
      <c r="A392" s="3118">
        <v>388</v>
      </c>
      <c r="B392" s="3115" t="s">
        <v>5695</v>
      </c>
      <c r="C392" s="3115"/>
      <c r="D392" s="3115" t="s">
        <v>5694</v>
      </c>
      <c r="E392" s="3114">
        <v>137.88</v>
      </c>
      <c r="F392" s="3114">
        <v>12250</v>
      </c>
      <c r="G392" s="3114">
        <f t="shared" si="6"/>
        <v>1689030</v>
      </c>
    </row>
    <row r="393" spans="1:7" s="3125" customFormat="1" ht="15">
      <c r="A393" s="3118">
        <v>389</v>
      </c>
      <c r="B393" s="3115" t="s">
        <v>5693</v>
      </c>
      <c r="C393" s="3115"/>
      <c r="D393" s="3115" t="s">
        <v>5692</v>
      </c>
      <c r="E393" s="3114">
        <v>137.88</v>
      </c>
      <c r="F393" s="3114">
        <v>12300</v>
      </c>
      <c r="G393" s="3114">
        <f t="shared" si="6"/>
        <v>1695924</v>
      </c>
    </row>
    <row r="394" spans="1:7" s="3125" customFormat="1" ht="15">
      <c r="A394" s="3118">
        <v>390</v>
      </c>
      <c r="B394" s="3115" t="s">
        <v>5691</v>
      </c>
      <c r="C394" s="3115"/>
      <c r="D394" s="3115" t="s">
        <v>5690</v>
      </c>
      <c r="E394" s="3114">
        <v>137.88</v>
      </c>
      <c r="F394" s="3114">
        <v>12350</v>
      </c>
      <c r="G394" s="3114">
        <f t="shared" si="6"/>
        <v>1702818</v>
      </c>
    </row>
    <row r="395" spans="1:7" s="3125" customFormat="1" ht="15">
      <c r="A395" s="3118">
        <v>391</v>
      </c>
      <c r="B395" s="3115" t="s">
        <v>5689</v>
      </c>
      <c r="C395" s="3115"/>
      <c r="D395" s="3115" t="s">
        <v>5688</v>
      </c>
      <c r="E395" s="3114">
        <v>137.88</v>
      </c>
      <c r="F395" s="3114">
        <v>12400</v>
      </c>
      <c r="G395" s="3114">
        <f t="shared" si="6"/>
        <v>1709712</v>
      </c>
    </row>
    <row r="396" spans="1:7" s="3125" customFormat="1" ht="15">
      <c r="A396" s="3118">
        <v>392</v>
      </c>
      <c r="B396" s="3115" t="s">
        <v>5687</v>
      </c>
      <c r="C396" s="3115"/>
      <c r="D396" s="3115" t="s">
        <v>5686</v>
      </c>
      <c r="E396" s="3114">
        <v>137.88</v>
      </c>
      <c r="F396" s="3114">
        <v>12450</v>
      </c>
      <c r="G396" s="3114">
        <f t="shared" si="6"/>
        <v>1716606</v>
      </c>
    </row>
    <row r="397" spans="1:7" s="3125" customFormat="1" ht="15">
      <c r="A397" s="3118">
        <v>393</v>
      </c>
      <c r="B397" s="3115" t="s">
        <v>5685</v>
      </c>
      <c r="C397" s="3115"/>
      <c r="D397" s="3115" t="s">
        <v>5684</v>
      </c>
      <c r="E397" s="3114">
        <v>137.88</v>
      </c>
      <c r="F397" s="3114">
        <v>12500</v>
      </c>
      <c r="G397" s="3114">
        <f t="shared" si="6"/>
        <v>1723500</v>
      </c>
    </row>
    <row r="398" spans="1:7" s="3125" customFormat="1" ht="15">
      <c r="A398" s="3118">
        <v>394</v>
      </c>
      <c r="B398" s="3115" t="s">
        <v>5683</v>
      </c>
      <c r="C398" s="3115"/>
      <c r="D398" s="3115" t="s">
        <v>5682</v>
      </c>
      <c r="E398" s="3114">
        <v>137.88</v>
      </c>
      <c r="F398" s="3114">
        <v>12500</v>
      </c>
      <c r="G398" s="3114">
        <f t="shared" si="6"/>
        <v>1723500</v>
      </c>
    </row>
    <row r="399" spans="1:7" s="3125" customFormat="1" ht="15">
      <c r="A399" s="3118">
        <v>395</v>
      </c>
      <c r="B399" s="3115" t="s">
        <v>5681</v>
      </c>
      <c r="C399" s="3115"/>
      <c r="D399" s="3115" t="s">
        <v>5680</v>
      </c>
      <c r="E399" s="3114">
        <v>137.88</v>
      </c>
      <c r="F399" s="3114">
        <v>12500</v>
      </c>
      <c r="G399" s="3114">
        <f t="shared" si="6"/>
        <v>1723500</v>
      </c>
    </row>
    <row r="400" spans="1:7" s="3125" customFormat="1" ht="15">
      <c r="A400" s="3118">
        <v>396</v>
      </c>
      <c r="B400" s="3115" t="s">
        <v>5679</v>
      </c>
      <c r="C400" s="3115"/>
      <c r="D400" s="3115" t="s">
        <v>5678</v>
      </c>
      <c r="E400" s="3114">
        <v>137.88</v>
      </c>
      <c r="F400" s="3114">
        <v>12530</v>
      </c>
      <c r="G400" s="3114">
        <f t="shared" si="6"/>
        <v>1727636.4</v>
      </c>
    </row>
    <row r="401" spans="1:7" s="3125" customFormat="1" ht="15">
      <c r="A401" s="3118">
        <v>397</v>
      </c>
      <c r="B401" s="3115" t="s">
        <v>5677</v>
      </c>
      <c r="C401" s="3115"/>
      <c r="D401" s="3115" t="s">
        <v>5676</v>
      </c>
      <c r="E401" s="3114">
        <v>137.88</v>
      </c>
      <c r="F401" s="3114">
        <v>12530</v>
      </c>
      <c r="G401" s="3114">
        <f t="shared" si="6"/>
        <v>1727636.4</v>
      </c>
    </row>
    <row r="402" spans="1:7" s="3125" customFormat="1" ht="15">
      <c r="A402" s="3118">
        <v>398</v>
      </c>
      <c r="B402" s="3115" t="s">
        <v>5675</v>
      </c>
      <c r="C402" s="3115"/>
      <c r="D402" s="3115" t="s">
        <v>5674</v>
      </c>
      <c r="E402" s="3114">
        <v>137.88</v>
      </c>
      <c r="F402" s="3114">
        <v>12560</v>
      </c>
      <c r="G402" s="3114">
        <f t="shared" si="6"/>
        <v>1731772.8</v>
      </c>
    </row>
    <row r="403" spans="1:7" s="3125" customFormat="1" ht="15">
      <c r="A403" s="3118">
        <v>399</v>
      </c>
      <c r="B403" s="3115" t="s">
        <v>5673</v>
      </c>
      <c r="C403" s="3115"/>
      <c r="D403" s="3115" t="s">
        <v>5672</v>
      </c>
      <c r="E403" s="3114">
        <v>137.88</v>
      </c>
      <c r="F403" s="3114">
        <v>12560</v>
      </c>
      <c r="G403" s="3114">
        <f t="shared" si="6"/>
        <v>1731772.8</v>
      </c>
    </row>
    <row r="404" spans="1:7" s="3125" customFormat="1" ht="15">
      <c r="A404" s="3118">
        <v>400</v>
      </c>
      <c r="B404" s="3115" t="s">
        <v>5671</v>
      </c>
      <c r="C404" s="3115"/>
      <c r="D404" s="3115" t="s">
        <v>5670</v>
      </c>
      <c r="E404" s="3114">
        <v>137.88</v>
      </c>
      <c r="F404" s="3114">
        <v>12560</v>
      </c>
      <c r="G404" s="3114">
        <f t="shared" si="6"/>
        <v>1731772.8</v>
      </c>
    </row>
    <row r="405" spans="1:7" s="3125" customFormat="1" ht="15">
      <c r="A405" s="3118">
        <v>401</v>
      </c>
      <c r="B405" s="3115" t="s">
        <v>5669</v>
      </c>
      <c r="C405" s="3115"/>
      <c r="D405" s="3115" t="s">
        <v>5668</v>
      </c>
      <c r="E405" s="3114">
        <v>137.88</v>
      </c>
      <c r="F405" s="3114">
        <v>12560</v>
      </c>
      <c r="G405" s="3114">
        <f t="shared" si="6"/>
        <v>1731772.8</v>
      </c>
    </row>
    <row r="406" spans="1:7" s="3125" customFormat="1" ht="15">
      <c r="A406" s="3118">
        <v>402</v>
      </c>
      <c r="B406" s="3115" t="s">
        <v>5667</v>
      </c>
      <c r="C406" s="3115"/>
      <c r="D406" s="3115" t="s">
        <v>5666</v>
      </c>
      <c r="E406" s="3114">
        <v>137.88</v>
      </c>
      <c r="F406" s="3114">
        <v>12590</v>
      </c>
      <c r="G406" s="3114">
        <f t="shared" si="6"/>
        <v>1735909.2</v>
      </c>
    </row>
    <row r="407" spans="1:7" ht="15">
      <c r="A407" s="3118">
        <v>403</v>
      </c>
      <c r="B407" s="3115" t="s">
        <v>5665</v>
      </c>
      <c r="C407" s="3115"/>
      <c r="D407" s="3115" t="s">
        <v>5664</v>
      </c>
      <c r="E407" s="3114">
        <v>137.88</v>
      </c>
      <c r="F407" s="3114">
        <v>12590</v>
      </c>
      <c r="G407" s="3114">
        <f t="shared" si="6"/>
        <v>1735909.2</v>
      </c>
    </row>
    <row r="408" spans="1:7" ht="15">
      <c r="A408" s="3118">
        <v>404</v>
      </c>
      <c r="B408" s="3115" t="s">
        <v>5663</v>
      </c>
      <c r="C408" s="3115"/>
      <c r="D408" s="3115" t="s">
        <v>5662</v>
      </c>
      <c r="E408" s="3114">
        <v>137.88</v>
      </c>
      <c r="F408" s="3114">
        <v>12560</v>
      </c>
      <c r="G408" s="3114">
        <f t="shared" si="6"/>
        <v>1731772.8</v>
      </c>
    </row>
    <row r="409" spans="1:7" s="3125" customFormat="1" ht="15">
      <c r="A409" s="3118">
        <v>405</v>
      </c>
      <c r="B409" s="3115" t="s">
        <v>5661</v>
      </c>
      <c r="C409" s="3115"/>
      <c r="D409" s="3115" t="s">
        <v>5660</v>
      </c>
      <c r="E409" s="3114">
        <v>137.88</v>
      </c>
      <c r="F409" s="3114">
        <v>12560</v>
      </c>
      <c r="G409" s="3114">
        <f t="shared" si="6"/>
        <v>1731772.8</v>
      </c>
    </row>
    <row r="410" spans="1:7" s="3125" customFormat="1" ht="15">
      <c r="A410" s="3118">
        <v>406</v>
      </c>
      <c r="B410" s="3115" t="s">
        <v>5659</v>
      </c>
      <c r="C410" s="3115"/>
      <c r="D410" s="3115" t="s">
        <v>5658</v>
      </c>
      <c r="E410" s="3114">
        <v>137.88</v>
      </c>
      <c r="F410" s="3114">
        <v>12560</v>
      </c>
      <c r="G410" s="3114">
        <f t="shared" si="6"/>
        <v>1731772.8</v>
      </c>
    </row>
    <row r="411" spans="1:7" s="3125" customFormat="1" ht="15">
      <c r="A411" s="3118">
        <v>407</v>
      </c>
      <c r="B411" s="3115" t="s">
        <v>5657</v>
      </c>
      <c r="C411" s="3115"/>
      <c r="D411" s="3115" t="s">
        <v>5656</v>
      </c>
      <c r="E411" s="3114">
        <v>137.88</v>
      </c>
      <c r="F411" s="3114">
        <v>12560</v>
      </c>
      <c r="G411" s="3114">
        <f t="shared" si="6"/>
        <v>1731772.8</v>
      </c>
    </row>
    <row r="412" spans="1:7" s="3125" customFormat="1" ht="15">
      <c r="A412" s="3118">
        <v>408</v>
      </c>
      <c r="B412" s="3115" t="s">
        <v>5655</v>
      </c>
      <c r="C412" s="3115"/>
      <c r="D412" s="3115" t="s">
        <v>5654</v>
      </c>
      <c r="E412" s="3114">
        <v>137.88</v>
      </c>
      <c r="F412" s="3114">
        <v>12560</v>
      </c>
      <c r="G412" s="3114">
        <f t="shared" si="6"/>
        <v>1731772.8</v>
      </c>
    </row>
    <row r="413" spans="1:7" s="3125" customFormat="1" ht="15">
      <c r="A413" s="3118">
        <v>409</v>
      </c>
      <c r="B413" s="3115" t="s">
        <v>5653</v>
      </c>
      <c r="C413" s="3115"/>
      <c r="D413" s="3115" t="s">
        <v>5652</v>
      </c>
      <c r="E413" s="3114">
        <v>137.88</v>
      </c>
      <c r="F413" s="3114">
        <v>12560</v>
      </c>
      <c r="G413" s="3114">
        <f t="shared" si="6"/>
        <v>1731772.8</v>
      </c>
    </row>
    <row r="414" spans="1:7" s="3125" customFormat="1" ht="15">
      <c r="A414" s="3118">
        <v>410</v>
      </c>
      <c r="B414" s="3115" t="s">
        <v>5651</v>
      </c>
      <c r="C414" s="3115"/>
      <c r="D414" s="3115" t="s">
        <v>5650</v>
      </c>
      <c r="E414" s="3114">
        <v>137.88</v>
      </c>
      <c r="F414" s="3114">
        <v>12560</v>
      </c>
      <c r="G414" s="3114">
        <f t="shared" si="6"/>
        <v>1731772.8</v>
      </c>
    </row>
    <row r="415" spans="1:7" s="3125" customFormat="1" ht="15">
      <c r="A415" s="3118">
        <v>411</v>
      </c>
      <c r="B415" s="3115" t="s">
        <v>5649</v>
      </c>
      <c r="C415" s="3115"/>
      <c r="D415" s="3115" t="s">
        <v>5648</v>
      </c>
      <c r="E415" s="3114">
        <v>123.76</v>
      </c>
      <c r="F415" s="3114">
        <v>12060</v>
      </c>
      <c r="G415" s="3114">
        <f t="shared" si="6"/>
        <v>1492545.6</v>
      </c>
    </row>
    <row r="416" spans="1:7" s="3125" customFormat="1" ht="15">
      <c r="A416" s="3118">
        <v>412</v>
      </c>
      <c r="B416" s="3115" t="s">
        <v>5647</v>
      </c>
      <c r="C416" s="3115"/>
      <c r="D416" s="3115" t="s">
        <v>5646</v>
      </c>
      <c r="E416" s="3114">
        <v>88.06</v>
      </c>
      <c r="F416" s="3114">
        <v>11250</v>
      </c>
      <c r="G416" s="3114">
        <f t="shared" si="6"/>
        <v>990675</v>
      </c>
    </row>
    <row r="417" spans="1:7" s="3125" customFormat="1" ht="15">
      <c r="A417" s="3118">
        <v>413</v>
      </c>
      <c r="B417" s="3115" t="s">
        <v>5645</v>
      </c>
      <c r="C417" s="3115"/>
      <c r="D417" s="3115" t="s">
        <v>5644</v>
      </c>
      <c r="E417" s="3114">
        <v>88.06</v>
      </c>
      <c r="F417" s="3114">
        <v>11450</v>
      </c>
      <c r="G417" s="3114">
        <f t="shared" si="6"/>
        <v>1008287</v>
      </c>
    </row>
    <row r="418" spans="1:7" s="3125" customFormat="1" ht="15">
      <c r="A418" s="3118">
        <v>414</v>
      </c>
      <c r="B418" s="3115" t="s">
        <v>5643</v>
      </c>
      <c r="C418" s="3115"/>
      <c r="D418" s="3115" t="s">
        <v>5642</v>
      </c>
      <c r="E418" s="3114">
        <v>88.06</v>
      </c>
      <c r="F418" s="3114">
        <v>11900</v>
      </c>
      <c r="G418" s="3114">
        <f t="shared" si="6"/>
        <v>1047914</v>
      </c>
    </row>
    <row r="419" spans="1:7" s="3125" customFormat="1" ht="15">
      <c r="A419" s="3118">
        <v>415</v>
      </c>
      <c r="B419" s="3115" t="s">
        <v>5641</v>
      </c>
      <c r="C419" s="3115"/>
      <c r="D419" s="3115" t="s">
        <v>5640</v>
      </c>
      <c r="E419" s="3114">
        <v>88.06</v>
      </c>
      <c r="F419" s="3114">
        <v>12250</v>
      </c>
      <c r="G419" s="3114">
        <f t="shared" si="6"/>
        <v>1078735</v>
      </c>
    </row>
    <row r="420" spans="1:7" s="3125" customFormat="1" ht="15">
      <c r="A420" s="3118">
        <v>416</v>
      </c>
      <c r="B420" s="3115" t="s">
        <v>5639</v>
      </c>
      <c r="C420" s="3115"/>
      <c r="D420" s="3115" t="s">
        <v>5638</v>
      </c>
      <c r="E420" s="3114">
        <v>88.06</v>
      </c>
      <c r="F420" s="3114">
        <v>12300</v>
      </c>
      <c r="G420" s="3114">
        <f t="shared" si="6"/>
        <v>1083138</v>
      </c>
    </row>
    <row r="421" spans="1:7" s="3125" customFormat="1" ht="15">
      <c r="A421" s="3118">
        <v>417</v>
      </c>
      <c r="B421" s="3115" t="s">
        <v>5637</v>
      </c>
      <c r="C421" s="3115"/>
      <c r="D421" s="3115" t="s">
        <v>5636</v>
      </c>
      <c r="E421" s="3114">
        <v>88.06</v>
      </c>
      <c r="F421" s="3114">
        <v>12350</v>
      </c>
      <c r="G421" s="3114">
        <f t="shared" si="6"/>
        <v>1087541</v>
      </c>
    </row>
    <row r="422" spans="1:7" s="3125" customFormat="1" ht="15">
      <c r="A422" s="3118">
        <v>418</v>
      </c>
      <c r="B422" s="3115" t="s">
        <v>5635</v>
      </c>
      <c r="C422" s="3115"/>
      <c r="D422" s="3115" t="s">
        <v>5634</v>
      </c>
      <c r="E422" s="3114">
        <v>88.06</v>
      </c>
      <c r="F422" s="3114">
        <v>12400</v>
      </c>
      <c r="G422" s="3114">
        <f t="shared" si="6"/>
        <v>1091944</v>
      </c>
    </row>
    <row r="423" spans="1:7" s="3125" customFormat="1" ht="15">
      <c r="A423" s="3118">
        <v>419</v>
      </c>
      <c r="B423" s="3115" t="s">
        <v>5633</v>
      </c>
      <c r="C423" s="3115"/>
      <c r="D423" s="3115" t="s">
        <v>5632</v>
      </c>
      <c r="E423" s="3114">
        <v>88.06</v>
      </c>
      <c r="F423" s="3114">
        <v>12450</v>
      </c>
      <c r="G423" s="3114">
        <f t="shared" si="6"/>
        <v>1096347</v>
      </c>
    </row>
    <row r="424" spans="1:7" s="3125" customFormat="1" ht="15">
      <c r="A424" s="3118">
        <v>420</v>
      </c>
      <c r="B424" s="3115" t="s">
        <v>5631</v>
      </c>
      <c r="C424" s="3115"/>
      <c r="D424" s="3115" t="s">
        <v>5630</v>
      </c>
      <c r="E424" s="3114">
        <v>88.06</v>
      </c>
      <c r="F424" s="3114">
        <v>12500</v>
      </c>
      <c r="G424" s="3114">
        <f t="shared" si="6"/>
        <v>1100750</v>
      </c>
    </row>
    <row r="425" spans="1:7" s="3125" customFormat="1" ht="15">
      <c r="A425" s="3118">
        <v>421</v>
      </c>
      <c r="B425" s="3115" t="s">
        <v>5629</v>
      </c>
      <c r="C425" s="3115"/>
      <c r="D425" s="3115" t="s">
        <v>5628</v>
      </c>
      <c r="E425" s="3114">
        <v>88.06</v>
      </c>
      <c r="F425" s="3114">
        <v>12550</v>
      </c>
      <c r="G425" s="3114">
        <f t="shared" si="6"/>
        <v>1105153</v>
      </c>
    </row>
    <row r="426" spans="1:7" s="3125" customFormat="1" ht="15">
      <c r="A426" s="3118">
        <v>422</v>
      </c>
      <c r="B426" s="3115" t="s">
        <v>5627</v>
      </c>
      <c r="C426" s="3115"/>
      <c r="D426" s="3115" t="s">
        <v>5626</v>
      </c>
      <c r="E426" s="3114">
        <v>88.06</v>
      </c>
      <c r="F426" s="3114">
        <v>12600</v>
      </c>
      <c r="G426" s="3114">
        <f t="shared" si="6"/>
        <v>1109556</v>
      </c>
    </row>
    <row r="427" spans="1:7" s="3125" customFormat="1" ht="15">
      <c r="A427" s="3118">
        <v>423</v>
      </c>
      <c r="B427" s="3115" t="s">
        <v>5625</v>
      </c>
      <c r="C427" s="3115"/>
      <c r="D427" s="3115" t="s">
        <v>5624</v>
      </c>
      <c r="E427" s="3114">
        <v>88.06</v>
      </c>
      <c r="F427" s="3114">
        <v>12600</v>
      </c>
      <c r="G427" s="3114">
        <f t="shared" si="6"/>
        <v>1109556</v>
      </c>
    </row>
    <row r="428" spans="1:7" s="3125" customFormat="1" ht="15">
      <c r="A428" s="3118">
        <v>424</v>
      </c>
      <c r="B428" s="3115" t="s">
        <v>5623</v>
      </c>
      <c r="C428" s="3115"/>
      <c r="D428" s="3115" t="s">
        <v>5622</v>
      </c>
      <c r="E428" s="3114">
        <v>88.06</v>
      </c>
      <c r="F428" s="3114">
        <v>12600</v>
      </c>
      <c r="G428" s="3114">
        <f t="shared" si="6"/>
        <v>1109556</v>
      </c>
    </row>
    <row r="429" spans="1:7" s="3125" customFormat="1" ht="15">
      <c r="A429" s="3118">
        <v>425</v>
      </c>
      <c r="B429" s="3115" t="s">
        <v>5621</v>
      </c>
      <c r="C429" s="3115"/>
      <c r="D429" s="3115" t="s">
        <v>5620</v>
      </c>
      <c r="E429" s="3114">
        <v>88.06</v>
      </c>
      <c r="F429" s="3114">
        <v>12630</v>
      </c>
      <c r="G429" s="3114">
        <f t="shared" si="6"/>
        <v>1112197.8</v>
      </c>
    </row>
    <row r="430" spans="1:7" s="3125" customFormat="1" ht="15">
      <c r="A430" s="3118">
        <v>426</v>
      </c>
      <c r="B430" s="3115" t="s">
        <v>5619</v>
      </c>
      <c r="C430" s="3115"/>
      <c r="D430" s="3115" t="s">
        <v>5618</v>
      </c>
      <c r="E430" s="3114">
        <v>88.06</v>
      </c>
      <c r="F430" s="3114">
        <v>12630</v>
      </c>
      <c r="G430" s="3114">
        <f t="shared" si="6"/>
        <v>1112197.8</v>
      </c>
    </row>
    <row r="431" spans="1:7" ht="15">
      <c r="A431" s="3118">
        <v>427</v>
      </c>
      <c r="B431" s="3115" t="s">
        <v>5617</v>
      </c>
      <c r="C431" s="3115"/>
      <c r="D431" s="3115" t="s">
        <v>5616</v>
      </c>
      <c r="E431" s="3114">
        <v>88.06</v>
      </c>
      <c r="F431" s="3114">
        <v>12660</v>
      </c>
      <c r="G431" s="3114">
        <f t="shared" si="6"/>
        <v>1114839.6000000001</v>
      </c>
    </row>
    <row r="432" spans="1:7" ht="15">
      <c r="A432" s="3118">
        <v>428</v>
      </c>
      <c r="B432" s="3115" t="s">
        <v>5615</v>
      </c>
      <c r="C432" s="3115"/>
      <c r="D432" s="3115" t="s">
        <v>5614</v>
      </c>
      <c r="E432" s="3114">
        <v>88.06</v>
      </c>
      <c r="F432" s="3114">
        <v>12660</v>
      </c>
      <c r="G432" s="3114">
        <f t="shared" si="6"/>
        <v>1114839.6000000001</v>
      </c>
    </row>
    <row r="433" spans="1:7" ht="15">
      <c r="A433" s="3118">
        <v>429</v>
      </c>
      <c r="B433" s="3115" t="s">
        <v>5613</v>
      </c>
      <c r="C433" s="3115"/>
      <c r="D433" s="3115" t="s">
        <v>5612</v>
      </c>
      <c r="E433" s="3114">
        <v>88.06</v>
      </c>
      <c r="F433" s="3114">
        <v>12660</v>
      </c>
      <c r="G433" s="3114">
        <f t="shared" si="6"/>
        <v>1114839.6000000001</v>
      </c>
    </row>
    <row r="434" spans="1:7" ht="15">
      <c r="A434" s="3118">
        <v>430</v>
      </c>
      <c r="B434" s="3115" t="s">
        <v>5611</v>
      </c>
      <c r="C434" s="3115"/>
      <c r="D434" s="3115" t="s">
        <v>5610</v>
      </c>
      <c r="E434" s="3114">
        <v>88.06</v>
      </c>
      <c r="F434" s="3114">
        <v>12660</v>
      </c>
      <c r="G434" s="3114">
        <f t="shared" si="6"/>
        <v>1114839.6000000001</v>
      </c>
    </row>
    <row r="435" spans="1:7" ht="15">
      <c r="A435" s="3118">
        <v>431</v>
      </c>
      <c r="B435" s="3115" t="s">
        <v>5609</v>
      </c>
      <c r="C435" s="3115"/>
      <c r="D435" s="3115" t="s">
        <v>5608</v>
      </c>
      <c r="E435" s="3114">
        <v>88.06</v>
      </c>
      <c r="F435" s="3114">
        <v>12690</v>
      </c>
      <c r="G435" s="3114">
        <f t="shared" si="6"/>
        <v>1117481.4000000001</v>
      </c>
    </row>
    <row r="436" spans="1:7" ht="15">
      <c r="A436" s="3118">
        <v>432</v>
      </c>
      <c r="B436" s="3115" t="s">
        <v>5607</v>
      </c>
      <c r="C436" s="3115"/>
      <c r="D436" s="3115" t="s">
        <v>5606</v>
      </c>
      <c r="E436" s="3114">
        <v>88.06</v>
      </c>
      <c r="F436" s="3114">
        <v>12690</v>
      </c>
      <c r="G436" s="3114">
        <f t="shared" si="6"/>
        <v>1117481.4000000001</v>
      </c>
    </row>
    <row r="437" spans="1:7" s="3125" customFormat="1" ht="15">
      <c r="A437" s="3118">
        <v>433</v>
      </c>
      <c r="B437" s="3115" t="s">
        <v>5605</v>
      </c>
      <c r="C437" s="3115"/>
      <c r="D437" s="3115" t="s">
        <v>5604</v>
      </c>
      <c r="E437" s="3114">
        <v>88.06</v>
      </c>
      <c r="F437" s="3114">
        <v>12660</v>
      </c>
      <c r="G437" s="3114">
        <f t="shared" si="6"/>
        <v>1114839.6000000001</v>
      </c>
    </row>
    <row r="438" spans="1:7" s="3125" customFormat="1" ht="15">
      <c r="A438" s="3118">
        <v>434</v>
      </c>
      <c r="B438" s="3115" t="s">
        <v>5603</v>
      </c>
      <c r="C438" s="3115"/>
      <c r="D438" s="3115" t="s">
        <v>5602</v>
      </c>
      <c r="E438" s="3114">
        <v>88.06</v>
      </c>
      <c r="F438" s="3114">
        <v>12660</v>
      </c>
      <c r="G438" s="3114">
        <f t="shared" si="6"/>
        <v>1114839.6000000001</v>
      </c>
    </row>
    <row r="439" spans="1:7" s="3125" customFormat="1" ht="15">
      <c r="A439" s="3118">
        <v>435</v>
      </c>
      <c r="B439" s="3115" t="s">
        <v>5601</v>
      </c>
      <c r="C439" s="3115"/>
      <c r="D439" s="3115" t="s">
        <v>5600</v>
      </c>
      <c r="E439" s="3114">
        <v>88.06</v>
      </c>
      <c r="F439" s="3114">
        <v>12660</v>
      </c>
      <c r="G439" s="3114">
        <f t="shared" si="6"/>
        <v>1114839.6000000001</v>
      </c>
    </row>
    <row r="440" spans="1:7" s="3125" customFormat="1" ht="15">
      <c r="A440" s="3118">
        <v>436</v>
      </c>
      <c r="B440" s="3115" t="s">
        <v>5599</v>
      </c>
      <c r="C440" s="3115"/>
      <c r="D440" s="3115" t="s">
        <v>5598</v>
      </c>
      <c r="E440" s="3114">
        <v>88.06</v>
      </c>
      <c r="F440" s="3114">
        <v>12660</v>
      </c>
      <c r="G440" s="3114">
        <f t="shared" si="6"/>
        <v>1114839.6000000001</v>
      </c>
    </row>
    <row r="441" spans="1:7" s="3125" customFormat="1" ht="15">
      <c r="A441" s="3118">
        <v>437</v>
      </c>
      <c r="B441" s="3115" t="s">
        <v>5597</v>
      </c>
      <c r="C441" s="3115"/>
      <c r="D441" s="3115" t="s">
        <v>5596</v>
      </c>
      <c r="E441" s="3114">
        <v>88.06</v>
      </c>
      <c r="F441" s="3114">
        <v>12660</v>
      </c>
      <c r="G441" s="3114">
        <f t="shared" si="6"/>
        <v>1114839.6000000001</v>
      </c>
    </row>
    <row r="442" spans="1:7" s="3125" customFormat="1" ht="15">
      <c r="A442" s="3118">
        <v>438</v>
      </c>
      <c r="B442" s="3115" t="s">
        <v>5595</v>
      </c>
      <c r="C442" s="3115"/>
      <c r="D442" s="3115" t="s">
        <v>5594</v>
      </c>
      <c r="E442" s="3114">
        <v>88.06</v>
      </c>
      <c r="F442" s="3114">
        <v>12660</v>
      </c>
      <c r="G442" s="3114">
        <f t="shared" si="6"/>
        <v>1114839.6000000001</v>
      </c>
    </row>
    <row r="443" spans="1:7" s="3125" customFormat="1" ht="15">
      <c r="A443" s="3118">
        <v>439</v>
      </c>
      <c r="B443" s="3115" t="s">
        <v>5593</v>
      </c>
      <c r="C443" s="3115"/>
      <c r="D443" s="3115" t="s">
        <v>5592</v>
      </c>
      <c r="E443" s="3114">
        <v>88.06</v>
      </c>
      <c r="F443" s="3114">
        <v>12660</v>
      </c>
      <c r="G443" s="3114">
        <f t="shared" si="6"/>
        <v>1114839.6000000001</v>
      </c>
    </row>
    <row r="444" spans="1:7" s="3125" customFormat="1" ht="15">
      <c r="A444" s="3118">
        <v>440</v>
      </c>
      <c r="B444" s="3115" t="s">
        <v>5591</v>
      </c>
      <c r="C444" s="3115"/>
      <c r="D444" s="3115" t="s">
        <v>5590</v>
      </c>
      <c r="E444" s="3114">
        <v>88.06</v>
      </c>
      <c r="F444" s="3114">
        <v>12160</v>
      </c>
      <c r="G444" s="3114">
        <f t="shared" si="6"/>
        <v>1070809.6000000001</v>
      </c>
    </row>
    <row r="445" spans="1:7" s="3125" customFormat="1" ht="15">
      <c r="A445" s="3118">
        <v>441</v>
      </c>
      <c r="B445" s="3115" t="s">
        <v>5589</v>
      </c>
      <c r="C445" s="3115"/>
      <c r="D445" s="3115" t="s">
        <v>5588</v>
      </c>
      <c r="E445" s="3114">
        <v>88.19</v>
      </c>
      <c r="F445" s="3114">
        <v>11250</v>
      </c>
      <c r="G445" s="3114">
        <f t="shared" si="6"/>
        <v>992137.5</v>
      </c>
    </row>
    <row r="446" spans="1:7" s="3125" customFormat="1" ht="15">
      <c r="A446" s="3118">
        <v>442</v>
      </c>
      <c r="B446" s="3115" t="s">
        <v>5587</v>
      </c>
      <c r="C446" s="3115"/>
      <c r="D446" s="3115" t="s">
        <v>5586</v>
      </c>
      <c r="E446" s="3114">
        <v>88.19</v>
      </c>
      <c r="F446" s="3114">
        <v>11450</v>
      </c>
      <c r="G446" s="3114">
        <f t="shared" si="6"/>
        <v>1009775.5</v>
      </c>
    </row>
    <row r="447" spans="1:7" s="3125" customFormat="1" ht="15">
      <c r="A447" s="3118">
        <v>443</v>
      </c>
      <c r="B447" s="3115" t="s">
        <v>5585</v>
      </c>
      <c r="C447" s="3115"/>
      <c r="D447" s="3115" t="s">
        <v>5584</v>
      </c>
      <c r="E447" s="3114">
        <v>88.19</v>
      </c>
      <c r="F447" s="3114">
        <v>11900</v>
      </c>
      <c r="G447" s="3114">
        <f t="shared" si="6"/>
        <v>1049461</v>
      </c>
    </row>
    <row r="448" spans="1:7" s="3125" customFormat="1" ht="15">
      <c r="A448" s="3118">
        <v>444</v>
      </c>
      <c r="B448" s="3115" t="s">
        <v>5583</v>
      </c>
      <c r="C448" s="3115"/>
      <c r="D448" s="3115" t="s">
        <v>5582</v>
      </c>
      <c r="E448" s="3114">
        <v>88.19</v>
      </c>
      <c r="F448" s="3114">
        <v>12250</v>
      </c>
      <c r="G448" s="3114">
        <f t="shared" si="6"/>
        <v>1080327.5</v>
      </c>
    </row>
    <row r="449" spans="1:7" s="3125" customFormat="1" ht="15">
      <c r="A449" s="3118">
        <v>445</v>
      </c>
      <c r="B449" s="3115" t="s">
        <v>5581</v>
      </c>
      <c r="C449" s="3115"/>
      <c r="D449" s="3115" t="s">
        <v>5580</v>
      </c>
      <c r="E449" s="3114">
        <v>88.19</v>
      </c>
      <c r="F449" s="3114">
        <v>12300</v>
      </c>
      <c r="G449" s="3114">
        <f t="shared" si="6"/>
        <v>1084737</v>
      </c>
    </row>
    <row r="450" spans="1:7" s="3125" customFormat="1" ht="15">
      <c r="A450" s="3118">
        <v>446</v>
      </c>
      <c r="B450" s="3115" t="s">
        <v>5579</v>
      </c>
      <c r="C450" s="3115"/>
      <c r="D450" s="3115"/>
      <c r="E450" s="3114">
        <v>88.19</v>
      </c>
      <c r="F450" s="3114">
        <v>12350</v>
      </c>
      <c r="G450" s="3114">
        <f t="shared" si="6"/>
        <v>1089146.5</v>
      </c>
    </row>
    <row r="451" spans="1:7" s="3125" customFormat="1" ht="15">
      <c r="A451" s="3118">
        <v>447</v>
      </c>
      <c r="B451" s="3115" t="s">
        <v>5578</v>
      </c>
      <c r="C451" s="3115"/>
      <c r="D451" s="3115" t="s">
        <v>5577</v>
      </c>
      <c r="E451" s="3114">
        <v>88.19</v>
      </c>
      <c r="F451" s="3114">
        <v>12400</v>
      </c>
      <c r="G451" s="3114">
        <f t="shared" si="6"/>
        <v>1093556</v>
      </c>
    </row>
    <row r="452" spans="1:7" s="3125" customFormat="1" ht="15">
      <c r="A452" s="3118">
        <v>448</v>
      </c>
      <c r="B452" s="3115" t="s">
        <v>5576</v>
      </c>
      <c r="C452" s="3115"/>
      <c r="D452" s="3115" t="s">
        <v>5575</v>
      </c>
      <c r="E452" s="3114">
        <v>88.19</v>
      </c>
      <c r="F452" s="3114">
        <v>12450</v>
      </c>
      <c r="G452" s="3114">
        <f t="shared" si="6"/>
        <v>1097965.5</v>
      </c>
    </row>
    <row r="453" spans="1:7" s="3125" customFormat="1" ht="15">
      <c r="A453" s="3118">
        <v>449</v>
      </c>
      <c r="B453" s="3115" t="s">
        <v>5574</v>
      </c>
      <c r="C453" s="3115"/>
      <c r="D453" s="3115" t="s">
        <v>5573</v>
      </c>
      <c r="E453" s="3114">
        <v>88.19</v>
      </c>
      <c r="F453" s="3114">
        <v>12500</v>
      </c>
      <c r="G453" s="3114">
        <f t="shared" ref="G453:G516" si="7">E453*F453</f>
        <v>1102375</v>
      </c>
    </row>
    <row r="454" spans="1:7" s="3125" customFormat="1" ht="15">
      <c r="A454" s="3118">
        <v>450</v>
      </c>
      <c r="B454" s="3115" t="s">
        <v>5572</v>
      </c>
      <c r="C454" s="3115"/>
      <c r="D454" s="3115" t="s">
        <v>5571</v>
      </c>
      <c r="E454" s="3114">
        <v>88.19</v>
      </c>
      <c r="F454" s="3114">
        <v>12550</v>
      </c>
      <c r="G454" s="3114">
        <f t="shared" si="7"/>
        <v>1106784.5</v>
      </c>
    </row>
    <row r="455" spans="1:7" s="3125" customFormat="1" ht="15">
      <c r="A455" s="3118">
        <v>451</v>
      </c>
      <c r="B455" s="3115" t="s">
        <v>5570</v>
      </c>
      <c r="C455" s="3115"/>
      <c r="D455" s="3115" t="s">
        <v>5569</v>
      </c>
      <c r="E455" s="3114">
        <v>88.19</v>
      </c>
      <c r="F455" s="3114">
        <v>12600</v>
      </c>
      <c r="G455" s="3114">
        <f t="shared" si="7"/>
        <v>1111194</v>
      </c>
    </row>
    <row r="456" spans="1:7" s="3125" customFormat="1" ht="15">
      <c r="A456" s="3118">
        <v>452</v>
      </c>
      <c r="B456" s="3115" t="s">
        <v>5568</v>
      </c>
      <c r="C456" s="3115"/>
      <c r="D456" s="3115" t="s">
        <v>5567</v>
      </c>
      <c r="E456" s="3114">
        <v>88.19</v>
      </c>
      <c r="F456" s="3114">
        <v>12600</v>
      </c>
      <c r="G456" s="3114">
        <f t="shared" si="7"/>
        <v>1111194</v>
      </c>
    </row>
    <row r="457" spans="1:7" s="3125" customFormat="1" ht="15">
      <c r="A457" s="3118">
        <v>453</v>
      </c>
      <c r="B457" s="3115" t="s">
        <v>5566</v>
      </c>
      <c r="C457" s="3115"/>
      <c r="D457" s="3115" t="s">
        <v>5565</v>
      </c>
      <c r="E457" s="3114">
        <v>88.19</v>
      </c>
      <c r="F457" s="3114">
        <v>12600</v>
      </c>
      <c r="G457" s="3114">
        <f t="shared" si="7"/>
        <v>1111194</v>
      </c>
    </row>
    <row r="458" spans="1:7" s="3125" customFormat="1" ht="15">
      <c r="A458" s="3118">
        <v>454</v>
      </c>
      <c r="B458" s="3115" t="s">
        <v>5564</v>
      </c>
      <c r="C458" s="3115"/>
      <c r="D458" s="3115" t="s">
        <v>5563</v>
      </c>
      <c r="E458" s="3114">
        <v>88.19</v>
      </c>
      <c r="F458" s="3114">
        <v>12630</v>
      </c>
      <c r="G458" s="3114">
        <f t="shared" si="7"/>
        <v>1113839.7</v>
      </c>
    </row>
    <row r="459" spans="1:7" s="3125" customFormat="1" ht="15">
      <c r="A459" s="3118">
        <v>455</v>
      </c>
      <c r="B459" s="3115" t="s">
        <v>5562</v>
      </c>
      <c r="C459" s="3115"/>
      <c r="D459" s="3115" t="s">
        <v>5561</v>
      </c>
      <c r="E459" s="3114">
        <v>88.19</v>
      </c>
      <c r="F459" s="3114">
        <v>12630</v>
      </c>
      <c r="G459" s="3114">
        <f t="shared" si="7"/>
        <v>1113839.7</v>
      </c>
    </row>
    <row r="460" spans="1:7" s="3125" customFormat="1" ht="15">
      <c r="A460" s="3118">
        <v>456</v>
      </c>
      <c r="B460" s="3115" t="s">
        <v>5560</v>
      </c>
      <c r="C460" s="3115"/>
      <c r="D460" s="3115" t="s">
        <v>5559</v>
      </c>
      <c r="E460" s="3114">
        <v>88.19</v>
      </c>
      <c r="F460" s="3114">
        <v>12660</v>
      </c>
      <c r="G460" s="3114">
        <f t="shared" si="7"/>
        <v>1116485.3999999999</v>
      </c>
    </row>
    <row r="461" spans="1:7" s="3125" customFormat="1" ht="15">
      <c r="A461" s="3118">
        <v>457</v>
      </c>
      <c r="B461" s="3115" t="s">
        <v>5558</v>
      </c>
      <c r="C461" s="3115"/>
      <c r="D461" s="3115" t="s">
        <v>5557</v>
      </c>
      <c r="E461" s="3114">
        <v>88.19</v>
      </c>
      <c r="F461" s="3114">
        <v>12660</v>
      </c>
      <c r="G461" s="3114">
        <f t="shared" si="7"/>
        <v>1116485.3999999999</v>
      </c>
    </row>
    <row r="462" spans="1:7" ht="15">
      <c r="A462" s="3118">
        <v>458</v>
      </c>
      <c r="B462" s="3115" t="s">
        <v>5556</v>
      </c>
      <c r="C462" s="3115"/>
      <c r="D462" s="3115" t="s">
        <v>5555</v>
      </c>
      <c r="E462" s="3114">
        <v>88.19</v>
      </c>
      <c r="F462" s="3114">
        <v>12660</v>
      </c>
      <c r="G462" s="3114">
        <f t="shared" si="7"/>
        <v>1116485.3999999999</v>
      </c>
    </row>
    <row r="463" spans="1:7" ht="15">
      <c r="A463" s="3118">
        <v>459</v>
      </c>
      <c r="B463" s="3115" t="s">
        <v>5554</v>
      </c>
      <c r="C463" s="3115"/>
      <c r="D463" s="3115" t="s">
        <v>5553</v>
      </c>
      <c r="E463" s="3114">
        <v>88.19</v>
      </c>
      <c r="F463" s="3114">
        <v>12660</v>
      </c>
      <c r="G463" s="3114">
        <f t="shared" si="7"/>
        <v>1116485.3999999999</v>
      </c>
    </row>
    <row r="464" spans="1:7" ht="15">
      <c r="A464" s="3118">
        <v>460</v>
      </c>
      <c r="B464" s="3115" t="s">
        <v>5552</v>
      </c>
      <c r="C464" s="3115"/>
      <c r="D464" s="3115" t="s">
        <v>5551</v>
      </c>
      <c r="E464" s="3114">
        <v>88.19</v>
      </c>
      <c r="F464" s="3114">
        <v>12690</v>
      </c>
      <c r="G464" s="3114">
        <f t="shared" si="7"/>
        <v>1119131.0999999999</v>
      </c>
    </row>
    <row r="465" spans="1:7" ht="15">
      <c r="A465" s="3118">
        <v>461</v>
      </c>
      <c r="B465" s="3115" t="s">
        <v>5550</v>
      </c>
      <c r="C465" s="3115"/>
      <c r="D465" s="3115" t="s">
        <v>5549</v>
      </c>
      <c r="E465" s="3114">
        <v>88.19</v>
      </c>
      <c r="F465" s="3114">
        <v>12690</v>
      </c>
      <c r="G465" s="3114">
        <f t="shared" si="7"/>
        <v>1119131.0999999999</v>
      </c>
    </row>
    <row r="466" spans="1:7" ht="15">
      <c r="A466" s="3118">
        <v>462</v>
      </c>
      <c r="B466" s="3115" t="s">
        <v>5548</v>
      </c>
      <c r="C466" s="3115"/>
      <c r="D466" s="3115" t="s">
        <v>5547</v>
      </c>
      <c r="E466" s="3114">
        <v>88.19</v>
      </c>
      <c r="F466" s="3114">
        <v>12660</v>
      </c>
      <c r="G466" s="3114">
        <f t="shared" si="7"/>
        <v>1116485.3999999999</v>
      </c>
    </row>
    <row r="467" spans="1:7" ht="15">
      <c r="A467" s="3118">
        <v>463</v>
      </c>
      <c r="B467" s="3115" t="s">
        <v>5546</v>
      </c>
      <c r="C467" s="3115"/>
      <c r="D467" s="3115" t="s">
        <v>5545</v>
      </c>
      <c r="E467" s="3114">
        <v>88.19</v>
      </c>
      <c r="F467" s="3114">
        <v>12660</v>
      </c>
      <c r="G467" s="3114">
        <f t="shared" si="7"/>
        <v>1116485.3999999999</v>
      </c>
    </row>
    <row r="468" spans="1:7" ht="15">
      <c r="A468" s="3118">
        <v>464</v>
      </c>
      <c r="B468" s="3115" t="s">
        <v>5544</v>
      </c>
      <c r="C468" s="3115"/>
      <c r="D468" s="3115" t="s">
        <v>5543</v>
      </c>
      <c r="E468" s="3114">
        <v>88.19</v>
      </c>
      <c r="F468" s="3114">
        <v>12660</v>
      </c>
      <c r="G468" s="3114">
        <f t="shared" si="7"/>
        <v>1116485.3999999999</v>
      </c>
    </row>
    <row r="469" spans="1:7" ht="15">
      <c r="A469" s="3118">
        <v>465</v>
      </c>
      <c r="B469" s="3115" t="s">
        <v>5542</v>
      </c>
      <c r="C469" s="3115"/>
      <c r="D469" s="3115" t="s">
        <v>5541</v>
      </c>
      <c r="E469" s="3114">
        <v>88.19</v>
      </c>
      <c r="F469" s="3114">
        <v>12660</v>
      </c>
      <c r="G469" s="3114">
        <f t="shared" si="7"/>
        <v>1116485.3999999999</v>
      </c>
    </row>
    <row r="470" spans="1:7" ht="15">
      <c r="A470" s="3118">
        <v>466</v>
      </c>
      <c r="B470" s="3115" t="s">
        <v>5540</v>
      </c>
      <c r="C470" s="3115"/>
      <c r="D470" s="3115" t="s">
        <v>5539</v>
      </c>
      <c r="E470" s="3114">
        <v>88.19</v>
      </c>
      <c r="F470" s="3114">
        <v>12660</v>
      </c>
      <c r="G470" s="3114">
        <f t="shared" si="7"/>
        <v>1116485.3999999999</v>
      </c>
    </row>
    <row r="471" spans="1:7" ht="15">
      <c r="A471" s="3118">
        <v>467</v>
      </c>
      <c r="B471" s="3115" t="s">
        <v>5538</v>
      </c>
      <c r="C471" s="3115"/>
      <c r="D471" s="3115" t="s">
        <v>5537</v>
      </c>
      <c r="E471" s="3114">
        <v>88.19</v>
      </c>
      <c r="F471" s="3114">
        <v>12660</v>
      </c>
      <c r="G471" s="3114">
        <f t="shared" si="7"/>
        <v>1116485.3999999999</v>
      </c>
    </row>
    <row r="472" spans="1:7" ht="15">
      <c r="A472" s="3118">
        <v>468</v>
      </c>
      <c r="B472" s="3115" t="s">
        <v>5536</v>
      </c>
      <c r="C472" s="3115"/>
      <c r="D472" s="3115" t="s">
        <v>5489</v>
      </c>
      <c r="E472" s="3114">
        <v>88.19</v>
      </c>
      <c r="F472" s="3114">
        <v>12660</v>
      </c>
      <c r="G472" s="3114">
        <f t="shared" si="7"/>
        <v>1116485.3999999999</v>
      </c>
    </row>
    <row r="473" spans="1:7" s="3125" customFormat="1" ht="15">
      <c r="A473" s="3118">
        <v>469</v>
      </c>
      <c r="B473" s="3115" t="s">
        <v>5535</v>
      </c>
      <c r="C473" s="3115"/>
      <c r="D473" s="3115"/>
      <c r="E473" s="3114">
        <v>88.19</v>
      </c>
      <c r="F473" s="3114">
        <v>12160</v>
      </c>
      <c r="G473" s="3114">
        <f t="shared" si="7"/>
        <v>1072390.3999999999</v>
      </c>
    </row>
    <row r="474" spans="1:7" s="3125" customFormat="1" ht="15">
      <c r="A474" s="3118">
        <v>470</v>
      </c>
      <c r="B474" s="3115" t="s">
        <v>5534</v>
      </c>
      <c r="C474" s="3115"/>
      <c r="D474" s="3115" t="s">
        <v>5533</v>
      </c>
      <c r="E474" s="3114">
        <v>136.66999999999999</v>
      </c>
      <c r="F474" s="3114">
        <v>14100</v>
      </c>
      <c r="G474" s="3114">
        <f t="shared" si="7"/>
        <v>1927046.9999999998</v>
      </c>
    </row>
    <row r="475" spans="1:7" s="3125" customFormat="1" ht="15">
      <c r="A475" s="3118">
        <v>471</v>
      </c>
      <c r="B475" s="3115" t="s">
        <v>5532</v>
      </c>
      <c r="C475" s="3115"/>
      <c r="D475" s="3115" t="s">
        <v>5531</v>
      </c>
      <c r="E475" s="3114">
        <v>136.66999999999999</v>
      </c>
      <c r="F475" s="3114">
        <v>14300</v>
      </c>
      <c r="G475" s="3114">
        <f t="shared" si="7"/>
        <v>1954380.9999999998</v>
      </c>
    </row>
    <row r="476" spans="1:7" s="3125" customFormat="1" ht="15">
      <c r="A476" s="3118">
        <v>472</v>
      </c>
      <c r="B476" s="3115" t="s">
        <v>5530</v>
      </c>
      <c r="C476" s="3115"/>
      <c r="D476" s="3115" t="s">
        <v>5529</v>
      </c>
      <c r="E476" s="3114">
        <v>136.66999999999999</v>
      </c>
      <c r="F476" s="3114">
        <v>14600</v>
      </c>
      <c r="G476" s="3114">
        <f t="shared" si="7"/>
        <v>1995381.9999999998</v>
      </c>
    </row>
    <row r="477" spans="1:7" s="3125" customFormat="1" ht="15">
      <c r="A477" s="3118">
        <v>473</v>
      </c>
      <c r="B477" s="3115" t="s">
        <v>5528</v>
      </c>
      <c r="C477" s="3115"/>
      <c r="D477" s="3115" t="s">
        <v>5527</v>
      </c>
      <c r="E477" s="3114">
        <v>136.66999999999999</v>
      </c>
      <c r="F477" s="3114">
        <v>14800</v>
      </c>
      <c r="G477" s="3114">
        <f t="shared" si="7"/>
        <v>2022715.9999999998</v>
      </c>
    </row>
    <row r="478" spans="1:7" s="3125" customFormat="1" ht="15">
      <c r="A478" s="3118">
        <v>474</v>
      </c>
      <c r="B478" s="3115" t="s">
        <v>5526</v>
      </c>
      <c r="C478" s="3115"/>
      <c r="D478" s="3115" t="s">
        <v>5525</v>
      </c>
      <c r="E478" s="3114">
        <v>136.66999999999999</v>
      </c>
      <c r="F478" s="3114">
        <v>14900</v>
      </c>
      <c r="G478" s="3114">
        <f t="shared" si="7"/>
        <v>2036382.9999999998</v>
      </c>
    </row>
    <row r="479" spans="1:7" s="3125" customFormat="1" ht="15">
      <c r="A479" s="3118">
        <v>475</v>
      </c>
      <c r="B479" s="3115" t="s">
        <v>5524</v>
      </c>
      <c r="C479" s="3115"/>
      <c r="D479" s="3115" t="s">
        <v>5523</v>
      </c>
      <c r="E479" s="3114">
        <v>136.66999999999999</v>
      </c>
      <c r="F479" s="3114">
        <v>15000</v>
      </c>
      <c r="G479" s="3114">
        <f t="shared" si="7"/>
        <v>2050049.9999999998</v>
      </c>
    </row>
    <row r="480" spans="1:7" s="3125" customFormat="1" ht="15">
      <c r="A480" s="3118">
        <v>476</v>
      </c>
      <c r="B480" s="3115" t="s">
        <v>5522</v>
      </c>
      <c r="C480" s="3115"/>
      <c r="D480" s="3115" t="s">
        <v>5521</v>
      </c>
      <c r="E480" s="3114">
        <v>136.66999999999999</v>
      </c>
      <c r="F480" s="3114">
        <v>15000</v>
      </c>
      <c r="G480" s="3114">
        <f t="shared" si="7"/>
        <v>2050049.9999999998</v>
      </c>
    </row>
    <row r="481" spans="1:7" s="3125" customFormat="1" ht="15">
      <c r="A481" s="3118">
        <v>477</v>
      </c>
      <c r="B481" s="3115" t="s">
        <v>5520</v>
      </c>
      <c r="C481" s="3115"/>
      <c r="D481" s="3115" t="s">
        <v>5519</v>
      </c>
      <c r="E481" s="3114">
        <v>136.66999999999999</v>
      </c>
      <c r="F481" s="3114">
        <v>15200</v>
      </c>
      <c r="G481" s="3114">
        <f t="shared" si="7"/>
        <v>2077383.9999999998</v>
      </c>
    </row>
    <row r="482" spans="1:7" s="3125" customFormat="1" ht="15">
      <c r="A482" s="3118">
        <v>478</v>
      </c>
      <c r="B482" s="3115" t="s">
        <v>5518</v>
      </c>
      <c r="C482" s="3115"/>
      <c r="D482" s="3115" t="s">
        <v>5517</v>
      </c>
      <c r="E482" s="3114">
        <v>136.66999999999999</v>
      </c>
      <c r="F482" s="3114">
        <v>15200</v>
      </c>
      <c r="G482" s="3114">
        <f t="shared" si="7"/>
        <v>2077383.9999999998</v>
      </c>
    </row>
    <row r="483" spans="1:7" s="3125" customFormat="1" ht="15">
      <c r="A483" s="3118">
        <v>479</v>
      </c>
      <c r="B483" s="3115" t="s">
        <v>5516</v>
      </c>
      <c r="C483" s="3115"/>
      <c r="D483" s="3115" t="s">
        <v>5515</v>
      </c>
      <c r="E483" s="3114">
        <v>136.66999999999999</v>
      </c>
      <c r="F483" s="3114">
        <v>15200</v>
      </c>
      <c r="G483" s="3114">
        <f t="shared" si="7"/>
        <v>2077383.9999999998</v>
      </c>
    </row>
    <row r="484" spans="1:7" s="3125" customFormat="1" ht="15">
      <c r="A484" s="3118">
        <v>480</v>
      </c>
      <c r="B484" s="3115" t="s">
        <v>5514</v>
      </c>
      <c r="C484" s="3115"/>
      <c r="D484" s="3115" t="s">
        <v>5513</v>
      </c>
      <c r="E484" s="3114">
        <v>136.66999999999999</v>
      </c>
      <c r="F484" s="3114">
        <v>15200</v>
      </c>
      <c r="G484" s="3114">
        <f t="shared" si="7"/>
        <v>2077383.9999999998</v>
      </c>
    </row>
    <row r="485" spans="1:7" s="3125" customFormat="1" ht="15">
      <c r="A485" s="3118">
        <v>481</v>
      </c>
      <c r="B485" s="3115" t="s">
        <v>5512</v>
      </c>
      <c r="C485" s="3115"/>
      <c r="D485" s="3115" t="s">
        <v>5511</v>
      </c>
      <c r="E485" s="3114">
        <v>136.66999999999999</v>
      </c>
      <c r="F485" s="3114">
        <v>15100</v>
      </c>
      <c r="G485" s="3114">
        <f t="shared" si="7"/>
        <v>2063716.9999999998</v>
      </c>
    </row>
    <row r="486" spans="1:7" s="3125" customFormat="1" ht="15">
      <c r="A486" s="3118">
        <v>482</v>
      </c>
      <c r="B486" s="3115" t="s">
        <v>5510</v>
      </c>
      <c r="C486" s="3115"/>
      <c r="D486" s="3115" t="s">
        <v>5509</v>
      </c>
      <c r="E486" s="3114">
        <v>136.66999999999999</v>
      </c>
      <c r="F486" s="3114">
        <v>15100</v>
      </c>
      <c r="G486" s="3114">
        <f t="shared" si="7"/>
        <v>2063716.9999999998</v>
      </c>
    </row>
    <row r="487" spans="1:7" s="3125" customFormat="1" ht="15">
      <c r="A487" s="3118">
        <v>483</v>
      </c>
      <c r="B487" s="3115" t="s">
        <v>5508</v>
      </c>
      <c r="C487" s="3115"/>
      <c r="D487" s="3115" t="s">
        <v>5507</v>
      </c>
      <c r="E487" s="3114">
        <v>136.66999999999999</v>
      </c>
      <c r="F487" s="3114">
        <v>14900</v>
      </c>
      <c r="G487" s="3114">
        <f t="shared" si="7"/>
        <v>2036382.9999999998</v>
      </c>
    </row>
    <row r="488" spans="1:7" s="3125" customFormat="1" ht="15">
      <c r="A488" s="3118">
        <v>484</v>
      </c>
      <c r="B488" s="3115" t="s">
        <v>5506</v>
      </c>
      <c r="C488" s="3115"/>
      <c r="D488" s="3115" t="s">
        <v>5505</v>
      </c>
      <c r="E488" s="3114">
        <v>68.760000000000005</v>
      </c>
      <c r="F488" s="3114">
        <v>12500</v>
      </c>
      <c r="G488" s="3114">
        <f t="shared" si="7"/>
        <v>859500.00000000012</v>
      </c>
    </row>
    <row r="489" spans="1:7" s="3125" customFormat="1" ht="15">
      <c r="A489" s="3118">
        <v>485</v>
      </c>
      <c r="B489" s="3115" t="s">
        <v>5504</v>
      </c>
      <c r="C489" s="3115"/>
      <c r="D489" s="3115" t="s">
        <v>5503</v>
      </c>
      <c r="E489" s="3114">
        <v>136.66999999999999</v>
      </c>
      <c r="F489" s="3114">
        <v>14100</v>
      </c>
      <c r="G489" s="3114">
        <f t="shared" si="7"/>
        <v>1927046.9999999998</v>
      </c>
    </row>
    <row r="490" spans="1:7" s="3125" customFormat="1" ht="15">
      <c r="A490" s="3118">
        <v>486</v>
      </c>
      <c r="B490" s="3115" t="s">
        <v>5502</v>
      </c>
      <c r="C490" s="3115"/>
      <c r="D490" s="3115" t="s">
        <v>5501</v>
      </c>
      <c r="E490" s="3114">
        <v>136.66999999999999</v>
      </c>
      <c r="F490" s="3114">
        <v>14300</v>
      </c>
      <c r="G490" s="3114">
        <f t="shared" si="7"/>
        <v>1954380.9999999998</v>
      </c>
    </row>
    <row r="491" spans="1:7" s="3125" customFormat="1" ht="15">
      <c r="A491" s="3118">
        <v>487</v>
      </c>
      <c r="B491" s="3115" t="s">
        <v>5500</v>
      </c>
      <c r="C491" s="3115"/>
      <c r="D491" s="3115" t="s">
        <v>5499</v>
      </c>
      <c r="E491" s="3114">
        <v>136.66999999999999</v>
      </c>
      <c r="F491" s="3114">
        <v>14600</v>
      </c>
      <c r="G491" s="3114">
        <f t="shared" si="7"/>
        <v>1995381.9999999998</v>
      </c>
    </row>
    <row r="492" spans="1:7" s="3125" customFormat="1" ht="15">
      <c r="A492" s="3118">
        <v>488</v>
      </c>
      <c r="B492" s="3115" t="s">
        <v>5498</v>
      </c>
      <c r="C492" s="3115"/>
      <c r="D492" s="3115" t="s">
        <v>5497</v>
      </c>
      <c r="E492" s="3114">
        <v>136.66999999999999</v>
      </c>
      <c r="F492" s="3114">
        <v>14800</v>
      </c>
      <c r="G492" s="3114">
        <f t="shared" si="7"/>
        <v>2022715.9999999998</v>
      </c>
    </row>
    <row r="493" spans="1:7" s="3125" customFormat="1" ht="15">
      <c r="A493" s="3118">
        <v>489</v>
      </c>
      <c r="B493" s="3115" t="s">
        <v>5496</v>
      </c>
      <c r="C493" s="3115"/>
      <c r="D493" s="3115" t="s">
        <v>5495</v>
      </c>
      <c r="E493" s="3114">
        <v>136.66999999999999</v>
      </c>
      <c r="F493" s="3114">
        <v>14900</v>
      </c>
      <c r="G493" s="3114">
        <f t="shared" si="7"/>
        <v>2036382.9999999998</v>
      </c>
    </row>
    <row r="494" spans="1:7" s="3125" customFormat="1" ht="15">
      <c r="A494" s="3118">
        <v>490</v>
      </c>
      <c r="B494" s="3115" t="s">
        <v>5494</v>
      </c>
      <c r="C494" s="3115"/>
      <c r="D494" s="3115" t="s">
        <v>5493</v>
      </c>
      <c r="E494" s="3114">
        <v>136.66999999999999</v>
      </c>
      <c r="F494" s="3114">
        <v>15000</v>
      </c>
      <c r="G494" s="3114">
        <f t="shared" si="7"/>
        <v>2050049.9999999998</v>
      </c>
    </row>
    <row r="495" spans="1:7" s="3125" customFormat="1" ht="15">
      <c r="A495" s="3118">
        <v>491</v>
      </c>
      <c r="B495" s="3115" t="s">
        <v>5492</v>
      </c>
      <c r="C495" s="3115"/>
      <c r="D495" s="3115" t="s">
        <v>5491</v>
      </c>
      <c r="E495" s="3114">
        <v>136.66999999999999</v>
      </c>
      <c r="F495" s="3114">
        <v>15000</v>
      </c>
      <c r="G495" s="3114">
        <f t="shared" si="7"/>
        <v>2050049.9999999998</v>
      </c>
    </row>
    <row r="496" spans="1:7" s="3125" customFormat="1" ht="15">
      <c r="A496" s="3118">
        <v>492</v>
      </c>
      <c r="B496" s="3115" t="s">
        <v>5490</v>
      </c>
      <c r="C496" s="3115"/>
      <c r="D496" s="3115" t="s">
        <v>5489</v>
      </c>
      <c r="E496" s="3114">
        <v>136.66999999999999</v>
      </c>
      <c r="F496" s="3114">
        <v>15200</v>
      </c>
      <c r="G496" s="3114">
        <f t="shared" si="7"/>
        <v>2077383.9999999998</v>
      </c>
    </row>
    <row r="497" spans="1:7" s="3125" customFormat="1" ht="15">
      <c r="A497" s="3118">
        <v>493</v>
      </c>
      <c r="B497" s="3115" t="s">
        <v>5488</v>
      </c>
      <c r="C497" s="3115"/>
      <c r="D497" s="3115"/>
      <c r="E497" s="3114">
        <v>136.66999999999999</v>
      </c>
      <c r="F497" s="3114">
        <v>15200</v>
      </c>
      <c r="G497" s="3114">
        <f t="shared" si="7"/>
        <v>2077383.9999999998</v>
      </c>
    </row>
    <row r="498" spans="1:7" s="3125" customFormat="1" ht="15">
      <c r="A498" s="3118">
        <v>494</v>
      </c>
      <c r="B498" s="3115" t="s">
        <v>5487</v>
      </c>
      <c r="C498" s="3115"/>
      <c r="D498" s="3115" t="s">
        <v>5486</v>
      </c>
      <c r="E498" s="3114">
        <v>136.66999999999999</v>
      </c>
      <c r="F498" s="3114">
        <v>15200</v>
      </c>
      <c r="G498" s="3114">
        <f t="shared" si="7"/>
        <v>2077383.9999999998</v>
      </c>
    </row>
    <row r="499" spans="1:7" ht="15">
      <c r="A499" s="3118">
        <v>495</v>
      </c>
      <c r="B499" s="3115" t="s">
        <v>5485</v>
      </c>
      <c r="C499" s="3115"/>
      <c r="D499" s="3115" t="s">
        <v>5484</v>
      </c>
      <c r="E499" s="3114">
        <v>136.66999999999999</v>
      </c>
      <c r="F499" s="3114">
        <v>15200</v>
      </c>
      <c r="G499" s="3114">
        <f t="shared" si="7"/>
        <v>2077383.9999999998</v>
      </c>
    </row>
    <row r="500" spans="1:7" ht="15">
      <c r="A500" s="3118">
        <v>496</v>
      </c>
      <c r="B500" s="3115" t="s">
        <v>5483</v>
      </c>
      <c r="C500" s="3115"/>
      <c r="D500" s="3115" t="s">
        <v>5482</v>
      </c>
      <c r="E500" s="3114">
        <v>136.66999999999999</v>
      </c>
      <c r="F500" s="3114">
        <v>15100</v>
      </c>
      <c r="G500" s="3114">
        <f t="shared" si="7"/>
        <v>2063716.9999999998</v>
      </c>
    </row>
    <row r="501" spans="1:7" ht="15">
      <c r="A501" s="3118">
        <v>497</v>
      </c>
      <c r="B501" s="3115" t="s">
        <v>5481</v>
      </c>
      <c r="C501" s="3115"/>
      <c r="D501" s="3115" t="s">
        <v>5480</v>
      </c>
      <c r="E501" s="3114">
        <v>136.66999999999999</v>
      </c>
      <c r="F501" s="3114">
        <v>15100</v>
      </c>
      <c r="G501" s="3114">
        <f t="shared" si="7"/>
        <v>2063716.9999999998</v>
      </c>
    </row>
    <row r="502" spans="1:7" ht="15">
      <c r="A502" s="3118">
        <v>498</v>
      </c>
      <c r="B502" s="3115" t="s">
        <v>5479</v>
      </c>
      <c r="C502" s="3115"/>
      <c r="D502" s="3115" t="s">
        <v>5478</v>
      </c>
      <c r="E502" s="3114">
        <v>136.66999999999999</v>
      </c>
      <c r="F502" s="3114">
        <v>14900</v>
      </c>
      <c r="G502" s="3114">
        <f t="shared" si="7"/>
        <v>2036382.9999999998</v>
      </c>
    </row>
    <row r="503" spans="1:7" ht="15">
      <c r="A503" s="3118">
        <v>499</v>
      </c>
      <c r="B503" s="3115" t="s">
        <v>5477</v>
      </c>
      <c r="C503" s="3115"/>
      <c r="D503" s="3115" t="s">
        <v>5476</v>
      </c>
      <c r="E503" s="3114">
        <v>68.760000000000005</v>
      </c>
      <c r="F503" s="3114">
        <v>12500</v>
      </c>
      <c r="G503" s="3114">
        <f t="shared" si="7"/>
        <v>859500.00000000012</v>
      </c>
    </row>
    <row r="504" spans="1:7" ht="15">
      <c r="A504" s="3118">
        <v>500</v>
      </c>
      <c r="B504" s="3115" t="s">
        <v>5475</v>
      </c>
      <c r="C504" s="3115"/>
      <c r="D504" s="3115" t="s">
        <v>5474</v>
      </c>
      <c r="E504" s="3114">
        <v>88.16</v>
      </c>
      <c r="F504" s="3114">
        <v>11250</v>
      </c>
      <c r="G504" s="3114">
        <f t="shared" si="7"/>
        <v>991800</v>
      </c>
    </row>
    <row r="505" spans="1:7" s="3125" customFormat="1" ht="15">
      <c r="A505" s="3118">
        <v>501</v>
      </c>
      <c r="B505" s="3115" t="s">
        <v>5473</v>
      </c>
      <c r="C505" s="3115"/>
      <c r="D505" s="3115" t="s">
        <v>5472</v>
      </c>
      <c r="E505" s="3114">
        <v>88.16</v>
      </c>
      <c r="F505" s="3114">
        <v>11450</v>
      </c>
      <c r="G505" s="3114">
        <f t="shared" si="7"/>
        <v>1009432</v>
      </c>
    </row>
    <row r="506" spans="1:7" s="3125" customFormat="1" ht="15">
      <c r="A506" s="3118">
        <v>502</v>
      </c>
      <c r="B506" s="3115" t="s">
        <v>5471</v>
      </c>
      <c r="C506" s="3115"/>
      <c r="D506" s="3115" t="s">
        <v>5470</v>
      </c>
      <c r="E506" s="3114">
        <v>88.16</v>
      </c>
      <c r="F506" s="3114">
        <v>11900</v>
      </c>
      <c r="G506" s="3114">
        <f t="shared" si="7"/>
        <v>1049104</v>
      </c>
    </row>
    <row r="507" spans="1:7" s="3125" customFormat="1" ht="15">
      <c r="A507" s="3118">
        <v>503</v>
      </c>
      <c r="B507" s="3115" t="s">
        <v>5469</v>
      </c>
      <c r="C507" s="3115"/>
      <c r="D507" s="3115" t="s">
        <v>5468</v>
      </c>
      <c r="E507" s="3114">
        <v>88.16</v>
      </c>
      <c r="F507" s="3114">
        <v>12250</v>
      </c>
      <c r="G507" s="3114">
        <f t="shared" si="7"/>
        <v>1079960</v>
      </c>
    </row>
    <row r="508" spans="1:7" s="3125" customFormat="1" ht="15">
      <c r="A508" s="3118">
        <v>504</v>
      </c>
      <c r="B508" s="3115" t="s">
        <v>5467</v>
      </c>
      <c r="C508" s="3115"/>
      <c r="D508" s="3115" t="s">
        <v>5466</v>
      </c>
      <c r="E508" s="3114">
        <v>88.16</v>
      </c>
      <c r="F508" s="3114">
        <v>12300</v>
      </c>
      <c r="G508" s="3114">
        <f t="shared" si="7"/>
        <v>1084368</v>
      </c>
    </row>
    <row r="509" spans="1:7" s="3125" customFormat="1" ht="15">
      <c r="A509" s="3118">
        <v>505</v>
      </c>
      <c r="B509" s="3115" t="s">
        <v>5465</v>
      </c>
      <c r="C509" s="3115"/>
      <c r="D509" s="3115" t="s">
        <v>5464</v>
      </c>
      <c r="E509" s="3114">
        <v>88.16</v>
      </c>
      <c r="F509" s="3114">
        <v>12350</v>
      </c>
      <c r="G509" s="3114">
        <f t="shared" si="7"/>
        <v>1088776</v>
      </c>
    </row>
    <row r="510" spans="1:7" s="3125" customFormat="1" ht="15">
      <c r="A510" s="3118">
        <v>506</v>
      </c>
      <c r="B510" s="3115" t="s">
        <v>5463</v>
      </c>
      <c r="C510" s="3115"/>
      <c r="D510" s="3115" t="s">
        <v>5462</v>
      </c>
      <c r="E510" s="3114">
        <v>88.16</v>
      </c>
      <c r="F510" s="3114">
        <v>12400</v>
      </c>
      <c r="G510" s="3114">
        <f t="shared" si="7"/>
        <v>1093184</v>
      </c>
    </row>
    <row r="511" spans="1:7" s="3125" customFormat="1" ht="15">
      <c r="A511" s="3118">
        <v>507</v>
      </c>
      <c r="B511" s="3115" t="s">
        <v>5461</v>
      </c>
      <c r="C511" s="3115"/>
      <c r="D511" s="3115" t="s">
        <v>5460</v>
      </c>
      <c r="E511" s="3114">
        <v>88.16</v>
      </c>
      <c r="F511" s="3114">
        <v>12450</v>
      </c>
      <c r="G511" s="3114">
        <f t="shared" si="7"/>
        <v>1097592</v>
      </c>
    </row>
    <row r="512" spans="1:7" s="3125" customFormat="1" ht="15">
      <c r="A512" s="3118">
        <v>508</v>
      </c>
      <c r="B512" s="3115" t="s">
        <v>5459</v>
      </c>
      <c r="C512" s="3115"/>
      <c r="D512" s="3115" t="s">
        <v>5458</v>
      </c>
      <c r="E512" s="3114">
        <v>88.16</v>
      </c>
      <c r="F512" s="3114">
        <v>12500</v>
      </c>
      <c r="G512" s="3114">
        <f t="shared" si="7"/>
        <v>1102000</v>
      </c>
    </row>
    <row r="513" spans="1:7" s="3125" customFormat="1" ht="15">
      <c r="A513" s="3118">
        <v>509</v>
      </c>
      <c r="B513" s="3115" t="s">
        <v>5457</v>
      </c>
      <c r="C513" s="3115"/>
      <c r="D513" s="3115" t="s">
        <v>5456</v>
      </c>
      <c r="E513" s="3114">
        <v>88.16</v>
      </c>
      <c r="F513" s="3114">
        <v>12550</v>
      </c>
      <c r="G513" s="3114">
        <f t="shared" si="7"/>
        <v>1106408</v>
      </c>
    </row>
    <row r="514" spans="1:7" s="3125" customFormat="1" ht="15">
      <c r="A514" s="3118">
        <v>510</v>
      </c>
      <c r="B514" s="3115" t="s">
        <v>5455</v>
      </c>
      <c r="C514" s="3115"/>
      <c r="D514" s="3115" t="s">
        <v>5454</v>
      </c>
      <c r="E514" s="3114">
        <v>88.16</v>
      </c>
      <c r="F514" s="3114">
        <v>12600</v>
      </c>
      <c r="G514" s="3114">
        <f t="shared" si="7"/>
        <v>1110816</v>
      </c>
    </row>
    <row r="515" spans="1:7" s="3125" customFormat="1" ht="15">
      <c r="A515" s="3118">
        <v>511</v>
      </c>
      <c r="B515" s="3115" t="s">
        <v>5453</v>
      </c>
      <c r="C515" s="3115"/>
      <c r="D515" s="3115" t="s">
        <v>5452</v>
      </c>
      <c r="E515" s="3114">
        <v>88.16</v>
      </c>
      <c r="F515" s="3114">
        <v>12600</v>
      </c>
      <c r="G515" s="3114">
        <f t="shared" si="7"/>
        <v>1110816</v>
      </c>
    </row>
    <row r="516" spans="1:7" s="3125" customFormat="1" ht="15">
      <c r="A516" s="3118">
        <v>512</v>
      </c>
      <c r="B516" s="3115" t="s">
        <v>5451</v>
      </c>
      <c r="C516" s="3115"/>
      <c r="D516" s="3115" t="s">
        <v>5450</v>
      </c>
      <c r="E516" s="3114">
        <v>88.16</v>
      </c>
      <c r="F516" s="3114">
        <v>12600</v>
      </c>
      <c r="G516" s="3114">
        <f t="shared" si="7"/>
        <v>1110816</v>
      </c>
    </row>
    <row r="517" spans="1:7" s="3125" customFormat="1" ht="15">
      <c r="A517" s="3118">
        <v>513</v>
      </c>
      <c r="B517" s="3115" t="s">
        <v>5449</v>
      </c>
      <c r="C517" s="3115"/>
      <c r="D517" s="3115" t="s">
        <v>5448</v>
      </c>
      <c r="E517" s="3114">
        <v>88.16</v>
      </c>
      <c r="F517" s="3114">
        <v>12630</v>
      </c>
      <c r="G517" s="3114">
        <f t="shared" ref="G517:G580" si="8">E517*F517</f>
        <v>1113460.8</v>
      </c>
    </row>
    <row r="518" spans="1:7" s="3125" customFormat="1" ht="15">
      <c r="A518" s="3118">
        <v>514</v>
      </c>
      <c r="B518" s="3115" t="s">
        <v>5447</v>
      </c>
      <c r="C518" s="3115"/>
      <c r="D518" s="3115" t="s">
        <v>5446</v>
      </c>
      <c r="E518" s="3114">
        <v>88.16</v>
      </c>
      <c r="F518" s="3114">
        <v>12630</v>
      </c>
      <c r="G518" s="3114">
        <f t="shared" si="8"/>
        <v>1113460.8</v>
      </c>
    </row>
    <row r="519" spans="1:7" s="3125" customFormat="1" ht="15">
      <c r="A519" s="3118">
        <v>515</v>
      </c>
      <c r="B519" s="3115" t="s">
        <v>5445</v>
      </c>
      <c r="C519" s="3115"/>
      <c r="D519" s="3115" t="s">
        <v>5444</v>
      </c>
      <c r="E519" s="3114">
        <v>88.16</v>
      </c>
      <c r="F519" s="3114">
        <v>12660</v>
      </c>
      <c r="G519" s="3114">
        <f t="shared" si="8"/>
        <v>1116105.5999999999</v>
      </c>
    </row>
    <row r="520" spans="1:7" s="3125" customFormat="1" ht="15">
      <c r="A520" s="3118">
        <v>516</v>
      </c>
      <c r="B520" s="3115" t="s">
        <v>5443</v>
      </c>
      <c r="C520" s="3115"/>
      <c r="D520" s="3115" t="s">
        <v>5442</v>
      </c>
      <c r="E520" s="3114">
        <v>88.16</v>
      </c>
      <c r="F520" s="3114">
        <v>12660</v>
      </c>
      <c r="G520" s="3114">
        <f t="shared" si="8"/>
        <v>1116105.5999999999</v>
      </c>
    </row>
    <row r="521" spans="1:7" s="3125" customFormat="1" ht="15">
      <c r="A521" s="3118">
        <v>517</v>
      </c>
      <c r="B521" s="3115" t="s">
        <v>5441</v>
      </c>
      <c r="C521" s="3115"/>
      <c r="D521" s="3115" t="s">
        <v>5440</v>
      </c>
      <c r="E521" s="3114">
        <v>88.16</v>
      </c>
      <c r="F521" s="3114">
        <v>12660</v>
      </c>
      <c r="G521" s="3114">
        <f t="shared" si="8"/>
        <v>1116105.5999999999</v>
      </c>
    </row>
    <row r="522" spans="1:7" s="3125" customFormat="1" ht="15">
      <c r="A522" s="3118">
        <v>518</v>
      </c>
      <c r="B522" s="3115" t="s">
        <v>5439</v>
      </c>
      <c r="C522" s="3115"/>
      <c r="D522" s="3126" t="s">
        <v>5438</v>
      </c>
      <c r="E522" s="3114">
        <v>88.16</v>
      </c>
      <c r="F522" s="3114">
        <v>12660</v>
      </c>
      <c r="G522" s="3114">
        <f t="shared" si="8"/>
        <v>1116105.5999999999</v>
      </c>
    </row>
    <row r="523" spans="1:7" s="3125" customFormat="1" ht="15">
      <c r="A523" s="3118">
        <v>519</v>
      </c>
      <c r="B523" s="3115" t="s">
        <v>5437</v>
      </c>
      <c r="C523" s="3115"/>
      <c r="D523" s="3115" t="s">
        <v>5436</v>
      </c>
      <c r="E523" s="3114">
        <v>88.16</v>
      </c>
      <c r="F523" s="3114">
        <v>12690</v>
      </c>
      <c r="G523" s="3114">
        <f t="shared" si="8"/>
        <v>1118750.3999999999</v>
      </c>
    </row>
    <row r="524" spans="1:7" s="3125" customFormat="1" ht="15">
      <c r="A524" s="3118">
        <v>520</v>
      </c>
      <c r="B524" s="3115" t="s">
        <v>5435</v>
      </c>
      <c r="C524" s="3115"/>
      <c r="D524" s="3115" t="s">
        <v>5434</v>
      </c>
      <c r="E524" s="3114">
        <v>88.16</v>
      </c>
      <c r="F524" s="3114">
        <v>12690</v>
      </c>
      <c r="G524" s="3114">
        <f t="shared" si="8"/>
        <v>1118750.3999999999</v>
      </c>
    </row>
    <row r="525" spans="1:7" s="3125" customFormat="1" ht="15">
      <c r="A525" s="3118">
        <v>521</v>
      </c>
      <c r="B525" s="3115" t="s">
        <v>5433</v>
      </c>
      <c r="C525" s="3115"/>
      <c r="D525" s="3115" t="s">
        <v>5432</v>
      </c>
      <c r="E525" s="3114">
        <v>88.16</v>
      </c>
      <c r="F525" s="3114">
        <v>12660</v>
      </c>
      <c r="G525" s="3114">
        <f t="shared" si="8"/>
        <v>1116105.5999999999</v>
      </c>
    </row>
    <row r="526" spans="1:7" s="3125" customFormat="1" ht="15">
      <c r="A526" s="3118">
        <v>522</v>
      </c>
      <c r="B526" s="3115" t="s">
        <v>5431</v>
      </c>
      <c r="C526" s="3115"/>
      <c r="D526" s="3115" t="s">
        <v>5430</v>
      </c>
      <c r="E526" s="3114">
        <v>88.16</v>
      </c>
      <c r="F526" s="3114">
        <v>12660</v>
      </c>
      <c r="G526" s="3114">
        <f t="shared" si="8"/>
        <v>1116105.5999999999</v>
      </c>
    </row>
    <row r="527" spans="1:7" s="3125" customFormat="1" ht="15">
      <c r="A527" s="3118">
        <v>523</v>
      </c>
      <c r="B527" s="3115" t="s">
        <v>5429</v>
      </c>
      <c r="C527" s="3115"/>
      <c r="D527" s="3115" t="s">
        <v>5428</v>
      </c>
      <c r="E527" s="3114">
        <v>88.16</v>
      </c>
      <c r="F527" s="3114">
        <v>12660</v>
      </c>
      <c r="G527" s="3114">
        <f t="shared" si="8"/>
        <v>1116105.5999999999</v>
      </c>
    </row>
    <row r="528" spans="1:7" s="3125" customFormat="1" ht="15">
      <c r="A528" s="3118">
        <v>524</v>
      </c>
      <c r="B528" s="3115" t="s">
        <v>5427</v>
      </c>
      <c r="C528" s="3115"/>
      <c r="D528" s="3115" t="s">
        <v>5426</v>
      </c>
      <c r="E528" s="3114">
        <v>88.16</v>
      </c>
      <c r="F528" s="3114">
        <v>12660</v>
      </c>
      <c r="G528" s="3114">
        <f t="shared" si="8"/>
        <v>1116105.5999999999</v>
      </c>
    </row>
    <row r="529" spans="1:7" s="3125" customFormat="1" ht="15">
      <c r="A529" s="3118">
        <v>525</v>
      </c>
      <c r="B529" s="3115" t="s">
        <v>5425</v>
      </c>
      <c r="C529" s="3115"/>
      <c r="D529" s="3115" t="s">
        <v>5424</v>
      </c>
      <c r="E529" s="3114">
        <v>88.16</v>
      </c>
      <c r="F529" s="3114">
        <v>12660</v>
      </c>
      <c r="G529" s="3114">
        <f t="shared" si="8"/>
        <v>1116105.5999999999</v>
      </c>
    </row>
    <row r="530" spans="1:7" s="3125" customFormat="1" ht="15">
      <c r="A530" s="3118">
        <v>526</v>
      </c>
      <c r="B530" s="3115" t="s">
        <v>5423</v>
      </c>
      <c r="C530" s="3115"/>
      <c r="D530" s="3115" t="s">
        <v>5422</v>
      </c>
      <c r="E530" s="3114">
        <v>88.16</v>
      </c>
      <c r="F530" s="3114">
        <v>12660</v>
      </c>
      <c r="G530" s="3114">
        <f t="shared" si="8"/>
        <v>1116105.5999999999</v>
      </c>
    </row>
    <row r="531" spans="1:7" s="3125" customFormat="1" ht="15">
      <c r="A531" s="3118">
        <v>527</v>
      </c>
      <c r="B531" s="3115" t="s">
        <v>5421</v>
      </c>
      <c r="C531" s="3115"/>
      <c r="D531" s="3115" t="s">
        <v>5420</v>
      </c>
      <c r="E531" s="3114">
        <v>88.16</v>
      </c>
      <c r="F531" s="3114">
        <v>12660</v>
      </c>
      <c r="G531" s="3114">
        <f t="shared" si="8"/>
        <v>1116105.5999999999</v>
      </c>
    </row>
    <row r="532" spans="1:7" s="3125" customFormat="1" ht="15">
      <c r="A532" s="3118">
        <v>528</v>
      </c>
      <c r="B532" s="3115" t="s">
        <v>5419</v>
      </c>
      <c r="C532" s="3115"/>
      <c r="D532" s="3115" t="s">
        <v>5418</v>
      </c>
      <c r="E532" s="3114">
        <v>88.16</v>
      </c>
      <c r="F532" s="3114">
        <v>12160</v>
      </c>
      <c r="G532" s="3114">
        <f t="shared" si="8"/>
        <v>1072025.5999999999</v>
      </c>
    </row>
    <row r="533" spans="1:7" s="3125" customFormat="1" ht="15">
      <c r="A533" s="3118">
        <v>529</v>
      </c>
      <c r="B533" s="3115" t="s">
        <v>5417</v>
      </c>
      <c r="C533" s="3115"/>
      <c r="D533" s="3115" t="s">
        <v>5416</v>
      </c>
      <c r="E533" s="3114">
        <v>160.75</v>
      </c>
      <c r="F533" s="3114">
        <v>11150</v>
      </c>
      <c r="G533" s="3114">
        <f t="shared" si="8"/>
        <v>1792362.5</v>
      </c>
    </row>
    <row r="534" spans="1:7" s="3125" customFormat="1" ht="15">
      <c r="A534" s="3118">
        <v>530</v>
      </c>
      <c r="B534" s="3115" t="s">
        <v>5415</v>
      </c>
      <c r="C534" s="3115"/>
      <c r="D534" s="3115" t="s">
        <v>5414</v>
      </c>
      <c r="E534" s="3114">
        <v>160.75</v>
      </c>
      <c r="F534" s="3114">
        <v>11350</v>
      </c>
      <c r="G534" s="3114">
        <f t="shared" si="8"/>
        <v>1824512.5</v>
      </c>
    </row>
    <row r="535" spans="1:7" s="3125" customFormat="1" ht="15">
      <c r="A535" s="3118">
        <v>531</v>
      </c>
      <c r="B535" s="3115" t="s">
        <v>5413</v>
      </c>
      <c r="C535" s="3115"/>
      <c r="D535" s="3115" t="s">
        <v>5412</v>
      </c>
      <c r="E535" s="3114">
        <v>160.75</v>
      </c>
      <c r="F535" s="3114">
        <v>11800</v>
      </c>
      <c r="G535" s="3114">
        <f t="shared" si="8"/>
        <v>1896850</v>
      </c>
    </row>
    <row r="536" spans="1:7" s="3125" customFormat="1" ht="15">
      <c r="A536" s="3118">
        <v>532</v>
      </c>
      <c r="B536" s="3115" t="s">
        <v>5411</v>
      </c>
      <c r="C536" s="3115"/>
      <c r="D536" s="3115" t="s">
        <v>5410</v>
      </c>
      <c r="E536" s="3114">
        <v>160.75</v>
      </c>
      <c r="F536" s="3114">
        <v>12150</v>
      </c>
      <c r="G536" s="3114">
        <f t="shared" si="8"/>
        <v>1953112.5</v>
      </c>
    </row>
    <row r="537" spans="1:7" s="3125" customFormat="1" ht="15">
      <c r="A537" s="3118">
        <v>533</v>
      </c>
      <c r="B537" s="3115" t="s">
        <v>5409</v>
      </c>
      <c r="C537" s="3115"/>
      <c r="D537" s="3115" t="s">
        <v>5408</v>
      </c>
      <c r="E537" s="3114">
        <v>160.75</v>
      </c>
      <c r="F537" s="3114">
        <v>12200</v>
      </c>
      <c r="G537" s="3114">
        <f t="shared" si="8"/>
        <v>1961150</v>
      </c>
    </row>
    <row r="538" spans="1:7" s="3125" customFormat="1" ht="15">
      <c r="A538" s="3118">
        <v>534</v>
      </c>
      <c r="B538" s="3115" t="s">
        <v>5407</v>
      </c>
      <c r="C538" s="3115"/>
      <c r="D538" s="3115" t="s">
        <v>5406</v>
      </c>
      <c r="E538" s="3114">
        <v>160.75</v>
      </c>
      <c r="F538" s="3114">
        <v>12250</v>
      </c>
      <c r="G538" s="3114">
        <f t="shared" si="8"/>
        <v>1969187.5</v>
      </c>
    </row>
    <row r="539" spans="1:7" s="3125" customFormat="1" ht="15">
      <c r="A539" s="3118">
        <v>535</v>
      </c>
      <c r="B539" s="3115" t="s">
        <v>5405</v>
      </c>
      <c r="C539" s="3115"/>
      <c r="D539" s="3115" t="s">
        <v>5404</v>
      </c>
      <c r="E539" s="3114">
        <v>160.75</v>
      </c>
      <c r="F539" s="3114">
        <v>12300</v>
      </c>
      <c r="G539" s="3114">
        <f t="shared" si="8"/>
        <v>1977225</v>
      </c>
    </row>
    <row r="540" spans="1:7" s="3125" customFormat="1" ht="15">
      <c r="A540" s="3118">
        <v>536</v>
      </c>
      <c r="B540" s="3115" t="s">
        <v>5403</v>
      </c>
      <c r="C540" s="3115"/>
      <c r="D540" s="3115" t="s">
        <v>5402</v>
      </c>
      <c r="E540" s="3114">
        <v>160.75</v>
      </c>
      <c r="F540" s="3114">
        <v>12350</v>
      </c>
      <c r="G540" s="3114">
        <f t="shared" si="8"/>
        <v>1985262.5</v>
      </c>
    </row>
    <row r="541" spans="1:7" s="3125" customFormat="1" ht="15">
      <c r="A541" s="3118">
        <v>537</v>
      </c>
      <c r="B541" s="3115" t="s">
        <v>5401</v>
      </c>
      <c r="C541" s="3115"/>
      <c r="D541" s="3115" t="s">
        <v>5400</v>
      </c>
      <c r="E541" s="3114">
        <v>160.75</v>
      </c>
      <c r="F541" s="3114">
        <v>12400</v>
      </c>
      <c r="G541" s="3114">
        <f t="shared" si="8"/>
        <v>1993300</v>
      </c>
    </row>
    <row r="542" spans="1:7" s="3125" customFormat="1" ht="15">
      <c r="A542" s="3118">
        <v>538</v>
      </c>
      <c r="B542" s="3115" t="s">
        <v>5399</v>
      </c>
      <c r="C542" s="3115"/>
      <c r="D542" s="3115" t="s">
        <v>5398</v>
      </c>
      <c r="E542" s="3114">
        <v>160.75</v>
      </c>
      <c r="F542" s="3114">
        <v>12450</v>
      </c>
      <c r="G542" s="3114">
        <f t="shared" si="8"/>
        <v>2001337.5</v>
      </c>
    </row>
    <row r="543" spans="1:7" s="3125" customFormat="1" ht="15">
      <c r="A543" s="3118">
        <v>539</v>
      </c>
      <c r="B543" s="3115" t="s">
        <v>5397</v>
      </c>
      <c r="C543" s="3115"/>
      <c r="D543" s="3115" t="s">
        <v>5396</v>
      </c>
      <c r="E543" s="3114">
        <v>160.75</v>
      </c>
      <c r="F543" s="3114">
        <v>12500</v>
      </c>
      <c r="G543" s="3114">
        <f t="shared" si="8"/>
        <v>2009375</v>
      </c>
    </row>
    <row r="544" spans="1:7" s="3125" customFormat="1" ht="15">
      <c r="A544" s="3118">
        <v>540</v>
      </c>
      <c r="B544" s="3115" t="s">
        <v>5395</v>
      </c>
      <c r="C544" s="3115"/>
      <c r="D544" s="3115" t="s">
        <v>5394</v>
      </c>
      <c r="E544" s="3114">
        <v>160.75</v>
      </c>
      <c r="F544" s="3114">
        <v>12500</v>
      </c>
      <c r="G544" s="3114">
        <f t="shared" si="8"/>
        <v>2009375</v>
      </c>
    </row>
    <row r="545" spans="1:7" s="3125" customFormat="1" ht="15">
      <c r="A545" s="3118">
        <v>541</v>
      </c>
      <c r="B545" s="3115" t="s">
        <v>5393</v>
      </c>
      <c r="C545" s="3115"/>
      <c r="D545" s="3115" t="s">
        <v>5392</v>
      </c>
      <c r="E545" s="3114">
        <v>160.75</v>
      </c>
      <c r="F545" s="3114">
        <v>12500</v>
      </c>
      <c r="G545" s="3114">
        <f t="shared" si="8"/>
        <v>2009375</v>
      </c>
    </row>
    <row r="546" spans="1:7" s="3125" customFormat="1" ht="15">
      <c r="A546" s="3118">
        <v>542</v>
      </c>
      <c r="B546" s="3115" t="s">
        <v>5391</v>
      </c>
      <c r="C546" s="3115"/>
      <c r="D546" s="3115" t="s">
        <v>5390</v>
      </c>
      <c r="E546" s="3114">
        <v>160.75</v>
      </c>
      <c r="F546" s="3114">
        <v>12530</v>
      </c>
      <c r="G546" s="3114">
        <f t="shared" si="8"/>
        <v>2014197.5</v>
      </c>
    </row>
    <row r="547" spans="1:7" s="3125" customFormat="1" ht="15">
      <c r="A547" s="3118">
        <v>543</v>
      </c>
      <c r="B547" s="3115" t="s">
        <v>5389</v>
      </c>
      <c r="C547" s="3115"/>
      <c r="D547" s="3115" t="s">
        <v>5388</v>
      </c>
      <c r="E547" s="3114">
        <v>160.75</v>
      </c>
      <c r="F547" s="3114">
        <v>12530</v>
      </c>
      <c r="G547" s="3114">
        <f t="shared" si="8"/>
        <v>2014197.5</v>
      </c>
    </row>
    <row r="548" spans="1:7" s="3125" customFormat="1" ht="15">
      <c r="A548" s="3118">
        <v>544</v>
      </c>
      <c r="B548" s="3115" t="s">
        <v>5387</v>
      </c>
      <c r="C548" s="3115"/>
      <c r="D548" s="3115" t="s">
        <v>5386</v>
      </c>
      <c r="E548" s="3114">
        <v>160.75</v>
      </c>
      <c r="F548" s="3114">
        <v>12560</v>
      </c>
      <c r="G548" s="3114">
        <f t="shared" si="8"/>
        <v>2019020</v>
      </c>
    </row>
    <row r="549" spans="1:7" s="3125" customFormat="1" ht="15">
      <c r="A549" s="3118">
        <v>545</v>
      </c>
      <c r="B549" s="3115" t="s">
        <v>5385</v>
      </c>
      <c r="C549" s="3115"/>
      <c r="D549" s="3115" t="s">
        <v>5384</v>
      </c>
      <c r="E549" s="3114">
        <v>160.75</v>
      </c>
      <c r="F549" s="3114">
        <v>12560</v>
      </c>
      <c r="G549" s="3114">
        <f t="shared" si="8"/>
        <v>2019020</v>
      </c>
    </row>
    <row r="550" spans="1:7" s="3125" customFormat="1" ht="15">
      <c r="A550" s="3118">
        <v>546</v>
      </c>
      <c r="B550" s="3115" t="s">
        <v>5383</v>
      </c>
      <c r="C550" s="3115"/>
      <c r="D550" s="3115" t="s">
        <v>5382</v>
      </c>
      <c r="E550" s="3114">
        <v>160.75</v>
      </c>
      <c r="F550" s="3114">
        <v>12560</v>
      </c>
      <c r="G550" s="3114">
        <f t="shared" si="8"/>
        <v>2019020</v>
      </c>
    </row>
    <row r="551" spans="1:7" s="3125" customFormat="1" ht="15">
      <c r="A551" s="3118">
        <v>547</v>
      </c>
      <c r="B551" s="3115" t="s">
        <v>5381</v>
      </c>
      <c r="C551" s="3115"/>
      <c r="D551" s="3115" t="s">
        <v>5380</v>
      </c>
      <c r="E551" s="3114">
        <v>160.75</v>
      </c>
      <c r="F551" s="3114">
        <v>12560</v>
      </c>
      <c r="G551" s="3114">
        <f t="shared" si="8"/>
        <v>2019020</v>
      </c>
    </row>
    <row r="552" spans="1:7" s="3125" customFormat="1" ht="15">
      <c r="A552" s="3118">
        <v>548</v>
      </c>
      <c r="B552" s="3115" t="s">
        <v>5379</v>
      </c>
      <c r="C552" s="3115"/>
      <c r="D552" s="3115" t="s">
        <v>5378</v>
      </c>
      <c r="E552" s="3114">
        <v>160.75</v>
      </c>
      <c r="F552" s="3114">
        <v>12590</v>
      </c>
      <c r="G552" s="3114">
        <f t="shared" si="8"/>
        <v>2023842.5</v>
      </c>
    </row>
    <row r="553" spans="1:7" s="3125" customFormat="1" ht="15">
      <c r="A553" s="3118">
        <v>549</v>
      </c>
      <c r="B553" s="3115" t="s">
        <v>5377</v>
      </c>
      <c r="C553" s="3115"/>
      <c r="D553" s="3115" t="s">
        <v>5376</v>
      </c>
      <c r="E553" s="3114">
        <v>160.75</v>
      </c>
      <c r="F553" s="3114">
        <v>12590</v>
      </c>
      <c r="G553" s="3114">
        <f t="shared" si="8"/>
        <v>2023842.5</v>
      </c>
    </row>
    <row r="554" spans="1:7" s="3125" customFormat="1" ht="15">
      <c r="A554" s="3118">
        <v>550</v>
      </c>
      <c r="B554" s="3115" t="s">
        <v>5375</v>
      </c>
      <c r="C554" s="3115"/>
      <c r="D554" s="3115" t="s">
        <v>5374</v>
      </c>
      <c r="E554" s="3114">
        <v>160.75</v>
      </c>
      <c r="F554" s="3114">
        <v>12560</v>
      </c>
      <c r="G554" s="3114">
        <f t="shared" si="8"/>
        <v>2019020</v>
      </c>
    </row>
    <row r="555" spans="1:7" s="3125" customFormat="1" ht="15">
      <c r="A555" s="3118">
        <v>551</v>
      </c>
      <c r="B555" s="3115" t="s">
        <v>5373</v>
      </c>
      <c r="C555" s="3115"/>
      <c r="D555" s="3115" t="s">
        <v>5372</v>
      </c>
      <c r="E555" s="3114">
        <v>160.75</v>
      </c>
      <c r="F555" s="3114">
        <v>12560</v>
      </c>
      <c r="G555" s="3114">
        <f t="shared" si="8"/>
        <v>2019020</v>
      </c>
    </row>
    <row r="556" spans="1:7" s="3125" customFormat="1" ht="15">
      <c r="A556" s="3118">
        <v>552</v>
      </c>
      <c r="B556" s="3115" t="s">
        <v>5371</v>
      </c>
      <c r="C556" s="3115"/>
      <c r="D556" s="3115" t="s">
        <v>5370</v>
      </c>
      <c r="E556" s="3114">
        <v>160.75</v>
      </c>
      <c r="F556" s="3114">
        <v>12560</v>
      </c>
      <c r="G556" s="3114">
        <f t="shared" si="8"/>
        <v>2019020</v>
      </c>
    </row>
    <row r="557" spans="1:7" s="3125" customFormat="1" ht="15">
      <c r="A557" s="3118">
        <v>553</v>
      </c>
      <c r="B557" s="3115" t="s">
        <v>5369</v>
      </c>
      <c r="C557" s="3115"/>
      <c r="D557" s="3115" t="s">
        <v>5368</v>
      </c>
      <c r="E557" s="3114">
        <v>160.75</v>
      </c>
      <c r="F557" s="3114">
        <v>12560</v>
      </c>
      <c r="G557" s="3114">
        <f t="shared" si="8"/>
        <v>2019020</v>
      </c>
    </row>
    <row r="558" spans="1:7" s="3125" customFormat="1" ht="15">
      <c r="A558" s="3118">
        <v>554</v>
      </c>
      <c r="B558" s="3115" t="s">
        <v>5367</v>
      </c>
      <c r="C558" s="3115"/>
      <c r="D558" s="3115" t="s">
        <v>5366</v>
      </c>
      <c r="E558" s="3114">
        <v>160.75</v>
      </c>
      <c r="F558" s="3114">
        <v>12560</v>
      </c>
      <c r="G558" s="3114">
        <f t="shared" si="8"/>
        <v>2019020</v>
      </c>
    </row>
    <row r="559" spans="1:7" s="3125" customFormat="1" ht="15">
      <c r="A559" s="3118">
        <v>555</v>
      </c>
      <c r="B559" s="3115" t="s">
        <v>5365</v>
      </c>
      <c r="C559" s="3115"/>
      <c r="D559" s="3115" t="s">
        <v>5364</v>
      </c>
      <c r="E559" s="3114">
        <v>160.75</v>
      </c>
      <c r="F559" s="3114">
        <v>12560</v>
      </c>
      <c r="G559" s="3114">
        <f t="shared" si="8"/>
        <v>2019020</v>
      </c>
    </row>
    <row r="560" spans="1:7" s="3125" customFormat="1" ht="15">
      <c r="A560" s="3118">
        <v>556</v>
      </c>
      <c r="B560" s="3115" t="s">
        <v>5363</v>
      </c>
      <c r="C560" s="3115"/>
      <c r="D560" s="3115" t="s">
        <v>5362</v>
      </c>
      <c r="E560" s="3114">
        <v>160.75</v>
      </c>
      <c r="F560" s="3114">
        <v>12560</v>
      </c>
      <c r="G560" s="3114">
        <f t="shared" si="8"/>
        <v>2019020</v>
      </c>
    </row>
    <row r="561" spans="1:7" s="3125" customFormat="1" ht="15">
      <c r="A561" s="3118">
        <v>557</v>
      </c>
      <c r="B561" s="3115" t="s">
        <v>5361</v>
      </c>
      <c r="C561" s="3115"/>
      <c r="D561" s="3115" t="s">
        <v>5360</v>
      </c>
      <c r="E561" s="3114">
        <v>138.51</v>
      </c>
      <c r="F561" s="3114">
        <v>12060</v>
      </c>
      <c r="G561" s="3114">
        <f t="shared" si="8"/>
        <v>1670430.5999999999</v>
      </c>
    </row>
    <row r="562" spans="1:7" s="3125" customFormat="1" ht="15">
      <c r="A562" s="3118">
        <v>558</v>
      </c>
      <c r="B562" s="3116" t="s">
        <v>6302</v>
      </c>
      <c r="C562" s="3116"/>
      <c r="D562" s="3115"/>
      <c r="E562" s="3114">
        <v>160.75</v>
      </c>
      <c r="F562" s="3114">
        <v>15600</v>
      </c>
      <c r="G562" s="3114">
        <f t="shared" si="8"/>
        <v>2507700</v>
      </c>
    </row>
    <row r="563" spans="1:7" s="3125" customFormat="1" ht="15">
      <c r="A563" s="3118">
        <v>559</v>
      </c>
      <c r="B563" s="3116" t="s">
        <v>6304</v>
      </c>
      <c r="C563" s="3116"/>
      <c r="D563" s="3115"/>
      <c r="E563" s="3114">
        <v>88.16</v>
      </c>
      <c r="F563" s="3114">
        <v>16230</v>
      </c>
      <c r="G563" s="3114">
        <f t="shared" si="8"/>
        <v>1430836.8</v>
      </c>
    </row>
    <row r="564" spans="1:7" s="3125" customFormat="1" ht="15">
      <c r="A564" s="3118">
        <v>560</v>
      </c>
      <c r="B564" s="3116" t="s">
        <v>6300</v>
      </c>
      <c r="C564" s="3116"/>
      <c r="D564" s="3115"/>
      <c r="E564" s="3114">
        <v>136.66999999999999</v>
      </c>
      <c r="F564" s="3114">
        <v>15400</v>
      </c>
      <c r="G564" s="3114">
        <f t="shared" si="8"/>
        <v>2104718</v>
      </c>
    </row>
    <row r="565" spans="1:7" s="3125" customFormat="1" ht="15">
      <c r="A565" s="3118">
        <v>561</v>
      </c>
      <c r="B565" s="3116" t="s">
        <v>6299</v>
      </c>
      <c r="C565" s="3116"/>
      <c r="D565" s="3115"/>
      <c r="E565" s="3114">
        <v>136.66999999999999</v>
      </c>
      <c r="F565" s="3114">
        <v>16100</v>
      </c>
      <c r="G565" s="3114">
        <f t="shared" si="8"/>
        <v>2200387</v>
      </c>
    </row>
    <row r="566" spans="1:7" s="3125" customFormat="1" ht="15">
      <c r="A566" s="3118">
        <v>562</v>
      </c>
      <c r="B566" s="3116" t="s">
        <v>6301</v>
      </c>
      <c r="C566" s="3116"/>
      <c r="D566" s="3115"/>
      <c r="E566" s="3114">
        <v>136.66999999999999</v>
      </c>
      <c r="F566" s="3114">
        <v>15400</v>
      </c>
      <c r="G566" s="3114">
        <f t="shared" si="8"/>
        <v>2104718</v>
      </c>
    </row>
    <row r="567" spans="1:7" s="3125" customFormat="1" ht="15">
      <c r="A567" s="3118">
        <v>563</v>
      </c>
      <c r="B567" s="3115" t="s">
        <v>5359</v>
      </c>
      <c r="C567" s="3115"/>
      <c r="D567" s="3115"/>
      <c r="E567" s="3114">
        <v>110.76</v>
      </c>
      <c r="F567" s="3114">
        <v>8950</v>
      </c>
      <c r="G567" s="3114">
        <f t="shared" si="8"/>
        <v>991302</v>
      </c>
    </row>
    <row r="568" spans="1:7" s="3125" customFormat="1" ht="15">
      <c r="A568" s="3118">
        <v>564</v>
      </c>
      <c r="B568" s="3115" t="s">
        <v>5358</v>
      </c>
      <c r="C568" s="3115"/>
      <c r="D568" s="3115"/>
      <c r="E568" s="3114">
        <v>110.76</v>
      </c>
      <c r="F568" s="3114">
        <v>10360</v>
      </c>
      <c r="G568" s="3114">
        <f t="shared" si="8"/>
        <v>1147473.6000000001</v>
      </c>
    </row>
    <row r="569" spans="1:7" s="3125" customFormat="1" ht="15">
      <c r="A569" s="3118">
        <v>565</v>
      </c>
      <c r="B569" s="3115" t="s">
        <v>5357</v>
      </c>
      <c r="C569" s="3115"/>
      <c r="D569" s="3115"/>
      <c r="E569" s="3114">
        <v>110.89</v>
      </c>
      <c r="F569" s="3114">
        <v>8950</v>
      </c>
      <c r="G569" s="3114">
        <f t="shared" si="8"/>
        <v>992465.5</v>
      </c>
    </row>
    <row r="570" spans="1:7" s="3125" customFormat="1" ht="15">
      <c r="A570" s="3118">
        <v>566</v>
      </c>
      <c r="B570" s="3115" t="s">
        <v>5356</v>
      </c>
      <c r="C570" s="3115"/>
      <c r="D570" s="3115"/>
      <c r="E570" s="3114">
        <v>110.89</v>
      </c>
      <c r="F570" s="3114">
        <v>9150</v>
      </c>
      <c r="G570" s="3114">
        <f t="shared" si="8"/>
        <v>1014643.5</v>
      </c>
    </row>
    <row r="571" spans="1:7" s="3125" customFormat="1" ht="15">
      <c r="A571" s="3118">
        <v>567</v>
      </c>
      <c r="B571" s="3115" t="s">
        <v>5355</v>
      </c>
      <c r="C571" s="3115"/>
      <c r="D571" s="3115"/>
      <c r="E571" s="3114">
        <v>110.89</v>
      </c>
      <c r="F571" s="3114">
        <v>9600</v>
      </c>
      <c r="G571" s="3114">
        <f t="shared" si="8"/>
        <v>1064544</v>
      </c>
    </row>
    <row r="572" spans="1:7" s="3125" customFormat="1" ht="15">
      <c r="A572" s="3118">
        <v>568</v>
      </c>
      <c r="B572" s="3115" t="s">
        <v>5354</v>
      </c>
      <c r="C572" s="3115"/>
      <c r="D572" s="3115"/>
      <c r="E572" s="3114">
        <v>110.89</v>
      </c>
      <c r="F572" s="3114">
        <v>9950</v>
      </c>
      <c r="G572" s="3114">
        <f t="shared" si="8"/>
        <v>1103355.5</v>
      </c>
    </row>
    <row r="573" spans="1:7" s="3125" customFormat="1" ht="15">
      <c r="A573" s="3118">
        <v>569</v>
      </c>
      <c r="B573" s="3115" t="s">
        <v>5353</v>
      </c>
      <c r="C573" s="3115"/>
      <c r="D573" s="3115"/>
      <c r="E573" s="3114">
        <v>110.89</v>
      </c>
      <c r="F573" s="3114">
        <v>10000</v>
      </c>
      <c r="G573" s="3114">
        <f t="shared" si="8"/>
        <v>1108900</v>
      </c>
    </row>
    <row r="574" spans="1:7" s="3125" customFormat="1" ht="15">
      <c r="A574" s="3118">
        <v>570</v>
      </c>
      <c r="B574" s="3115" t="s">
        <v>5352</v>
      </c>
      <c r="C574" s="3115"/>
      <c r="D574" s="3115"/>
      <c r="E574" s="3114">
        <v>110.89</v>
      </c>
      <c r="F574" s="3114">
        <v>10050</v>
      </c>
      <c r="G574" s="3114">
        <f t="shared" si="8"/>
        <v>1114444.5</v>
      </c>
    </row>
    <row r="575" spans="1:7" s="3125" customFormat="1" ht="15">
      <c r="A575" s="3118">
        <v>571</v>
      </c>
      <c r="B575" s="3115" t="s">
        <v>5351</v>
      </c>
      <c r="C575" s="3115"/>
      <c r="D575" s="3115"/>
      <c r="E575" s="3114">
        <v>110.89</v>
      </c>
      <c r="F575" s="3114">
        <v>10100</v>
      </c>
      <c r="G575" s="3114">
        <f t="shared" si="8"/>
        <v>1119989</v>
      </c>
    </row>
    <row r="576" spans="1:7" s="3125" customFormat="1" ht="15">
      <c r="A576" s="3118">
        <v>572</v>
      </c>
      <c r="B576" s="3115" t="s">
        <v>5350</v>
      </c>
      <c r="C576" s="3115"/>
      <c r="D576" s="3115"/>
      <c r="E576" s="3114">
        <v>110.89</v>
      </c>
      <c r="F576" s="3114">
        <v>10150</v>
      </c>
      <c r="G576" s="3114">
        <f t="shared" si="8"/>
        <v>1125533.5</v>
      </c>
    </row>
    <row r="577" spans="1:7" s="3125" customFormat="1" ht="15">
      <c r="A577" s="3118">
        <v>573</v>
      </c>
      <c r="B577" s="3115" t="s">
        <v>5349</v>
      </c>
      <c r="C577" s="3115"/>
      <c r="D577" s="3115"/>
      <c r="E577" s="3114">
        <v>110.89</v>
      </c>
      <c r="F577" s="3114">
        <v>10200</v>
      </c>
      <c r="G577" s="3114">
        <f t="shared" si="8"/>
        <v>1131078</v>
      </c>
    </row>
    <row r="578" spans="1:7" s="3125" customFormat="1" ht="15">
      <c r="A578" s="3118">
        <v>574</v>
      </c>
      <c r="B578" s="3115" t="s">
        <v>5348</v>
      </c>
      <c r="C578" s="3115"/>
      <c r="D578" s="3115"/>
      <c r="E578" s="3114">
        <v>110.89</v>
      </c>
      <c r="F578" s="3114">
        <v>10250</v>
      </c>
      <c r="G578" s="3114">
        <f t="shared" si="8"/>
        <v>1136622.5</v>
      </c>
    </row>
    <row r="579" spans="1:7" s="3125" customFormat="1" ht="15">
      <c r="A579" s="3118">
        <v>575</v>
      </c>
      <c r="B579" s="3115" t="s">
        <v>5347</v>
      </c>
      <c r="C579" s="3115"/>
      <c r="D579" s="3115"/>
      <c r="E579" s="3114">
        <v>110.89</v>
      </c>
      <c r="F579" s="3114">
        <v>10300</v>
      </c>
      <c r="G579" s="3114">
        <f t="shared" si="8"/>
        <v>1142167</v>
      </c>
    </row>
    <row r="580" spans="1:7" s="3125" customFormat="1" ht="15">
      <c r="A580" s="3118">
        <v>576</v>
      </c>
      <c r="B580" s="3115" t="s">
        <v>5346</v>
      </c>
      <c r="C580" s="3115"/>
      <c r="D580" s="3115"/>
      <c r="E580" s="3114">
        <v>110.89</v>
      </c>
      <c r="F580" s="3114">
        <v>10300</v>
      </c>
      <c r="G580" s="3114">
        <f t="shared" si="8"/>
        <v>1142167</v>
      </c>
    </row>
    <row r="581" spans="1:7" s="3125" customFormat="1" ht="15">
      <c r="A581" s="3118">
        <v>577</v>
      </c>
      <c r="B581" s="3115" t="s">
        <v>5345</v>
      </c>
      <c r="C581" s="3115"/>
      <c r="D581" s="3115"/>
      <c r="E581" s="3114">
        <v>110.89</v>
      </c>
      <c r="F581" s="3114">
        <v>10300</v>
      </c>
      <c r="G581" s="3114">
        <f t="shared" ref="G581:G644" si="9">E581*F581</f>
        <v>1142167</v>
      </c>
    </row>
    <row r="582" spans="1:7" s="3125" customFormat="1" ht="15">
      <c r="A582" s="3118">
        <v>578</v>
      </c>
      <c r="B582" s="3115" t="s">
        <v>5344</v>
      </c>
      <c r="C582" s="3115"/>
      <c r="D582" s="3115"/>
      <c r="E582" s="3114">
        <v>110.89</v>
      </c>
      <c r="F582" s="3114">
        <v>10330</v>
      </c>
      <c r="G582" s="3114">
        <f t="shared" si="9"/>
        <v>1145493.7</v>
      </c>
    </row>
    <row r="583" spans="1:7" s="3125" customFormat="1" ht="15">
      <c r="A583" s="3118">
        <v>579</v>
      </c>
      <c r="B583" s="3115" t="s">
        <v>5343</v>
      </c>
      <c r="C583" s="3115"/>
      <c r="D583" s="3115"/>
      <c r="E583" s="3114">
        <v>110.89</v>
      </c>
      <c r="F583" s="3114">
        <v>10330</v>
      </c>
      <c r="G583" s="3114">
        <f t="shared" si="9"/>
        <v>1145493.7</v>
      </c>
    </row>
    <row r="584" spans="1:7" s="3125" customFormat="1" ht="15">
      <c r="A584" s="3118">
        <v>580</v>
      </c>
      <c r="B584" s="3115" t="s">
        <v>5342</v>
      </c>
      <c r="C584" s="3115"/>
      <c r="D584" s="3115"/>
      <c r="E584" s="3114">
        <v>110.89</v>
      </c>
      <c r="F584" s="3114">
        <v>10360</v>
      </c>
      <c r="G584" s="3114">
        <f t="shared" si="9"/>
        <v>1148820.3999999999</v>
      </c>
    </row>
    <row r="585" spans="1:7" s="3125" customFormat="1" ht="15">
      <c r="A585" s="3118">
        <v>581</v>
      </c>
      <c r="B585" s="3115" t="s">
        <v>5341</v>
      </c>
      <c r="C585" s="3115"/>
      <c r="D585" s="3115"/>
      <c r="E585" s="3114">
        <v>110.89</v>
      </c>
      <c r="F585" s="3114">
        <v>10360</v>
      </c>
      <c r="G585" s="3114">
        <f t="shared" si="9"/>
        <v>1148820.3999999999</v>
      </c>
    </row>
    <row r="586" spans="1:7" s="3125" customFormat="1" ht="15">
      <c r="A586" s="3118">
        <v>582</v>
      </c>
      <c r="B586" s="3115" t="s">
        <v>5340</v>
      </c>
      <c r="C586" s="3115"/>
      <c r="D586" s="3115"/>
      <c r="E586" s="3114">
        <v>110.89</v>
      </c>
      <c r="F586" s="3114">
        <v>10360</v>
      </c>
      <c r="G586" s="3114">
        <f t="shared" si="9"/>
        <v>1148820.3999999999</v>
      </c>
    </row>
    <row r="587" spans="1:7" s="3125" customFormat="1" ht="15">
      <c r="A587" s="3118">
        <v>583</v>
      </c>
      <c r="B587" s="3115" t="s">
        <v>5339</v>
      </c>
      <c r="C587" s="3115"/>
      <c r="D587" s="3115"/>
      <c r="E587" s="3114">
        <v>110.89</v>
      </c>
      <c r="F587" s="3114">
        <v>10360</v>
      </c>
      <c r="G587" s="3114">
        <f t="shared" si="9"/>
        <v>1148820.3999999999</v>
      </c>
    </row>
    <row r="588" spans="1:7" s="3125" customFormat="1" ht="15">
      <c r="A588" s="3118">
        <v>584</v>
      </c>
      <c r="B588" s="3115" t="s">
        <v>5338</v>
      </c>
      <c r="C588" s="3115"/>
      <c r="D588" s="3115"/>
      <c r="E588" s="3114">
        <v>110.89</v>
      </c>
      <c r="F588" s="3114">
        <v>10390</v>
      </c>
      <c r="G588" s="3114">
        <f t="shared" si="9"/>
        <v>1152147.1000000001</v>
      </c>
    </row>
    <row r="589" spans="1:7" s="3125" customFormat="1" ht="15">
      <c r="A589" s="3118">
        <v>585</v>
      </c>
      <c r="B589" s="3115" t="s">
        <v>5337</v>
      </c>
      <c r="C589" s="3115"/>
      <c r="D589" s="3115"/>
      <c r="E589" s="3114">
        <v>110.89</v>
      </c>
      <c r="F589" s="3114">
        <v>10390</v>
      </c>
      <c r="G589" s="3114">
        <f t="shared" si="9"/>
        <v>1152147.1000000001</v>
      </c>
    </row>
    <row r="590" spans="1:7" s="3125" customFormat="1" ht="15">
      <c r="A590" s="3118">
        <v>586</v>
      </c>
      <c r="B590" s="3115" t="s">
        <v>5336</v>
      </c>
      <c r="C590" s="3115"/>
      <c r="D590" s="3115"/>
      <c r="E590" s="3114">
        <v>110.89</v>
      </c>
      <c r="F590" s="3114">
        <v>10390</v>
      </c>
      <c r="G590" s="3114">
        <f t="shared" si="9"/>
        <v>1152147.1000000001</v>
      </c>
    </row>
    <row r="591" spans="1:7" s="3125" customFormat="1" ht="15">
      <c r="A591" s="3118">
        <v>587</v>
      </c>
      <c r="B591" s="3115" t="s">
        <v>5335</v>
      </c>
      <c r="C591" s="3115"/>
      <c r="D591" s="3115"/>
      <c r="E591" s="3114">
        <v>110.89</v>
      </c>
      <c r="F591" s="3114">
        <v>10390</v>
      </c>
      <c r="G591" s="3114">
        <f t="shared" si="9"/>
        <v>1152147.1000000001</v>
      </c>
    </row>
    <row r="592" spans="1:7" s="3125" customFormat="1" ht="15">
      <c r="A592" s="3118">
        <v>588</v>
      </c>
      <c r="B592" s="3115" t="s">
        <v>5334</v>
      </c>
      <c r="C592" s="3115"/>
      <c r="D592" s="3115"/>
      <c r="E592" s="3114">
        <v>110.89</v>
      </c>
      <c r="F592" s="3114">
        <v>10390</v>
      </c>
      <c r="G592" s="3114">
        <f t="shared" si="9"/>
        <v>1152147.1000000001</v>
      </c>
    </row>
    <row r="593" spans="1:7" s="3125" customFormat="1" ht="15">
      <c r="A593" s="3118">
        <v>589</v>
      </c>
      <c r="B593" s="3115" t="s">
        <v>5333</v>
      </c>
      <c r="C593" s="3115"/>
      <c r="D593" s="3115"/>
      <c r="E593" s="3114">
        <v>110.89</v>
      </c>
      <c r="F593" s="3114">
        <v>10390</v>
      </c>
      <c r="G593" s="3114">
        <f t="shared" si="9"/>
        <v>1152147.1000000001</v>
      </c>
    </row>
    <row r="594" spans="1:7" s="3125" customFormat="1" ht="15">
      <c r="A594" s="3118">
        <v>590</v>
      </c>
      <c r="B594" s="3115" t="s">
        <v>5332</v>
      </c>
      <c r="C594" s="3115"/>
      <c r="D594" s="3115"/>
      <c r="E594" s="3114">
        <v>110.89</v>
      </c>
      <c r="F594" s="3114">
        <v>10390</v>
      </c>
      <c r="G594" s="3114">
        <f t="shared" si="9"/>
        <v>1152147.1000000001</v>
      </c>
    </row>
    <row r="595" spans="1:7" s="3125" customFormat="1" ht="15">
      <c r="A595" s="3118">
        <v>591</v>
      </c>
      <c r="B595" s="3115" t="s">
        <v>5331</v>
      </c>
      <c r="C595" s="3115"/>
      <c r="D595" s="3115"/>
      <c r="E595" s="3114">
        <v>110.89</v>
      </c>
      <c r="F595" s="3114">
        <v>10390</v>
      </c>
      <c r="G595" s="3114">
        <f t="shared" si="9"/>
        <v>1152147.1000000001</v>
      </c>
    </row>
    <row r="596" spans="1:7" s="3125" customFormat="1" ht="15">
      <c r="A596" s="3118">
        <v>592</v>
      </c>
      <c r="B596" s="3115" t="s">
        <v>5330</v>
      </c>
      <c r="C596" s="3115"/>
      <c r="D596" s="3115"/>
      <c r="E596" s="3114">
        <v>110.89</v>
      </c>
      <c r="F596" s="3114">
        <v>10390</v>
      </c>
      <c r="G596" s="3114">
        <f t="shared" si="9"/>
        <v>1152147.1000000001</v>
      </c>
    </row>
    <row r="597" spans="1:7" s="3125" customFormat="1" ht="15">
      <c r="A597" s="3118">
        <v>593</v>
      </c>
      <c r="B597" s="3115" t="s">
        <v>5329</v>
      </c>
      <c r="C597" s="3115"/>
      <c r="D597" s="3115"/>
      <c r="E597" s="3114">
        <v>110.89</v>
      </c>
      <c r="F597" s="3114">
        <v>8950</v>
      </c>
      <c r="G597" s="3114">
        <f t="shared" si="9"/>
        <v>992465.5</v>
      </c>
    </row>
    <row r="598" spans="1:7" s="3125" customFormat="1" ht="15">
      <c r="A598" s="3118">
        <v>594</v>
      </c>
      <c r="B598" s="3115" t="s">
        <v>5328</v>
      </c>
      <c r="C598" s="3115"/>
      <c r="D598" s="3115"/>
      <c r="E598" s="3114">
        <v>110.89</v>
      </c>
      <c r="F598" s="3114">
        <v>9150</v>
      </c>
      <c r="G598" s="3114">
        <f t="shared" si="9"/>
        <v>1014643.5</v>
      </c>
    </row>
    <row r="599" spans="1:7" s="3125" customFormat="1" ht="15">
      <c r="A599" s="3118">
        <v>595</v>
      </c>
      <c r="B599" s="3115" t="s">
        <v>5327</v>
      </c>
      <c r="C599" s="3115"/>
      <c r="D599" s="3115"/>
      <c r="E599" s="3114">
        <v>110.89</v>
      </c>
      <c r="F599" s="3114">
        <v>9600</v>
      </c>
      <c r="G599" s="3114">
        <f t="shared" si="9"/>
        <v>1064544</v>
      </c>
    </row>
    <row r="600" spans="1:7" s="3125" customFormat="1" ht="15">
      <c r="A600" s="3118">
        <v>596</v>
      </c>
      <c r="B600" s="3115" t="s">
        <v>5326</v>
      </c>
      <c r="C600" s="3115"/>
      <c r="D600" s="3115"/>
      <c r="E600" s="3114">
        <v>110.89</v>
      </c>
      <c r="F600" s="3114">
        <v>9950</v>
      </c>
      <c r="G600" s="3114">
        <f t="shared" si="9"/>
        <v>1103355.5</v>
      </c>
    </row>
    <row r="601" spans="1:7" s="3125" customFormat="1" ht="15">
      <c r="A601" s="3118">
        <v>597</v>
      </c>
      <c r="B601" s="3115" t="s">
        <v>5325</v>
      </c>
      <c r="C601" s="3115"/>
      <c r="D601" s="3115"/>
      <c r="E601" s="3114">
        <v>110.89</v>
      </c>
      <c r="F601" s="3114">
        <v>10000</v>
      </c>
      <c r="G601" s="3114">
        <f t="shared" si="9"/>
        <v>1108900</v>
      </c>
    </row>
    <row r="602" spans="1:7" s="3125" customFormat="1" ht="15">
      <c r="A602" s="3118">
        <v>598</v>
      </c>
      <c r="B602" s="3115" t="s">
        <v>5324</v>
      </c>
      <c r="C602" s="3115"/>
      <c r="D602" s="3115"/>
      <c r="E602" s="3114">
        <v>110.89</v>
      </c>
      <c r="F602" s="3114">
        <v>10050</v>
      </c>
      <c r="G602" s="3114">
        <f t="shared" si="9"/>
        <v>1114444.5</v>
      </c>
    </row>
    <row r="603" spans="1:7" s="3125" customFormat="1" ht="15">
      <c r="A603" s="3118">
        <v>599</v>
      </c>
      <c r="B603" s="3115" t="s">
        <v>5323</v>
      </c>
      <c r="C603" s="3115"/>
      <c r="D603" s="3115"/>
      <c r="E603" s="3114">
        <v>110.89</v>
      </c>
      <c r="F603" s="3114">
        <v>10100</v>
      </c>
      <c r="G603" s="3114">
        <f t="shared" si="9"/>
        <v>1119989</v>
      </c>
    </row>
    <row r="604" spans="1:7" s="3125" customFormat="1" ht="15">
      <c r="A604" s="3118">
        <v>600</v>
      </c>
      <c r="B604" s="3115" t="s">
        <v>5322</v>
      </c>
      <c r="C604" s="3115"/>
      <c r="D604" s="3115"/>
      <c r="E604" s="3114">
        <v>110.89</v>
      </c>
      <c r="F604" s="3114">
        <v>10150</v>
      </c>
      <c r="G604" s="3114">
        <f t="shared" si="9"/>
        <v>1125533.5</v>
      </c>
    </row>
    <row r="605" spans="1:7" s="3125" customFormat="1" ht="15">
      <c r="A605" s="3118">
        <v>601</v>
      </c>
      <c r="B605" s="3115" t="s">
        <v>5321</v>
      </c>
      <c r="C605" s="3115"/>
      <c r="D605" s="3115"/>
      <c r="E605" s="3114">
        <v>110.89</v>
      </c>
      <c r="F605" s="3114">
        <v>10200</v>
      </c>
      <c r="G605" s="3114">
        <f t="shared" si="9"/>
        <v>1131078</v>
      </c>
    </row>
    <row r="606" spans="1:7" s="3125" customFormat="1" ht="15">
      <c r="A606" s="3118">
        <v>602</v>
      </c>
      <c r="B606" s="3115" t="s">
        <v>5320</v>
      </c>
      <c r="C606" s="3115"/>
      <c r="D606" s="3115"/>
      <c r="E606" s="3114">
        <v>110.89</v>
      </c>
      <c r="F606" s="3114">
        <v>10250</v>
      </c>
      <c r="G606" s="3114">
        <f t="shared" si="9"/>
        <v>1136622.5</v>
      </c>
    </row>
    <row r="607" spans="1:7" s="3125" customFormat="1" ht="15">
      <c r="A607" s="3118">
        <v>603</v>
      </c>
      <c r="B607" s="3115" t="s">
        <v>5319</v>
      </c>
      <c r="C607" s="3115"/>
      <c r="D607" s="3115"/>
      <c r="E607" s="3114">
        <v>110.89</v>
      </c>
      <c r="F607" s="3114">
        <v>10300</v>
      </c>
      <c r="G607" s="3114">
        <f t="shared" si="9"/>
        <v>1142167</v>
      </c>
    </row>
    <row r="608" spans="1:7" s="3125" customFormat="1" ht="15">
      <c r="A608" s="3118">
        <v>604</v>
      </c>
      <c r="B608" s="3115" t="s">
        <v>5318</v>
      </c>
      <c r="C608" s="3115"/>
      <c r="D608" s="3115"/>
      <c r="E608" s="3114">
        <v>110.89</v>
      </c>
      <c r="F608" s="3114">
        <v>10300</v>
      </c>
      <c r="G608" s="3114">
        <f t="shared" si="9"/>
        <v>1142167</v>
      </c>
    </row>
    <row r="609" spans="1:7" s="3125" customFormat="1" ht="15">
      <c r="A609" s="3118">
        <v>605</v>
      </c>
      <c r="B609" s="3115" t="s">
        <v>5317</v>
      </c>
      <c r="C609" s="3115"/>
      <c r="D609" s="3115"/>
      <c r="E609" s="3114">
        <v>110.89</v>
      </c>
      <c r="F609" s="3114">
        <v>10360</v>
      </c>
      <c r="G609" s="3114">
        <f t="shared" si="9"/>
        <v>1148820.3999999999</v>
      </c>
    </row>
    <row r="610" spans="1:7" s="3125" customFormat="1" ht="15">
      <c r="A610" s="3118">
        <v>606</v>
      </c>
      <c r="B610" s="3115" t="s">
        <v>5316</v>
      </c>
      <c r="C610" s="3115"/>
      <c r="D610" s="3115"/>
      <c r="E610" s="3114">
        <v>110.89</v>
      </c>
      <c r="F610" s="3114">
        <v>10360</v>
      </c>
      <c r="G610" s="3114">
        <f t="shared" si="9"/>
        <v>1148820.3999999999</v>
      </c>
    </row>
    <row r="611" spans="1:7" s="3125" customFormat="1" ht="15">
      <c r="A611" s="3118">
        <v>607</v>
      </c>
      <c r="B611" s="3115" t="s">
        <v>5315</v>
      </c>
      <c r="C611" s="3115"/>
      <c r="D611" s="3115"/>
      <c r="E611" s="3114">
        <v>110.89</v>
      </c>
      <c r="F611" s="3114">
        <v>10390</v>
      </c>
      <c r="G611" s="3114">
        <f t="shared" si="9"/>
        <v>1152147.1000000001</v>
      </c>
    </row>
    <row r="612" spans="1:7" s="3125" customFormat="1" ht="15">
      <c r="A612" s="3118">
        <v>608</v>
      </c>
      <c r="B612" s="3115" t="s">
        <v>5314</v>
      </c>
      <c r="C612" s="3115"/>
      <c r="D612" s="3115"/>
      <c r="E612" s="3114">
        <v>110.89</v>
      </c>
      <c r="F612" s="3114">
        <v>10390</v>
      </c>
      <c r="G612" s="3114">
        <f t="shared" si="9"/>
        <v>1152147.1000000001</v>
      </c>
    </row>
    <row r="613" spans="1:7" s="3125" customFormat="1" ht="15">
      <c r="A613" s="3118">
        <v>609</v>
      </c>
      <c r="B613" s="3115" t="s">
        <v>5313</v>
      </c>
      <c r="C613" s="3115"/>
      <c r="D613" s="3115"/>
      <c r="E613" s="3114">
        <v>110.89</v>
      </c>
      <c r="F613" s="3114">
        <v>10390</v>
      </c>
      <c r="G613" s="3114">
        <f t="shared" si="9"/>
        <v>1152147.1000000001</v>
      </c>
    </row>
    <row r="614" spans="1:7" s="3125" customFormat="1" ht="15">
      <c r="A614" s="3118">
        <v>610</v>
      </c>
      <c r="B614" s="3115" t="s">
        <v>5312</v>
      </c>
      <c r="C614" s="3115"/>
      <c r="D614" s="3115"/>
      <c r="E614" s="3114">
        <v>110.89</v>
      </c>
      <c r="F614" s="3114">
        <v>10390</v>
      </c>
      <c r="G614" s="3114">
        <f t="shared" si="9"/>
        <v>1152147.1000000001</v>
      </c>
    </row>
    <row r="615" spans="1:7" s="3125" customFormat="1" ht="15">
      <c r="A615" s="3118">
        <v>611</v>
      </c>
      <c r="B615" s="3115" t="s">
        <v>5311</v>
      </c>
      <c r="C615" s="3115"/>
      <c r="D615" s="3115"/>
      <c r="E615" s="3114">
        <v>110.89</v>
      </c>
      <c r="F615" s="3114">
        <v>10390</v>
      </c>
      <c r="G615" s="3114">
        <f t="shared" si="9"/>
        <v>1152147.1000000001</v>
      </c>
    </row>
    <row r="616" spans="1:7" s="3125" customFormat="1" ht="15">
      <c r="A616" s="3118">
        <v>612</v>
      </c>
      <c r="B616" s="3115" t="s">
        <v>5310</v>
      </c>
      <c r="C616" s="3115"/>
      <c r="D616" s="3115"/>
      <c r="E616" s="3114">
        <v>110.89</v>
      </c>
      <c r="F616" s="3114">
        <v>10390</v>
      </c>
      <c r="G616" s="3114">
        <f t="shared" si="9"/>
        <v>1152147.1000000001</v>
      </c>
    </row>
    <row r="617" spans="1:7" s="3125" customFormat="1" ht="15">
      <c r="A617" s="3118">
        <v>613</v>
      </c>
      <c r="B617" s="3115" t="s">
        <v>5309</v>
      </c>
      <c r="C617" s="3115"/>
      <c r="D617" s="3115"/>
      <c r="E617" s="3114">
        <v>110.89</v>
      </c>
      <c r="F617" s="3114">
        <v>10390</v>
      </c>
      <c r="G617" s="3114">
        <f t="shared" si="9"/>
        <v>1152147.1000000001</v>
      </c>
    </row>
    <row r="618" spans="1:7" s="3125" customFormat="1" ht="15">
      <c r="A618" s="3118">
        <v>614</v>
      </c>
      <c r="B618" s="3115" t="s">
        <v>5308</v>
      </c>
      <c r="C618" s="3115"/>
      <c r="D618" s="3115"/>
      <c r="E618" s="3114">
        <v>110.76</v>
      </c>
      <c r="F618" s="3114">
        <v>8950</v>
      </c>
      <c r="G618" s="3114">
        <f t="shared" si="9"/>
        <v>991302</v>
      </c>
    </row>
    <row r="619" spans="1:7" s="3125" customFormat="1" ht="15">
      <c r="A619" s="3118">
        <v>615</v>
      </c>
      <c r="B619" s="3115" t="s">
        <v>5307</v>
      </c>
      <c r="C619" s="3115"/>
      <c r="D619" s="3115"/>
      <c r="E619" s="3114">
        <v>138.16999999999999</v>
      </c>
      <c r="F619" s="3114">
        <v>11150</v>
      </c>
      <c r="G619" s="3114">
        <f t="shared" si="9"/>
        <v>1540595.4999999998</v>
      </c>
    </row>
    <row r="620" spans="1:7" s="3125" customFormat="1" ht="15">
      <c r="A620" s="3118">
        <v>616</v>
      </c>
      <c r="B620" s="3115" t="s">
        <v>5306</v>
      </c>
      <c r="C620" s="3115"/>
      <c r="D620" s="3115"/>
      <c r="E620" s="3114">
        <v>138.16999999999999</v>
      </c>
      <c r="F620" s="3114">
        <v>11350</v>
      </c>
      <c r="G620" s="3114">
        <f t="shared" si="9"/>
        <v>1568229.4999999998</v>
      </c>
    </row>
    <row r="621" spans="1:7" s="3125" customFormat="1" ht="15">
      <c r="A621" s="3118">
        <v>617</v>
      </c>
      <c r="B621" s="3115" t="s">
        <v>5305</v>
      </c>
      <c r="C621" s="3115"/>
      <c r="D621" s="3115"/>
      <c r="E621" s="3114">
        <v>138.16999999999999</v>
      </c>
      <c r="F621" s="3114">
        <v>11800</v>
      </c>
      <c r="G621" s="3114">
        <f t="shared" si="9"/>
        <v>1630405.9999999998</v>
      </c>
    </row>
    <row r="622" spans="1:7" s="3125" customFormat="1" ht="15">
      <c r="A622" s="3118">
        <v>618</v>
      </c>
      <c r="B622" s="3115" t="s">
        <v>5304</v>
      </c>
      <c r="C622" s="3115"/>
      <c r="D622" s="3115"/>
      <c r="E622" s="3114">
        <v>138.16999999999999</v>
      </c>
      <c r="F622" s="3114">
        <v>12150</v>
      </c>
      <c r="G622" s="3114">
        <f t="shared" si="9"/>
        <v>1678765.4999999998</v>
      </c>
    </row>
    <row r="623" spans="1:7" s="3125" customFormat="1" ht="15">
      <c r="A623" s="3118">
        <v>619</v>
      </c>
      <c r="B623" s="3115" t="s">
        <v>5303</v>
      </c>
      <c r="C623" s="3115"/>
      <c r="D623" s="3115"/>
      <c r="E623" s="3114">
        <v>138.16999999999999</v>
      </c>
      <c r="F623" s="3114">
        <v>12200</v>
      </c>
      <c r="G623" s="3114">
        <f t="shared" si="9"/>
        <v>1685673.9999999998</v>
      </c>
    </row>
    <row r="624" spans="1:7" s="3125" customFormat="1" ht="15">
      <c r="A624" s="3118">
        <v>620</v>
      </c>
      <c r="B624" s="3115" t="s">
        <v>5302</v>
      </c>
      <c r="C624" s="3115"/>
      <c r="D624" s="3115"/>
      <c r="E624" s="3114">
        <v>138.16999999999999</v>
      </c>
      <c r="F624" s="3114">
        <v>12250</v>
      </c>
      <c r="G624" s="3114">
        <f t="shared" si="9"/>
        <v>1692582.4999999998</v>
      </c>
    </row>
    <row r="625" spans="1:7" s="3125" customFormat="1" ht="15">
      <c r="A625" s="3118">
        <v>621</v>
      </c>
      <c r="B625" s="3115" t="s">
        <v>5301</v>
      </c>
      <c r="C625" s="3115"/>
      <c r="D625" s="3115"/>
      <c r="E625" s="3114">
        <v>138.16999999999999</v>
      </c>
      <c r="F625" s="3114">
        <v>12300</v>
      </c>
      <c r="G625" s="3114">
        <f t="shared" si="9"/>
        <v>1699490.9999999998</v>
      </c>
    </row>
    <row r="626" spans="1:7" s="3125" customFormat="1" ht="15">
      <c r="A626" s="3118">
        <v>622</v>
      </c>
      <c r="B626" s="3115" t="s">
        <v>5300</v>
      </c>
      <c r="C626" s="3115"/>
      <c r="D626" s="3115"/>
      <c r="E626" s="3114">
        <v>138.16999999999999</v>
      </c>
      <c r="F626" s="3114">
        <v>12350</v>
      </c>
      <c r="G626" s="3114">
        <f t="shared" si="9"/>
        <v>1706399.4999999998</v>
      </c>
    </row>
    <row r="627" spans="1:7" s="3125" customFormat="1" ht="15">
      <c r="A627" s="3118">
        <v>623</v>
      </c>
      <c r="B627" s="3115" t="s">
        <v>5299</v>
      </c>
      <c r="C627" s="3115"/>
      <c r="D627" s="3115"/>
      <c r="E627" s="3114">
        <v>138.16999999999999</v>
      </c>
      <c r="F627" s="3114">
        <v>12400</v>
      </c>
      <c r="G627" s="3114">
        <f t="shared" si="9"/>
        <v>1713307.9999999998</v>
      </c>
    </row>
    <row r="628" spans="1:7" s="3125" customFormat="1" ht="15">
      <c r="A628" s="3118">
        <v>624</v>
      </c>
      <c r="B628" s="3115" t="s">
        <v>5298</v>
      </c>
      <c r="C628" s="3115"/>
      <c r="D628" s="3115"/>
      <c r="E628" s="3114">
        <v>138.16999999999999</v>
      </c>
      <c r="F628" s="3114">
        <v>12450</v>
      </c>
      <c r="G628" s="3114">
        <f t="shared" si="9"/>
        <v>1720216.4999999998</v>
      </c>
    </row>
    <row r="629" spans="1:7" s="3125" customFormat="1" ht="15">
      <c r="A629" s="3118">
        <v>625</v>
      </c>
      <c r="B629" s="3115" t="s">
        <v>5297</v>
      </c>
      <c r="C629" s="3115"/>
      <c r="D629" s="3115"/>
      <c r="E629" s="3114">
        <v>138.16999999999999</v>
      </c>
      <c r="F629" s="3114">
        <v>12500</v>
      </c>
      <c r="G629" s="3114">
        <f t="shared" si="9"/>
        <v>1727124.9999999998</v>
      </c>
    </row>
    <row r="630" spans="1:7" s="3125" customFormat="1" ht="15">
      <c r="A630" s="3118">
        <v>626</v>
      </c>
      <c r="B630" s="3115" t="s">
        <v>5296</v>
      </c>
      <c r="C630" s="3115"/>
      <c r="D630" s="3115"/>
      <c r="E630" s="3114">
        <v>138.16999999999999</v>
      </c>
      <c r="F630" s="3114">
        <v>12500</v>
      </c>
      <c r="G630" s="3114">
        <f t="shared" si="9"/>
        <v>1727124.9999999998</v>
      </c>
    </row>
    <row r="631" spans="1:7" s="3125" customFormat="1" ht="15">
      <c r="A631" s="3118">
        <v>627</v>
      </c>
      <c r="B631" s="3115" t="s">
        <v>5295</v>
      </c>
      <c r="C631" s="3115"/>
      <c r="D631" s="3115"/>
      <c r="E631" s="3114">
        <v>138.16999999999999</v>
      </c>
      <c r="F631" s="3114">
        <v>12500</v>
      </c>
      <c r="G631" s="3114">
        <f t="shared" si="9"/>
        <v>1727124.9999999998</v>
      </c>
    </row>
    <row r="632" spans="1:7" s="3125" customFormat="1" ht="15">
      <c r="A632" s="3118">
        <v>628</v>
      </c>
      <c r="B632" s="3115" t="s">
        <v>5294</v>
      </c>
      <c r="C632" s="3115"/>
      <c r="D632" s="3115"/>
      <c r="E632" s="3114">
        <v>138.16999999999999</v>
      </c>
      <c r="F632" s="3114">
        <v>12530</v>
      </c>
      <c r="G632" s="3114">
        <f t="shared" si="9"/>
        <v>1731270.0999999999</v>
      </c>
    </row>
    <row r="633" spans="1:7" s="3125" customFormat="1" ht="15">
      <c r="A633" s="3118">
        <v>629</v>
      </c>
      <c r="B633" s="3115" t="s">
        <v>5293</v>
      </c>
      <c r="C633" s="3115"/>
      <c r="D633" s="3115"/>
      <c r="E633" s="3114">
        <v>138.16999999999999</v>
      </c>
      <c r="F633" s="3114">
        <v>12530</v>
      </c>
      <c r="G633" s="3114">
        <f t="shared" si="9"/>
        <v>1731270.0999999999</v>
      </c>
    </row>
    <row r="634" spans="1:7" s="3125" customFormat="1" ht="15">
      <c r="A634" s="3118">
        <v>630</v>
      </c>
      <c r="B634" s="3115" t="s">
        <v>5292</v>
      </c>
      <c r="C634" s="3115"/>
      <c r="D634" s="3115"/>
      <c r="E634" s="3114">
        <v>138.16999999999999</v>
      </c>
      <c r="F634" s="3114">
        <v>12560</v>
      </c>
      <c r="G634" s="3114">
        <f t="shared" si="9"/>
        <v>1735415.2</v>
      </c>
    </row>
    <row r="635" spans="1:7" s="3125" customFormat="1" ht="15">
      <c r="A635" s="3118">
        <v>631</v>
      </c>
      <c r="B635" s="3115" t="s">
        <v>5291</v>
      </c>
      <c r="C635" s="3115"/>
      <c r="D635" s="3115"/>
      <c r="E635" s="3114">
        <v>138.16999999999999</v>
      </c>
      <c r="F635" s="3114">
        <v>12560</v>
      </c>
      <c r="G635" s="3114">
        <f t="shared" si="9"/>
        <v>1735415.2</v>
      </c>
    </row>
    <row r="636" spans="1:7" s="3125" customFormat="1" ht="15">
      <c r="A636" s="3118">
        <v>632</v>
      </c>
      <c r="B636" s="3115" t="s">
        <v>5290</v>
      </c>
      <c r="C636" s="3115"/>
      <c r="D636" s="3115"/>
      <c r="E636" s="3114">
        <v>138.16999999999999</v>
      </c>
      <c r="F636" s="3114">
        <v>12560</v>
      </c>
      <c r="G636" s="3114">
        <f t="shared" si="9"/>
        <v>1735415.2</v>
      </c>
    </row>
    <row r="637" spans="1:7" s="3125" customFormat="1" ht="15">
      <c r="A637" s="3118">
        <v>633</v>
      </c>
      <c r="B637" s="3115" t="s">
        <v>5289</v>
      </c>
      <c r="C637" s="3115"/>
      <c r="D637" s="3115"/>
      <c r="E637" s="3114">
        <v>138.16999999999999</v>
      </c>
      <c r="F637" s="3114">
        <v>12560</v>
      </c>
      <c r="G637" s="3114">
        <f t="shared" si="9"/>
        <v>1735415.2</v>
      </c>
    </row>
    <row r="638" spans="1:7" s="3125" customFormat="1" ht="15">
      <c r="A638" s="3118">
        <v>634</v>
      </c>
      <c r="B638" s="3115" t="s">
        <v>5288</v>
      </c>
      <c r="C638" s="3115"/>
      <c r="D638" s="3115"/>
      <c r="E638" s="3114">
        <v>138.16999999999999</v>
      </c>
      <c r="F638" s="3114">
        <v>12590</v>
      </c>
      <c r="G638" s="3114">
        <f t="shared" si="9"/>
        <v>1739560.2999999998</v>
      </c>
    </row>
    <row r="639" spans="1:7" s="3125" customFormat="1" ht="15">
      <c r="A639" s="3118">
        <v>635</v>
      </c>
      <c r="B639" s="3115" t="s">
        <v>5287</v>
      </c>
      <c r="C639" s="3115"/>
      <c r="D639" s="3115"/>
      <c r="E639" s="3114">
        <v>138.16999999999999</v>
      </c>
      <c r="F639" s="3114">
        <v>12590</v>
      </c>
      <c r="G639" s="3114">
        <f t="shared" si="9"/>
        <v>1739560.2999999998</v>
      </c>
    </row>
    <row r="640" spans="1:7" s="3125" customFormat="1" ht="15">
      <c r="A640" s="3118">
        <v>636</v>
      </c>
      <c r="B640" s="3115" t="s">
        <v>5286</v>
      </c>
      <c r="C640" s="3115"/>
      <c r="D640" s="3115"/>
      <c r="E640" s="3114">
        <v>138.16999999999999</v>
      </c>
      <c r="F640" s="3114">
        <v>12560</v>
      </c>
      <c r="G640" s="3114">
        <f t="shared" si="9"/>
        <v>1735415.2</v>
      </c>
    </row>
    <row r="641" spans="1:7" s="3125" customFormat="1" ht="15">
      <c r="A641" s="3118">
        <v>637</v>
      </c>
      <c r="B641" s="3115" t="s">
        <v>5285</v>
      </c>
      <c r="C641" s="3115"/>
      <c r="D641" s="3115"/>
      <c r="E641" s="3114">
        <v>138.16999999999999</v>
      </c>
      <c r="F641" s="3114">
        <v>12560</v>
      </c>
      <c r="G641" s="3114">
        <f t="shared" si="9"/>
        <v>1735415.2</v>
      </c>
    </row>
    <row r="642" spans="1:7" s="3125" customFormat="1" ht="15">
      <c r="A642" s="3118">
        <v>638</v>
      </c>
      <c r="B642" s="3115" t="s">
        <v>5284</v>
      </c>
      <c r="C642" s="3115"/>
      <c r="D642" s="3115"/>
      <c r="E642" s="3114">
        <v>138.16999999999999</v>
      </c>
      <c r="F642" s="3114">
        <v>12560</v>
      </c>
      <c r="G642" s="3114">
        <f t="shared" si="9"/>
        <v>1735415.2</v>
      </c>
    </row>
    <row r="643" spans="1:7" s="3125" customFormat="1" ht="15">
      <c r="A643" s="3118">
        <v>639</v>
      </c>
      <c r="B643" s="3115" t="s">
        <v>5283</v>
      </c>
      <c r="C643" s="3115"/>
      <c r="D643" s="3115"/>
      <c r="E643" s="3114">
        <v>138.16999999999999</v>
      </c>
      <c r="F643" s="3114">
        <v>12560</v>
      </c>
      <c r="G643" s="3114">
        <f t="shared" si="9"/>
        <v>1735415.2</v>
      </c>
    </row>
    <row r="644" spans="1:7" s="3125" customFormat="1" ht="15">
      <c r="A644" s="3118">
        <v>640</v>
      </c>
      <c r="B644" s="3115" t="s">
        <v>5282</v>
      </c>
      <c r="C644" s="3115"/>
      <c r="D644" s="3115"/>
      <c r="E644" s="3114">
        <v>138.16999999999999</v>
      </c>
      <c r="F644" s="3114">
        <v>12560</v>
      </c>
      <c r="G644" s="3114">
        <f t="shared" si="9"/>
        <v>1735415.2</v>
      </c>
    </row>
    <row r="645" spans="1:7" s="3125" customFormat="1" ht="15">
      <c r="A645" s="3118">
        <v>641</v>
      </c>
      <c r="B645" s="3115" t="s">
        <v>5281</v>
      </c>
      <c r="C645" s="3115"/>
      <c r="D645" s="3115"/>
      <c r="E645" s="3114">
        <v>138.16999999999999</v>
      </c>
      <c r="F645" s="3114">
        <v>12560</v>
      </c>
      <c r="G645" s="3114">
        <f t="shared" ref="G645:G708" si="10">E645*F645</f>
        <v>1735415.2</v>
      </c>
    </row>
    <row r="646" spans="1:7" s="3125" customFormat="1" ht="15">
      <c r="A646" s="3118">
        <v>642</v>
      </c>
      <c r="B646" s="3115" t="s">
        <v>5280</v>
      </c>
      <c r="C646" s="3115"/>
      <c r="D646" s="3115"/>
      <c r="E646" s="3114">
        <v>138.16999999999999</v>
      </c>
      <c r="F646" s="3114">
        <v>12560</v>
      </c>
      <c r="G646" s="3114">
        <f t="shared" si="10"/>
        <v>1735415.2</v>
      </c>
    </row>
    <row r="647" spans="1:7" s="3125" customFormat="1" ht="15">
      <c r="A647" s="3118">
        <v>643</v>
      </c>
      <c r="B647" s="3115" t="s">
        <v>5279</v>
      </c>
      <c r="C647" s="3115"/>
      <c r="D647" s="3115"/>
      <c r="E647" s="3114">
        <v>123.9</v>
      </c>
      <c r="F647" s="3114">
        <v>12060</v>
      </c>
      <c r="G647" s="3114">
        <f t="shared" si="10"/>
        <v>1494234</v>
      </c>
    </row>
    <row r="648" spans="1:7" s="3125" customFormat="1" ht="15">
      <c r="A648" s="3118">
        <v>644</v>
      </c>
      <c r="B648" s="3115" t="s">
        <v>5278</v>
      </c>
      <c r="C648" s="3115"/>
      <c r="D648" s="3115"/>
      <c r="E648" s="3114">
        <v>88.18</v>
      </c>
      <c r="F648" s="3114">
        <v>11250</v>
      </c>
      <c r="G648" s="3114">
        <f t="shared" si="10"/>
        <v>992025.00000000012</v>
      </c>
    </row>
    <row r="649" spans="1:7" s="3125" customFormat="1" ht="15">
      <c r="A649" s="3118">
        <v>645</v>
      </c>
      <c r="B649" s="3115" t="s">
        <v>5277</v>
      </c>
      <c r="C649" s="3115"/>
      <c r="D649" s="3115"/>
      <c r="E649" s="3114">
        <v>88.18</v>
      </c>
      <c r="F649" s="3114">
        <v>11450</v>
      </c>
      <c r="G649" s="3114">
        <f t="shared" si="10"/>
        <v>1009661.0000000001</v>
      </c>
    </row>
    <row r="650" spans="1:7" s="3125" customFormat="1" ht="15">
      <c r="A650" s="3118">
        <v>646</v>
      </c>
      <c r="B650" s="3115" t="s">
        <v>5276</v>
      </c>
      <c r="C650" s="3115"/>
      <c r="D650" s="3115"/>
      <c r="E650" s="3114">
        <v>88.18</v>
      </c>
      <c r="F650" s="3114">
        <v>11900</v>
      </c>
      <c r="G650" s="3114">
        <f t="shared" si="10"/>
        <v>1049342</v>
      </c>
    </row>
    <row r="651" spans="1:7" s="3125" customFormat="1" ht="15">
      <c r="A651" s="3118">
        <v>647</v>
      </c>
      <c r="B651" s="3115" t="s">
        <v>5275</v>
      </c>
      <c r="C651" s="3115"/>
      <c r="D651" s="3115"/>
      <c r="E651" s="3114">
        <v>88.18</v>
      </c>
      <c r="F651" s="3114">
        <v>12250</v>
      </c>
      <c r="G651" s="3114">
        <f t="shared" si="10"/>
        <v>1080205</v>
      </c>
    </row>
    <row r="652" spans="1:7" s="3125" customFormat="1" ht="15">
      <c r="A652" s="3118">
        <v>648</v>
      </c>
      <c r="B652" s="3115" t="s">
        <v>5274</v>
      </c>
      <c r="C652" s="3115"/>
      <c r="D652" s="3115"/>
      <c r="E652" s="3114">
        <v>88.18</v>
      </c>
      <c r="F652" s="3114">
        <v>12300</v>
      </c>
      <c r="G652" s="3114">
        <f t="shared" si="10"/>
        <v>1084614</v>
      </c>
    </row>
    <row r="653" spans="1:7" s="3125" customFormat="1" ht="15">
      <c r="A653" s="3118">
        <v>649</v>
      </c>
      <c r="B653" s="3115" t="s">
        <v>5273</v>
      </c>
      <c r="C653" s="3115"/>
      <c r="D653" s="3115"/>
      <c r="E653" s="3114">
        <v>88.18</v>
      </c>
      <c r="F653" s="3114">
        <v>12350</v>
      </c>
      <c r="G653" s="3114">
        <f t="shared" si="10"/>
        <v>1089023</v>
      </c>
    </row>
    <row r="654" spans="1:7" s="3125" customFormat="1" ht="15">
      <c r="A654" s="3118">
        <v>650</v>
      </c>
      <c r="B654" s="3115" t="s">
        <v>5272</v>
      </c>
      <c r="C654" s="3115"/>
      <c r="D654" s="3115"/>
      <c r="E654" s="3114">
        <v>88.18</v>
      </c>
      <c r="F654" s="3114">
        <v>12400</v>
      </c>
      <c r="G654" s="3114">
        <f t="shared" si="10"/>
        <v>1093432</v>
      </c>
    </row>
    <row r="655" spans="1:7" s="3125" customFormat="1" ht="15">
      <c r="A655" s="3118">
        <v>651</v>
      </c>
      <c r="B655" s="3115" t="s">
        <v>5271</v>
      </c>
      <c r="C655" s="3115"/>
      <c r="D655" s="3115"/>
      <c r="E655" s="3114">
        <v>88.18</v>
      </c>
      <c r="F655" s="3114">
        <v>12450</v>
      </c>
      <c r="G655" s="3114">
        <f t="shared" si="10"/>
        <v>1097841</v>
      </c>
    </row>
    <row r="656" spans="1:7" s="3125" customFormat="1" ht="15">
      <c r="A656" s="3118">
        <v>652</v>
      </c>
      <c r="B656" s="3115" t="s">
        <v>5270</v>
      </c>
      <c r="C656" s="3115"/>
      <c r="D656" s="3115"/>
      <c r="E656" s="3114">
        <v>88.18</v>
      </c>
      <c r="F656" s="3114">
        <v>12500</v>
      </c>
      <c r="G656" s="3114">
        <f t="shared" si="10"/>
        <v>1102250</v>
      </c>
    </row>
    <row r="657" spans="1:7" s="3125" customFormat="1" ht="15">
      <c r="A657" s="3118">
        <v>653</v>
      </c>
      <c r="B657" s="3115" t="s">
        <v>5269</v>
      </c>
      <c r="C657" s="3115"/>
      <c r="D657" s="3115"/>
      <c r="E657" s="3114">
        <v>88.18</v>
      </c>
      <c r="F657" s="3114">
        <v>12550</v>
      </c>
      <c r="G657" s="3114">
        <f t="shared" si="10"/>
        <v>1106659</v>
      </c>
    </row>
    <row r="658" spans="1:7" s="3125" customFormat="1" ht="15">
      <c r="A658" s="3118">
        <v>654</v>
      </c>
      <c r="B658" s="3115" t="s">
        <v>5268</v>
      </c>
      <c r="C658" s="3115"/>
      <c r="D658" s="3115"/>
      <c r="E658" s="3114">
        <v>88.18</v>
      </c>
      <c r="F658" s="3114">
        <v>12600</v>
      </c>
      <c r="G658" s="3114">
        <f t="shared" si="10"/>
        <v>1111068</v>
      </c>
    </row>
    <row r="659" spans="1:7" s="3125" customFormat="1" ht="15">
      <c r="A659" s="3118">
        <v>655</v>
      </c>
      <c r="B659" s="3115" t="s">
        <v>5267</v>
      </c>
      <c r="C659" s="3115"/>
      <c r="D659" s="3115"/>
      <c r="E659" s="3114">
        <v>88.18</v>
      </c>
      <c r="F659" s="3114">
        <v>12600</v>
      </c>
      <c r="G659" s="3114">
        <f t="shared" si="10"/>
        <v>1111068</v>
      </c>
    </row>
    <row r="660" spans="1:7" s="3125" customFormat="1" ht="15">
      <c r="A660" s="3118">
        <v>656</v>
      </c>
      <c r="B660" s="3115" t="s">
        <v>5266</v>
      </c>
      <c r="C660" s="3115"/>
      <c r="D660" s="3115"/>
      <c r="E660" s="3114">
        <v>88.18</v>
      </c>
      <c r="F660" s="3114">
        <v>12600</v>
      </c>
      <c r="G660" s="3114">
        <f t="shared" si="10"/>
        <v>1111068</v>
      </c>
    </row>
    <row r="661" spans="1:7" s="3125" customFormat="1" ht="15">
      <c r="A661" s="3118">
        <v>657</v>
      </c>
      <c r="B661" s="3115" t="s">
        <v>5265</v>
      </c>
      <c r="C661" s="3115"/>
      <c r="D661" s="3115"/>
      <c r="E661" s="3114">
        <v>88.18</v>
      </c>
      <c r="F661" s="3114">
        <v>12630</v>
      </c>
      <c r="G661" s="3114">
        <f t="shared" si="10"/>
        <v>1113713.4000000001</v>
      </c>
    </row>
    <row r="662" spans="1:7" s="3125" customFormat="1" ht="15">
      <c r="A662" s="3118">
        <v>658</v>
      </c>
      <c r="B662" s="3115" t="s">
        <v>5264</v>
      </c>
      <c r="C662" s="3115"/>
      <c r="D662" s="3115"/>
      <c r="E662" s="3114">
        <v>88.18</v>
      </c>
      <c r="F662" s="3114">
        <v>12630</v>
      </c>
      <c r="G662" s="3114">
        <f t="shared" si="10"/>
        <v>1113713.4000000001</v>
      </c>
    </row>
    <row r="663" spans="1:7" s="3125" customFormat="1" ht="15">
      <c r="A663" s="3118">
        <v>659</v>
      </c>
      <c r="B663" s="3115" t="s">
        <v>5263</v>
      </c>
      <c r="C663" s="3115"/>
      <c r="D663" s="3115"/>
      <c r="E663" s="3114">
        <v>88.18</v>
      </c>
      <c r="F663" s="3114">
        <v>12660</v>
      </c>
      <c r="G663" s="3114">
        <f t="shared" si="10"/>
        <v>1116358.8</v>
      </c>
    </row>
    <row r="664" spans="1:7" s="3125" customFormat="1" ht="15">
      <c r="A664" s="3118">
        <v>660</v>
      </c>
      <c r="B664" s="3115" t="s">
        <v>5262</v>
      </c>
      <c r="C664" s="3115"/>
      <c r="D664" s="3115"/>
      <c r="E664" s="3114">
        <v>88.18</v>
      </c>
      <c r="F664" s="3114">
        <v>12660</v>
      </c>
      <c r="G664" s="3114">
        <f t="shared" si="10"/>
        <v>1116358.8</v>
      </c>
    </row>
    <row r="665" spans="1:7" s="3125" customFormat="1" ht="15">
      <c r="A665" s="3118">
        <v>661</v>
      </c>
      <c r="B665" s="3115" t="s">
        <v>5261</v>
      </c>
      <c r="C665" s="3115"/>
      <c r="D665" s="3115"/>
      <c r="E665" s="3114">
        <v>88.18</v>
      </c>
      <c r="F665" s="3114">
        <v>12660</v>
      </c>
      <c r="G665" s="3114">
        <f t="shared" si="10"/>
        <v>1116358.8</v>
      </c>
    </row>
    <row r="666" spans="1:7" s="3125" customFormat="1" ht="15">
      <c r="A666" s="3118">
        <v>662</v>
      </c>
      <c r="B666" s="3115" t="s">
        <v>5260</v>
      </c>
      <c r="C666" s="3115"/>
      <c r="D666" s="3115"/>
      <c r="E666" s="3114">
        <v>88.18</v>
      </c>
      <c r="F666" s="3114">
        <v>12660</v>
      </c>
      <c r="G666" s="3114">
        <f t="shared" si="10"/>
        <v>1116358.8</v>
      </c>
    </row>
    <row r="667" spans="1:7" s="3125" customFormat="1" ht="15">
      <c r="A667" s="3118">
        <v>663</v>
      </c>
      <c r="B667" s="3115" t="s">
        <v>5259</v>
      </c>
      <c r="C667" s="3115"/>
      <c r="D667" s="3115"/>
      <c r="E667" s="3114">
        <v>88.18</v>
      </c>
      <c r="F667" s="3114">
        <v>12690</v>
      </c>
      <c r="G667" s="3114">
        <f t="shared" si="10"/>
        <v>1119004.2000000002</v>
      </c>
    </row>
    <row r="668" spans="1:7" s="3125" customFormat="1" ht="15">
      <c r="A668" s="3118">
        <v>664</v>
      </c>
      <c r="B668" s="3115" t="s">
        <v>5258</v>
      </c>
      <c r="C668" s="3115"/>
      <c r="D668" s="3115"/>
      <c r="E668" s="3114">
        <v>88.18</v>
      </c>
      <c r="F668" s="3114">
        <v>12590</v>
      </c>
      <c r="G668" s="3114">
        <f t="shared" si="10"/>
        <v>1110186.2000000002</v>
      </c>
    </row>
    <row r="669" spans="1:7" s="3125" customFormat="1" ht="15">
      <c r="A669" s="3118">
        <v>665</v>
      </c>
      <c r="B669" s="3116" t="s">
        <v>6292</v>
      </c>
      <c r="C669" s="3116"/>
      <c r="D669" s="3115"/>
      <c r="E669" s="3127">
        <v>88.18</v>
      </c>
      <c r="F669" s="3114">
        <v>12660</v>
      </c>
      <c r="G669" s="3114">
        <f t="shared" si="10"/>
        <v>1116358.8</v>
      </c>
    </row>
    <row r="670" spans="1:7" s="3125" customFormat="1" ht="15">
      <c r="A670" s="3118">
        <v>666</v>
      </c>
      <c r="B670" s="3115" t="s">
        <v>5257</v>
      </c>
      <c r="C670" s="3115"/>
      <c r="D670" s="3115"/>
      <c r="E670" s="3114">
        <v>88.18</v>
      </c>
      <c r="F670" s="3114">
        <v>12660</v>
      </c>
      <c r="G670" s="3114">
        <f t="shared" si="10"/>
        <v>1116358.8</v>
      </c>
    </row>
    <row r="671" spans="1:7" s="3125" customFormat="1" ht="15">
      <c r="A671" s="3118">
        <v>667</v>
      </c>
      <c r="B671" s="3115" t="s">
        <v>5256</v>
      </c>
      <c r="C671" s="3115"/>
      <c r="D671" s="3115"/>
      <c r="E671" s="3114">
        <v>88.18</v>
      </c>
      <c r="F671" s="3114">
        <v>12660</v>
      </c>
      <c r="G671" s="3114">
        <f t="shared" si="10"/>
        <v>1116358.8</v>
      </c>
    </row>
    <row r="672" spans="1:7" s="3125" customFormat="1" ht="15">
      <c r="A672" s="3118">
        <v>668</v>
      </c>
      <c r="B672" s="3115" t="s">
        <v>5255</v>
      </c>
      <c r="C672" s="3115"/>
      <c r="D672" s="3115"/>
      <c r="E672" s="3114">
        <v>88.18</v>
      </c>
      <c r="F672" s="3114">
        <v>12660</v>
      </c>
      <c r="G672" s="3114">
        <f t="shared" si="10"/>
        <v>1116358.8</v>
      </c>
    </row>
    <row r="673" spans="1:7" s="3125" customFormat="1" ht="15">
      <c r="A673" s="3118">
        <v>669</v>
      </c>
      <c r="B673" s="3115" t="s">
        <v>5254</v>
      </c>
      <c r="C673" s="3115"/>
      <c r="D673" s="3115"/>
      <c r="E673" s="3114">
        <v>88.18</v>
      </c>
      <c r="F673" s="3114">
        <v>12660</v>
      </c>
      <c r="G673" s="3114">
        <f t="shared" si="10"/>
        <v>1116358.8</v>
      </c>
    </row>
    <row r="674" spans="1:7" s="3125" customFormat="1" ht="15">
      <c r="A674" s="3118">
        <v>670</v>
      </c>
      <c r="B674" s="3115" t="s">
        <v>5253</v>
      </c>
      <c r="C674" s="3115"/>
      <c r="D674" s="3115"/>
      <c r="E674" s="3114">
        <v>88.18</v>
      </c>
      <c r="F674" s="3114">
        <v>12660</v>
      </c>
      <c r="G674" s="3114">
        <f t="shared" si="10"/>
        <v>1116358.8</v>
      </c>
    </row>
    <row r="675" spans="1:7" s="3125" customFormat="1" ht="15">
      <c r="A675" s="3118">
        <v>671</v>
      </c>
      <c r="B675" s="3115" t="s">
        <v>5252</v>
      </c>
      <c r="C675" s="3115"/>
      <c r="D675" s="3115"/>
      <c r="E675" s="3114">
        <v>88.18</v>
      </c>
      <c r="F675" s="3114">
        <v>12660</v>
      </c>
      <c r="G675" s="3114">
        <f t="shared" si="10"/>
        <v>1116358.8</v>
      </c>
    </row>
    <row r="676" spans="1:7" s="3125" customFormat="1" ht="15">
      <c r="A676" s="3118">
        <v>672</v>
      </c>
      <c r="B676" s="3115" t="s">
        <v>5251</v>
      </c>
      <c r="C676" s="3115"/>
      <c r="D676" s="3115"/>
      <c r="E676" s="3114">
        <v>88.18</v>
      </c>
      <c r="F676" s="3114">
        <v>12160</v>
      </c>
      <c r="G676" s="3114">
        <f t="shared" si="10"/>
        <v>1072268.8</v>
      </c>
    </row>
    <row r="677" spans="1:7" s="3125" customFormat="1" ht="15">
      <c r="A677" s="3118">
        <v>673</v>
      </c>
      <c r="B677" s="3115" t="s">
        <v>5250</v>
      </c>
      <c r="C677" s="3115"/>
      <c r="D677" s="3115"/>
      <c r="E677" s="3114">
        <v>88.31</v>
      </c>
      <c r="F677" s="3114">
        <v>11250</v>
      </c>
      <c r="G677" s="3114">
        <f t="shared" si="10"/>
        <v>993487.5</v>
      </c>
    </row>
    <row r="678" spans="1:7" s="3125" customFormat="1" ht="15">
      <c r="A678" s="3118">
        <v>674</v>
      </c>
      <c r="B678" s="3115" t="s">
        <v>5249</v>
      </c>
      <c r="C678" s="3115"/>
      <c r="D678" s="3115"/>
      <c r="E678" s="3114">
        <v>88.31</v>
      </c>
      <c r="F678" s="3114">
        <v>11450</v>
      </c>
      <c r="G678" s="3114">
        <f t="shared" si="10"/>
        <v>1011149.5</v>
      </c>
    </row>
    <row r="679" spans="1:7" s="3125" customFormat="1" ht="15">
      <c r="A679" s="3118">
        <v>675</v>
      </c>
      <c r="B679" s="3115" t="s">
        <v>5248</v>
      </c>
      <c r="C679" s="3115"/>
      <c r="D679" s="3115"/>
      <c r="E679" s="3114">
        <v>88.31</v>
      </c>
      <c r="F679" s="3114">
        <v>11900</v>
      </c>
      <c r="G679" s="3114">
        <f t="shared" si="10"/>
        <v>1050889</v>
      </c>
    </row>
    <row r="680" spans="1:7" s="3125" customFormat="1" ht="15">
      <c r="A680" s="3118">
        <v>676</v>
      </c>
      <c r="B680" s="3115" t="s">
        <v>5247</v>
      </c>
      <c r="C680" s="3115"/>
      <c r="D680" s="3115"/>
      <c r="E680" s="3114">
        <v>88.31</v>
      </c>
      <c r="F680" s="3114">
        <v>12250</v>
      </c>
      <c r="G680" s="3114">
        <f t="shared" si="10"/>
        <v>1081797.5</v>
      </c>
    </row>
    <row r="681" spans="1:7" s="3125" customFormat="1" ht="15">
      <c r="A681" s="3118">
        <v>677</v>
      </c>
      <c r="B681" s="3115" t="s">
        <v>5246</v>
      </c>
      <c r="C681" s="3115"/>
      <c r="D681" s="3115"/>
      <c r="E681" s="3114">
        <v>88.31</v>
      </c>
      <c r="F681" s="3114">
        <v>12300</v>
      </c>
      <c r="G681" s="3114">
        <f t="shared" si="10"/>
        <v>1086213</v>
      </c>
    </row>
    <row r="682" spans="1:7" s="3125" customFormat="1" ht="15">
      <c r="A682" s="3118">
        <v>678</v>
      </c>
      <c r="B682" s="3115" t="s">
        <v>5245</v>
      </c>
      <c r="C682" s="3115"/>
      <c r="D682" s="3115"/>
      <c r="E682" s="3114">
        <v>88.31</v>
      </c>
      <c r="F682" s="3114">
        <v>12350</v>
      </c>
      <c r="G682" s="3114">
        <f t="shared" si="10"/>
        <v>1090628.5</v>
      </c>
    </row>
    <row r="683" spans="1:7" s="3125" customFormat="1" ht="15">
      <c r="A683" s="3118">
        <v>679</v>
      </c>
      <c r="B683" s="3115" t="s">
        <v>5244</v>
      </c>
      <c r="C683" s="3115"/>
      <c r="D683" s="3115"/>
      <c r="E683" s="3114">
        <v>88.31</v>
      </c>
      <c r="F683" s="3114">
        <v>12400</v>
      </c>
      <c r="G683" s="3114">
        <f t="shared" si="10"/>
        <v>1095044</v>
      </c>
    </row>
    <row r="684" spans="1:7" s="3125" customFormat="1" ht="15">
      <c r="A684" s="3118">
        <v>680</v>
      </c>
      <c r="B684" s="3115" t="s">
        <v>5243</v>
      </c>
      <c r="C684" s="3115"/>
      <c r="D684" s="3115"/>
      <c r="E684" s="3114">
        <v>88.31</v>
      </c>
      <c r="F684" s="3114">
        <v>12450</v>
      </c>
      <c r="G684" s="3114">
        <f t="shared" si="10"/>
        <v>1099459.5</v>
      </c>
    </row>
    <row r="685" spans="1:7" s="3125" customFormat="1" ht="15">
      <c r="A685" s="3118">
        <v>681</v>
      </c>
      <c r="B685" s="3115" t="s">
        <v>5242</v>
      </c>
      <c r="C685" s="3115"/>
      <c r="D685" s="3115"/>
      <c r="E685" s="3114">
        <v>88.31</v>
      </c>
      <c r="F685" s="3114">
        <v>12500</v>
      </c>
      <c r="G685" s="3114">
        <f t="shared" si="10"/>
        <v>1103875</v>
      </c>
    </row>
    <row r="686" spans="1:7" s="3125" customFormat="1" ht="15">
      <c r="A686" s="3118">
        <v>682</v>
      </c>
      <c r="B686" s="3115" t="s">
        <v>5241</v>
      </c>
      <c r="C686" s="3115"/>
      <c r="D686" s="3115"/>
      <c r="E686" s="3114">
        <v>88.31</v>
      </c>
      <c r="F686" s="3114">
        <v>12550</v>
      </c>
      <c r="G686" s="3114">
        <f t="shared" si="10"/>
        <v>1108290.5</v>
      </c>
    </row>
    <row r="687" spans="1:7" s="3125" customFormat="1" ht="15">
      <c r="A687" s="3118">
        <v>683</v>
      </c>
      <c r="B687" s="3115" t="s">
        <v>5240</v>
      </c>
      <c r="C687" s="3115"/>
      <c r="D687" s="3115"/>
      <c r="E687" s="3114">
        <v>88.31</v>
      </c>
      <c r="F687" s="3114">
        <v>12600</v>
      </c>
      <c r="G687" s="3114">
        <f t="shared" si="10"/>
        <v>1112706</v>
      </c>
    </row>
    <row r="688" spans="1:7" s="3125" customFormat="1" ht="15">
      <c r="A688" s="3118">
        <v>684</v>
      </c>
      <c r="B688" s="3115" t="s">
        <v>5239</v>
      </c>
      <c r="C688" s="3115"/>
      <c r="D688" s="3115"/>
      <c r="E688" s="3114">
        <v>88.31</v>
      </c>
      <c r="F688" s="3114">
        <v>12600</v>
      </c>
      <c r="G688" s="3114">
        <f t="shared" si="10"/>
        <v>1112706</v>
      </c>
    </row>
    <row r="689" spans="1:7" s="3125" customFormat="1" ht="15">
      <c r="A689" s="3118">
        <v>685</v>
      </c>
      <c r="B689" s="3115" t="s">
        <v>5238</v>
      </c>
      <c r="C689" s="3115"/>
      <c r="D689" s="3115"/>
      <c r="E689" s="3114">
        <v>88.31</v>
      </c>
      <c r="F689" s="3114">
        <v>12600</v>
      </c>
      <c r="G689" s="3114">
        <f t="shared" si="10"/>
        <v>1112706</v>
      </c>
    </row>
    <row r="690" spans="1:7" s="3125" customFormat="1" ht="15">
      <c r="A690" s="3118">
        <v>686</v>
      </c>
      <c r="B690" s="3115" t="s">
        <v>5237</v>
      </c>
      <c r="C690" s="3115"/>
      <c r="D690" s="3115"/>
      <c r="E690" s="3114">
        <v>88.31</v>
      </c>
      <c r="F690" s="3114">
        <v>12630</v>
      </c>
      <c r="G690" s="3114">
        <f t="shared" si="10"/>
        <v>1115355.3</v>
      </c>
    </row>
    <row r="691" spans="1:7" s="3125" customFormat="1" ht="15">
      <c r="A691" s="3118">
        <v>687</v>
      </c>
      <c r="B691" s="3115" t="s">
        <v>5236</v>
      </c>
      <c r="C691" s="3115"/>
      <c r="D691" s="3115"/>
      <c r="E691" s="3114">
        <v>88.31</v>
      </c>
      <c r="F691" s="3114">
        <v>12630</v>
      </c>
      <c r="G691" s="3114">
        <f t="shared" si="10"/>
        <v>1115355.3</v>
      </c>
    </row>
    <row r="692" spans="1:7" s="3125" customFormat="1" ht="15">
      <c r="A692" s="3118">
        <v>688</v>
      </c>
      <c r="B692" s="3115" t="s">
        <v>5235</v>
      </c>
      <c r="C692" s="3115"/>
      <c r="D692" s="3115"/>
      <c r="E692" s="3114">
        <v>88.31</v>
      </c>
      <c r="F692" s="3114">
        <v>12660</v>
      </c>
      <c r="G692" s="3114">
        <f t="shared" si="10"/>
        <v>1118004.6000000001</v>
      </c>
    </row>
    <row r="693" spans="1:7" s="3125" customFormat="1" ht="15">
      <c r="A693" s="3118">
        <v>689</v>
      </c>
      <c r="B693" s="3115" t="s">
        <v>5234</v>
      </c>
      <c r="C693" s="3115"/>
      <c r="D693" s="3115"/>
      <c r="E693" s="3114">
        <v>88.31</v>
      </c>
      <c r="F693" s="3114">
        <v>12660</v>
      </c>
      <c r="G693" s="3114">
        <f t="shared" si="10"/>
        <v>1118004.6000000001</v>
      </c>
    </row>
    <row r="694" spans="1:7" s="3125" customFormat="1" ht="15">
      <c r="A694" s="3118">
        <v>690</v>
      </c>
      <c r="B694" s="3115" t="s">
        <v>5233</v>
      </c>
      <c r="C694" s="3115"/>
      <c r="D694" s="3115"/>
      <c r="E694" s="3114">
        <v>88.31</v>
      </c>
      <c r="F694" s="3114">
        <v>12660</v>
      </c>
      <c r="G694" s="3114">
        <f t="shared" si="10"/>
        <v>1118004.6000000001</v>
      </c>
    </row>
    <row r="695" spans="1:7" s="3125" customFormat="1" ht="15">
      <c r="A695" s="3118">
        <v>691</v>
      </c>
      <c r="B695" s="3115" t="s">
        <v>5232</v>
      </c>
      <c r="C695" s="3115"/>
      <c r="D695" s="3115"/>
      <c r="E695" s="3114">
        <v>88.31</v>
      </c>
      <c r="F695" s="3114">
        <v>12660</v>
      </c>
      <c r="G695" s="3114">
        <f t="shared" si="10"/>
        <v>1118004.6000000001</v>
      </c>
    </row>
    <row r="696" spans="1:7" s="3125" customFormat="1" ht="15">
      <c r="A696" s="3118">
        <v>692</v>
      </c>
      <c r="B696" s="3115" t="s">
        <v>5231</v>
      </c>
      <c r="C696" s="3115"/>
      <c r="D696" s="3115"/>
      <c r="E696" s="3114">
        <v>88.31</v>
      </c>
      <c r="F696" s="3114">
        <v>12690</v>
      </c>
      <c r="G696" s="3114">
        <f t="shared" si="10"/>
        <v>1120653.9000000001</v>
      </c>
    </row>
    <row r="697" spans="1:7" s="3125" customFormat="1" ht="15">
      <c r="A697" s="3118">
        <v>693</v>
      </c>
      <c r="B697" s="3115" t="s">
        <v>5230</v>
      </c>
      <c r="C697" s="3115"/>
      <c r="D697" s="3115"/>
      <c r="E697" s="3114">
        <v>88.31</v>
      </c>
      <c r="F697" s="3114">
        <v>12690</v>
      </c>
      <c r="G697" s="3114">
        <f t="shared" si="10"/>
        <v>1120653.9000000001</v>
      </c>
    </row>
    <row r="698" spans="1:7" s="3125" customFormat="1" ht="15">
      <c r="A698" s="3118">
        <v>694</v>
      </c>
      <c r="B698" s="3115" t="s">
        <v>5229</v>
      </c>
      <c r="C698" s="3115"/>
      <c r="D698" s="3115"/>
      <c r="E698" s="3114">
        <v>88.31</v>
      </c>
      <c r="F698" s="3114">
        <v>12660</v>
      </c>
      <c r="G698" s="3114">
        <f t="shared" si="10"/>
        <v>1118004.6000000001</v>
      </c>
    </row>
    <row r="699" spans="1:7" s="3125" customFormat="1" ht="15">
      <c r="A699" s="3118">
        <v>695</v>
      </c>
      <c r="B699" s="3115" t="s">
        <v>5228</v>
      </c>
      <c r="C699" s="3115"/>
      <c r="D699" s="3115"/>
      <c r="E699" s="3114">
        <v>88.31</v>
      </c>
      <c r="F699" s="3114">
        <v>12660</v>
      </c>
      <c r="G699" s="3114">
        <f t="shared" si="10"/>
        <v>1118004.6000000001</v>
      </c>
    </row>
    <row r="700" spans="1:7" s="3125" customFormat="1" ht="15">
      <c r="A700" s="3118">
        <v>696</v>
      </c>
      <c r="B700" s="3115" t="s">
        <v>5227</v>
      </c>
      <c r="C700" s="3115"/>
      <c r="D700" s="3115"/>
      <c r="E700" s="3114">
        <v>88.31</v>
      </c>
      <c r="F700" s="3114">
        <v>12660</v>
      </c>
      <c r="G700" s="3114">
        <f t="shared" si="10"/>
        <v>1118004.6000000001</v>
      </c>
    </row>
    <row r="701" spans="1:7" s="3125" customFormat="1" ht="15">
      <c r="A701" s="3118">
        <v>697</v>
      </c>
      <c r="B701" s="3115" t="s">
        <v>5226</v>
      </c>
      <c r="C701" s="3115"/>
      <c r="D701" s="3115"/>
      <c r="E701" s="3114">
        <v>88.31</v>
      </c>
      <c r="F701" s="3114">
        <v>12660</v>
      </c>
      <c r="G701" s="3114">
        <f t="shared" si="10"/>
        <v>1118004.6000000001</v>
      </c>
    </row>
    <row r="702" spans="1:7" s="3125" customFormat="1" ht="15">
      <c r="A702" s="3118">
        <v>698</v>
      </c>
      <c r="B702" s="3115" t="s">
        <v>5225</v>
      </c>
      <c r="C702" s="3115"/>
      <c r="D702" s="3115"/>
      <c r="E702" s="3114">
        <v>88.31</v>
      </c>
      <c r="F702" s="3114">
        <v>12660</v>
      </c>
      <c r="G702" s="3114">
        <f t="shared" si="10"/>
        <v>1118004.6000000001</v>
      </c>
    </row>
    <row r="703" spans="1:7" s="3125" customFormat="1" ht="15">
      <c r="A703" s="3118">
        <v>699</v>
      </c>
      <c r="B703" s="3115" t="s">
        <v>5224</v>
      </c>
      <c r="C703" s="3115"/>
      <c r="D703" s="3115"/>
      <c r="E703" s="3114">
        <v>88.31</v>
      </c>
      <c r="F703" s="3114">
        <v>12660</v>
      </c>
      <c r="G703" s="3114">
        <f t="shared" si="10"/>
        <v>1118004.6000000001</v>
      </c>
    </row>
    <row r="704" spans="1:7" s="3125" customFormat="1" ht="15">
      <c r="A704" s="3118">
        <v>700</v>
      </c>
      <c r="B704" s="3115" t="s">
        <v>5223</v>
      </c>
      <c r="C704" s="3115"/>
      <c r="D704" s="3115"/>
      <c r="E704" s="3114">
        <v>88.31</v>
      </c>
      <c r="F704" s="3114">
        <v>12660</v>
      </c>
      <c r="G704" s="3114">
        <f t="shared" si="10"/>
        <v>1118004.6000000001</v>
      </c>
    </row>
    <row r="705" spans="1:7" s="3125" customFormat="1" ht="15">
      <c r="A705" s="3118">
        <v>701</v>
      </c>
      <c r="B705" s="3115" t="s">
        <v>5222</v>
      </c>
      <c r="C705" s="3115"/>
      <c r="D705" s="3115"/>
      <c r="E705" s="3114">
        <v>88.31</v>
      </c>
      <c r="F705" s="3114">
        <v>12160</v>
      </c>
      <c r="G705" s="3114">
        <f t="shared" si="10"/>
        <v>1073849.6000000001</v>
      </c>
    </row>
    <row r="706" spans="1:7" s="3125" customFormat="1" ht="15">
      <c r="A706" s="3118">
        <v>702</v>
      </c>
      <c r="B706" s="3115" t="s">
        <v>5221</v>
      </c>
      <c r="C706" s="3115"/>
      <c r="D706" s="3115"/>
      <c r="E706" s="3114">
        <v>136.94999999999999</v>
      </c>
      <c r="F706" s="3114">
        <v>14100</v>
      </c>
      <c r="G706" s="3114">
        <f t="shared" si="10"/>
        <v>1930994.9999999998</v>
      </c>
    </row>
    <row r="707" spans="1:7" s="3125" customFormat="1" ht="15">
      <c r="A707" s="3118">
        <v>703</v>
      </c>
      <c r="B707" s="3115" t="s">
        <v>5220</v>
      </c>
      <c r="C707" s="3115"/>
      <c r="D707" s="3115"/>
      <c r="E707" s="3114">
        <v>136.94999999999999</v>
      </c>
      <c r="F707" s="3114">
        <v>14300</v>
      </c>
      <c r="G707" s="3114">
        <f t="shared" si="10"/>
        <v>1958384.9999999998</v>
      </c>
    </row>
    <row r="708" spans="1:7" s="3125" customFormat="1" ht="15">
      <c r="A708" s="3118">
        <v>704</v>
      </c>
      <c r="B708" s="3115" t="s">
        <v>5219</v>
      </c>
      <c r="C708" s="3115"/>
      <c r="D708" s="3115"/>
      <c r="E708" s="3114">
        <v>136.94999999999999</v>
      </c>
      <c r="F708" s="3114">
        <v>14600</v>
      </c>
      <c r="G708" s="3114">
        <f t="shared" si="10"/>
        <v>1999469.9999999998</v>
      </c>
    </row>
    <row r="709" spans="1:7" s="3125" customFormat="1" ht="15">
      <c r="A709" s="3118">
        <v>705</v>
      </c>
      <c r="B709" s="3115" t="s">
        <v>5218</v>
      </c>
      <c r="C709" s="3115"/>
      <c r="D709" s="3115"/>
      <c r="E709" s="3114">
        <v>136.94999999999999</v>
      </c>
      <c r="F709" s="3114">
        <v>14800</v>
      </c>
      <c r="G709" s="3114">
        <f t="shared" ref="G709:G772" si="11">E709*F709</f>
        <v>2026859.9999999998</v>
      </c>
    </row>
    <row r="710" spans="1:7" s="3125" customFormat="1" ht="15">
      <c r="A710" s="3118">
        <v>706</v>
      </c>
      <c r="B710" s="3115" t="s">
        <v>5217</v>
      </c>
      <c r="C710" s="3115"/>
      <c r="D710" s="3115"/>
      <c r="E710" s="3114">
        <v>136.94999999999999</v>
      </c>
      <c r="F710" s="3114">
        <v>14900</v>
      </c>
      <c r="G710" s="3114">
        <f t="shared" si="11"/>
        <v>2040554.9999999998</v>
      </c>
    </row>
    <row r="711" spans="1:7" s="3125" customFormat="1" ht="15">
      <c r="A711" s="3118">
        <v>707</v>
      </c>
      <c r="B711" s="3115" t="s">
        <v>5216</v>
      </c>
      <c r="C711" s="3115"/>
      <c r="D711" s="3115"/>
      <c r="E711" s="3114">
        <v>136.94999999999999</v>
      </c>
      <c r="F711" s="3114">
        <v>15000</v>
      </c>
      <c r="G711" s="3114">
        <f t="shared" si="11"/>
        <v>2054249.9999999998</v>
      </c>
    </row>
    <row r="712" spans="1:7" s="3125" customFormat="1" ht="15">
      <c r="A712" s="3118">
        <v>708</v>
      </c>
      <c r="B712" s="3115" t="s">
        <v>5215</v>
      </c>
      <c r="C712" s="3115"/>
      <c r="D712" s="3115"/>
      <c r="E712" s="3114">
        <v>136.94999999999999</v>
      </c>
      <c r="F712" s="3114">
        <v>15000</v>
      </c>
      <c r="G712" s="3114">
        <f t="shared" si="11"/>
        <v>2054249.9999999998</v>
      </c>
    </row>
    <row r="713" spans="1:7" s="3125" customFormat="1" ht="15">
      <c r="A713" s="3118">
        <v>709</v>
      </c>
      <c r="B713" s="3115" t="s">
        <v>5214</v>
      </c>
      <c r="C713" s="3115"/>
      <c r="D713" s="3115"/>
      <c r="E713" s="3114">
        <v>136.94999999999999</v>
      </c>
      <c r="F713" s="3114">
        <v>15200</v>
      </c>
      <c r="G713" s="3114">
        <f t="shared" si="11"/>
        <v>2081639.9999999998</v>
      </c>
    </row>
    <row r="714" spans="1:7" s="3125" customFormat="1" ht="15">
      <c r="A714" s="3118">
        <v>710</v>
      </c>
      <c r="B714" s="3115" t="s">
        <v>5213</v>
      </c>
      <c r="C714" s="3115"/>
      <c r="D714" s="3115"/>
      <c r="E714" s="3114">
        <v>136.94999999999999</v>
      </c>
      <c r="F714" s="3114">
        <v>15200</v>
      </c>
      <c r="G714" s="3114">
        <f t="shared" si="11"/>
        <v>2081639.9999999998</v>
      </c>
    </row>
    <row r="715" spans="1:7" s="3125" customFormat="1" ht="15">
      <c r="A715" s="3118">
        <v>711</v>
      </c>
      <c r="B715" s="3115" t="s">
        <v>5212</v>
      </c>
      <c r="C715" s="3115"/>
      <c r="D715" s="3115"/>
      <c r="E715" s="3114">
        <v>136.94999999999999</v>
      </c>
      <c r="F715" s="3114">
        <v>15200</v>
      </c>
      <c r="G715" s="3114">
        <f t="shared" si="11"/>
        <v>2081639.9999999998</v>
      </c>
    </row>
    <row r="716" spans="1:7" s="3125" customFormat="1" ht="15">
      <c r="A716" s="3118">
        <v>712</v>
      </c>
      <c r="B716" s="3115" t="s">
        <v>5211</v>
      </c>
      <c r="C716" s="3115"/>
      <c r="D716" s="3115"/>
      <c r="E716" s="3114">
        <v>136.94999999999999</v>
      </c>
      <c r="F716" s="3114">
        <v>15200</v>
      </c>
      <c r="G716" s="3114">
        <f t="shared" si="11"/>
        <v>2081639.9999999998</v>
      </c>
    </row>
    <row r="717" spans="1:7" s="3125" customFormat="1" ht="15">
      <c r="A717" s="3118">
        <v>713</v>
      </c>
      <c r="B717" s="3115" t="s">
        <v>5210</v>
      </c>
      <c r="C717" s="3115"/>
      <c r="D717" s="3115"/>
      <c r="E717" s="3114">
        <v>136.94999999999999</v>
      </c>
      <c r="F717" s="3114">
        <v>15100</v>
      </c>
      <c r="G717" s="3114">
        <f t="shared" si="11"/>
        <v>2067944.9999999998</v>
      </c>
    </row>
    <row r="718" spans="1:7" s="3125" customFormat="1" ht="15">
      <c r="A718" s="3118">
        <v>714</v>
      </c>
      <c r="B718" s="3115" t="s">
        <v>5209</v>
      </c>
      <c r="C718" s="3115"/>
      <c r="D718" s="3115"/>
      <c r="E718" s="3114">
        <v>136.94999999999999</v>
      </c>
      <c r="F718" s="3114">
        <v>15100</v>
      </c>
      <c r="G718" s="3114">
        <f t="shared" si="11"/>
        <v>2067944.9999999998</v>
      </c>
    </row>
    <row r="719" spans="1:7" s="3125" customFormat="1" ht="15">
      <c r="A719" s="3118">
        <v>715</v>
      </c>
      <c r="B719" s="3115" t="s">
        <v>5208</v>
      </c>
      <c r="C719" s="3115"/>
      <c r="D719" s="3115"/>
      <c r="E719" s="3114">
        <v>136.94999999999999</v>
      </c>
      <c r="F719" s="3114">
        <v>14900</v>
      </c>
      <c r="G719" s="3114">
        <f t="shared" si="11"/>
        <v>2040554.9999999998</v>
      </c>
    </row>
    <row r="720" spans="1:7" s="3125" customFormat="1" ht="15">
      <c r="A720" s="3118">
        <v>716</v>
      </c>
      <c r="B720" s="3115" t="s">
        <v>5207</v>
      </c>
      <c r="C720" s="3115"/>
      <c r="D720" s="3115"/>
      <c r="E720" s="3114">
        <v>68.84</v>
      </c>
      <c r="F720" s="3114">
        <v>12500</v>
      </c>
      <c r="G720" s="3114">
        <f t="shared" si="11"/>
        <v>860500</v>
      </c>
    </row>
    <row r="721" spans="1:7" s="3125" customFormat="1" ht="15">
      <c r="A721" s="3118">
        <v>717</v>
      </c>
      <c r="B721" s="3115" t="s">
        <v>5206</v>
      </c>
      <c r="C721" s="3115"/>
      <c r="D721" s="3115"/>
      <c r="E721" s="3114">
        <v>136.94999999999999</v>
      </c>
      <c r="F721" s="3114">
        <v>14100</v>
      </c>
      <c r="G721" s="3114">
        <f t="shared" si="11"/>
        <v>1930994.9999999998</v>
      </c>
    </row>
    <row r="722" spans="1:7" s="3125" customFormat="1" ht="15">
      <c r="A722" s="3118">
        <v>718</v>
      </c>
      <c r="B722" s="3115" t="s">
        <v>5205</v>
      </c>
      <c r="C722" s="3115"/>
      <c r="D722" s="3115"/>
      <c r="E722" s="3114">
        <v>136.94999999999999</v>
      </c>
      <c r="F722" s="3114">
        <v>14300</v>
      </c>
      <c r="G722" s="3114">
        <f t="shared" si="11"/>
        <v>1958384.9999999998</v>
      </c>
    </row>
    <row r="723" spans="1:7" s="3125" customFormat="1" ht="15">
      <c r="A723" s="3118">
        <v>719</v>
      </c>
      <c r="B723" s="3115" t="s">
        <v>5204</v>
      </c>
      <c r="C723" s="3115"/>
      <c r="D723" s="3115"/>
      <c r="E723" s="3114">
        <v>136.94999999999999</v>
      </c>
      <c r="F723" s="3114">
        <v>14600</v>
      </c>
      <c r="G723" s="3114">
        <f t="shared" si="11"/>
        <v>1999469.9999999998</v>
      </c>
    </row>
    <row r="724" spans="1:7" ht="15">
      <c r="A724" s="3118">
        <v>720</v>
      </c>
      <c r="B724" s="3115" t="s">
        <v>5203</v>
      </c>
      <c r="C724" s="3115"/>
      <c r="D724" s="3115"/>
      <c r="E724" s="3114">
        <v>136.94999999999999</v>
      </c>
      <c r="F724" s="3114">
        <v>14800</v>
      </c>
      <c r="G724" s="3114">
        <f t="shared" si="11"/>
        <v>2026859.9999999998</v>
      </c>
    </row>
    <row r="725" spans="1:7" ht="15">
      <c r="A725" s="3118">
        <v>721</v>
      </c>
      <c r="B725" s="3115" t="s">
        <v>5202</v>
      </c>
      <c r="C725" s="3115"/>
      <c r="D725" s="3115"/>
      <c r="E725" s="3114">
        <v>136.94999999999999</v>
      </c>
      <c r="F725" s="3114">
        <v>14900</v>
      </c>
      <c r="G725" s="3114">
        <f t="shared" si="11"/>
        <v>2040554.9999999998</v>
      </c>
    </row>
    <row r="726" spans="1:7" ht="15">
      <c r="A726" s="3118">
        <v>722</v>
      </c>
      <c r="B726" s="3115" t="s">
        <v>5201</v>
      </c>
      <c r="C726" s="3115"/>
      <c r="D726" s="3115"/>
      <c r="E726" s="3114">
        <v>136.94999999999999</v>
      </c>
      <c r="F726" s="3114">
        <v>15000</v>
      </c>
      <c r="G726" s="3114">
        <f t="shared" si="11"/>
        <v>2054249.9999999998</v>
      </c>
    </row>
    <row r="727" spans="1:7" ht="15">
      <c r="A727" s="3118">
        <v>723</v>
      </c>
      <c r="B727" s="3115" t="s">
        <v>5200</v>
      </c>
      <c r="C727" s="3115"/>
      <c r="D727" s="3115"/>
      <c r="E727" s="3114">
        <v>136.94999999999999</v>
      </c>
      <c r="F727" s="3114">
        <v>15000</v>
      </c>
      <c r="G727" s="3114">
        <f t="shared" si="11"/>
        <v>2054249.9999999998</v>
      </c>
    </row>
    <row r="728" spans="1:7" ht="15">
      <c r="A728" s="3118">
        <v>724</v>
      </c>
      <c r="B728" s="3115" t="s">
        <v>5199</v>
      </c>
      <c r="C728" s="3115"/>
      <c r="D728" s="3115"/>
      <c r="E728" s="3114">
        <v>136.94999999999999</v>
      </c>
      <c r="F728" s="3114">
        <v>15200</v>
      </c>
      <c r="G728" s="3114">
        <f t="shared" si="11"/>
        <v>2081639.9999999998</v>
      </c>
    </row>
    <row r="729" spans="1:7" ht="15">
      <c r="A729" s="3118">
        <v>725</v>
      </c>
      <c r="B729" s="3115" t="s">
        <v>5198</v>
      </c>
      <c r="C729" s="3115"/>
      <c r="D729" s="3115"/>
      <c r="E729" s="3114">
        <v>136.94999999999999</v>
      </c>
      <c r="F729" s="3114">
        <v>15200</v>
      </c>
      <c r="G729" s="3114">
        <f t="shared" si="11"/>
        <v>2081639.9999999998</v>
      </c>
    </row>
    <row r="730" spans="1:7" ht="15">
      <c r="A730" s="3118">
        <v>726</v>
      </c>
      <c r="B730" s="3115" t="s">
        <v>5197</v>
      </c>
      <c r="C730" s="3115"/>
      <c r="D730" s="3115"/>
      <c r="E730" s="3114">
        <v>136.94999999999999</v>
      </c>
      <c r="F730" s="3114">
        <v>15200</v>
      </c>
      <c r="G730" s="3114">
        <f t="shared" si="11"/>
        <v>2081639.9999999998</v>
      </c>
    </row>
    <row r="731" spans="1:7" ht="15">
      <c r="A731" s="3118">
        <v>727</v>
      </c>
      <c r="B731" s="3115" t="s">
        <v>5196</v>
      </c>
      <c r="C731" s="3115"/>
      <c r="D731" s="3115"/>
      <c r="E731" s="3114">
        <v>136.94999999999999</v>
      </c>
      <c r="F731" s="3114">
        <v>15200</v>
      </c>
      <c r="G731" s="3114">
        <f t="shared" si="11"/>
        <v>2081639.9999999998</v>
      </c>
    </row>
    <row r="732" spans="1:7" ht="15">
      <c r="A732" s="3118">
        <v>728</v>
      </c>
      <c r="B732" s="3115" t="s">
        <v>5195</v>
      </c>
      <c r="C732" s="3115"/>
      <c r="D732" s="3115"/>
      <c r="E732" s="3114">
        <v>136.94999999999999</v>
      </c>
      <c r="F732" s="3114">
        <v>15100</v>
      </c>
      <c r="G732" s="3114">
        <f t="shared" si="11"/>
        <v>2067944.9999999998</v>
      </c>
    </row>
    <row r="733" spans="1:7" ht="15">
      <c r="A733" s="3118">
        <v>729</v>
      </c>
      <c r="B733" s="3115" t="s">
        <v>5194</v>
      </c>
      <c r="C733" s="3115"/>
      <c r="D733" s="3115"/>
      <c r="E733" s="3114">
        <v>136.94999999999999</v>
      </c>
      <c r="F733" s="3114">
        <v>15100</v>
      </c>
      <c r="G733" s="3114">
        <f t="shared" si="11"/>
        <v>2067944.9999999998</v>
      </c>
    </row>
    <row r="734" spans="1:7" ht="15">
      <c r="A734" s="3118">
        <v>730</v>
      </c>
      <c r="B734" s="3115" t="s">
        <v>5193</v>
      </c>
      <c r="C734" s="3115"/>
      <c r="D734" s="3115"/>
      <c r="E734" s="3114">
        <v>136.94999999999999</v>
      </c>
      <c r="F734" s="3114">
        <v>14900</v>
      </c>
      <c r="G734" s="3114">
        <f t="shared" si="11"/>
        <v>2040554.9999999998</v>
      </c>
    </row>
    <row r="735" spans="1:7" ht="15">
      <c r="A735" s="3118">
        <v>731</v>
      </c>
      <c r="B735" s="3115" t="s">
        <v>5192</v>
      </c>
      <c r="C735" s="3115"/>
      <c r="D735" s="3115"/>
      <c r="E735" s="3114">
        <v>68.84</v>
      </c>
      <c r="F735" s="3114">
        <v>12500</v>
      </c>
      <c r="G735" s="3114">
        <f t="shared" si="11"/>
        <v>860500</v>
      </c>
    </row>
    <row r="736" spans="1:7" s="3125" customFormat="1" ht="15">
      <c r="A736" s="3118">
        <v>732</v>
      </c>
      <c r="B736" s="3115" t="s">
        <v>5191</v>
      </c>
      <c r="C736" s="3115"/>
      <c r="D736" s="3115"/>
      <c r="E736" s="3116">
        <v>88.31</v>
      </c>
      <c r="F736" s="3116">
        <v>11250</v>
      </c>
      <c r="G736" s="3114">
        <f t="shared" si="11"/>
        <v>993487.5</v>
      </c>
    </row>
    <row r="737" spans="1:7" ht="15">
      <c r="A737" s="3118">
        <v>733</v>
      </c>
      <c r="B737" s="3115" t="s">
        <v>5190</v>
      </c>
      <c r="C737" s="3115"/>
      <c r="D737" s="3115"/>
      <c r="E737" s="3116">
        <v>88.31</v>
      </c>
      <c r="F737" s="3116">
        <v>11450</v>
      </c>
      <c r="G737" s="3114">
        <f t="shared" si="11"/>
        <v>1011149.5</v>
      </c>
    </row>
    <row r="738" spans="1:7" ht="15">
      <c r="A738" s="3118">
        <v>734</v>
      </c>
      <c r="B738" s="3115" t="s">
        <v>5189</v>
      </c>
      <c r="C738" s="3115"/>
      <c r="D738" s="3115"/>
      <c r="E738" s="3116">
        <v>88.31</v>
      </c>
      <c r="F738" s="3116">
        <v>11900</v>
      </c>
      <c r="G738" s="3114">
        <f t="shared" si="11"/>
        <v>1050889</v>
      </c>
    </row>
    <row r="739" spans="1:7" ht="15">
      <c r="A739" s="3118">
        <v>735</v>
      </c>
      <c r="B739" s="3115" t="s">
        <v>5188</v>
      </c>
      <c r="C739" s="3115"/>
      <c r="D739" s="3115"/>
      <c r="E739" s="3116">
        <v>88.31</v>
      </c>
      <c r="F739" s="3116">
        <v>12250</v>
      </c>
      <c r="G739" s="3114">
        <f t="shared" si="11"/>
        <v>1081797.5</v>
      </c>
    </row>
    <row r="740" spans="1:7" ht="15">
      <c r="A740" s="3118">
        <v>736</v>
      </c>
      <c r="B740" s="3115" t="s">
        <v>5187</v>
      </c>
      <c r="C740" s="3115"/>
      <c r="D740" s="3115"/>
      <c r="E740" s="3116">
        <v>88.31</v>
      </c>
      <c r="F740" s="3116">
        <v>12300</v>
      </c>
      <c r="G740" s="3114">
        <f t="shared" si="11"/>
        <v>1086213</v>
      </c>
    </row>
    <row r="741" spans="1:7" ht="15">
      <c r="A741" s="3118">
        <v>737</v>
      </c>
      <c r="B741" s="3115" t="s">
        <v>5186</v>
      </c>
      <c r="C741" s="3115"/>
      <c r="D741" s="3115"/>
      <c r="E741" s="3116">
        <v>88.31</v>
      </c>
      <c r="F741" s="3116">
        <v>12350</v>
      </c>
      <c r="G741" s="3114">
        <f t="shared" si="11"/>
        <v>1090628.5</v>
      </c>
    </row>
    <row r="742" spans="1:7" ht="15">
      <c r="A742" s="3118">
        <v>738</v>
      </c>
      <c r="B742" s="3115" t="s">
        <v>5185</v>
      </c>
      <c r="C742" s="3115"/>
      <c r="D742" s="3115"/>
      <c r="E742" s="3114">
        <v>88.31</v>
      </c>
      <c r="F742" s="3114">
        <v>12400</v>
      </c>
      <c r="G742" s="3114">
        <f t="shared" si="11"/>
        <v>1095044</v>
      </c>
    </row>
    <row r="743" spans="1:7" ht="15">
      <c r="A743" s="3118">
        <v>739</v>
      </c>
      <c r="B743" s="3115" t="s">
        <v>5184</v>
      </c>
      <c r="C743" s="3115"/>
      <c r="D743" s="3115"/>
      <c r="E743" s="3114">
        <v>88.31</v>
      </c>
      <c r="F743" s="3114">
        <v>12450</v>
      </c>
      <c r="G743" s="3114">
        <f t="shared" si="11"/>
        <v>1099459.5</v>
      </c>
    </row>
    <row r="744" spans="1:7" ht="15">
      <c r="A744" s="3118">
        <v>740</v>
      </c>
      <c r="B744" s="3115" t="s">
        <v>5183</v>
      </c>
      <c r="C744" s="3115"/>
      <c r="D744" s="3115"/>
      <c r="E744" s="3114">
        <v>88.31</v>
      </c>
      <c r="F744" s="3114">
        <v>12500</v>
      </c>
      <c r="G744" s="3114">
        <f t="shared" si="11"/>
        <v>1103875</v>
      </c>
    </row>
    <row r="745" spans="1:7" ht="15">
      <c r="A745" s="3118">
        <v>741</v>
      </c>
      <c r="B745" s="3115" t="s">
        <v>5182</v>
      </c>
      <c r="C745" s="3115"/>
      <c r="D745" s="3115"/>
      <c r="E745" s="3114">
        <v>88.31</v>
      </c>
      <c r="F745" s="3114">
        <v>12550</v>
      </c>
      <c r="G745" s="3114">
        <f t="shared" si="11"/>
        <v>1108290.5</v>
      </c>
    </row>
    <row r="746" spans="1:7" ht="15">
      <c r="A746" s="3118">
        <v>742</v>
      </c>
      <c r="B746" s="3115" t="s">
        <v>5181</v>
      </c>
      <c r="C746" s="3115"/>
      <c r="D746" s="3115"/>
      <c r="E746" s="3114">
        <v>88.31</v>
      </c>
      <c r="F746" s="3114">
        <v>12600</v>
      </c>
      <c r="G746" s="3114">
        <f t="shared" si="11"/>
        <v>1112706</v>
      </c>
    </row>
    <row r="747" spans="1:7" ht="15">
      <c r="A747" s="3118">
        <v>743</v>
      </c>
      <c r="B747" s="3115" t="s">
        <v>5180</v>
      </c>
      <c r="C747" s="3115"/>
      <c r="D747" s="3115"/>
      <c r="E747" s="3114">
        <v>88.31</v>
      </c>
      <c r="F747" s="3114">
        <v>12600</v>
      </c>
      <c r="G747" s="3114">
        <f t="shared" si="11"/>
        <v>1112706</v>
      </c>
    </row>
    <row r="748" spans="1:7" ht="15">
      <c r="A748" s="3118">
        <v>744</v>
      </c>
      <c r="B748" s="3115" t="s">
        <v>5179</v>
      </c>
      <c r="C748" s="3115"/>
      <c r="D748" s="3115"/>
      <c r="E748" s="3114">
        <v>88.31</v>
      </c>
      <c r="F748" s="3114">
        <v>12600</v>
      </c>
      <c r="G748" s="3114">
        <f t="shared" si="11"/>
        <v>1112706</v>
      </c>
    </row>
    <row r="749" spans="1:7" ht="15">
      <c r="A749" s="3118">
        <v>745</v>
      </c>
      <c r="B749" s="3115" t="s">
        <v>5178</v>
      </c>
      <c r="C749" s="3115"/>
      <c r="D749" s="3115"/>
      <c r="E749" s="3114">
        <v>88.31</v>
      </c>
      <c r="F749" s="3114">
        <v>12630</v>
      </c>
      <c r="G749" s="3114">
        <f t="shared" si="11"/>
        <v>1115355.3</v>
      </c>
    </row>
    <row r="750" spans="1:7" ht="15">
      <c r="A750" s="3118">
        <v>746</v>
      </c>
      <c r="B750" s="3115" t="s">
        <v>5177</v>
      </c>
      <c r="C750" s="3115"/>
      <c r="D750" s="3115"/>
      <c r="E750" s="3114">
        <v>88.31</v>
      </c>
      <c r="F750" s="3114">
        <v>12630</v>
      </c>
      <c r="G750" s="3114">
        <f t="shared" si="11"/>
        <v>1115355.3</v>
      </c>
    </row>
    <row r="751" spans="1:7" ht="15">
      <c r="A751" s="3118">
        <v>747</v>
      </c>
      <c r="B751" s="3115" t="s">
        <v>5176</v>
      </c>
      <c r="C751" s="3115"/>
      <c r="D751" s="3115"/>
      <c r="E751" s="3114">
        <v>88.31</v>
      </c>
      <c r="F751" s="3114">
        <v>12660</v>
      </c>
      <c r="G751" s="3114">
        <f t="shared" si="11"/>
        <v>1118004.6000000001</v>
      </c>
    </row>
    <row r="752" spans="1:7" ht="15">
      <c r="A752" s="3118">
        <v>748</v>
      </c>
      <c r="B752" s="3115" t="s">
        <v>5175</v>
      </c>
      <c r="C752" s="3115"/>
      <c r="D752" s="3115"/>
      <c r="E752" s="3114">
        <v>88.31</v>
      </c>
      <c r="F752" s="3114">
        <v>12660</v>
      </c>
      <c r="G752" s="3114">
        <f t="shared" si="11"/>
        <v>1118004.6000000001</v>
      </c>
    </row>
    <row r="753" spans="1:7" ht="15">
      <c r="A753" s="3118">
        <v>749</v>
      </c>
      <c r="B753" s="3115" t="s">
        <v>5174</v>
      </c>
      <c r="C753" s="3115"/>
      <c r="D753" s="3115"/>
      <c r="E753" s="3114">
        <v>88.31</v>
      </c>
      <c r="F753" s="3114">
        <v>12660</v>
      </c>
      <c r="G753" s="3114">
        <f t="shared" si="11"/>
        <v>1118004.6000000001</v>
      </c>
    </row>
    <row r="754" spans="1:7" ht="15">
      <c r="A754" s="3118">
        <v>750</v>
      </c>
      <c r="B754" s="3115" t="s">
        <v>5173</v>
      </c>
      <c r="C754" s="3115"/>
      <c r="D754" s="3115"/>
      <c r="E754" s="3114">
        <v>88.31</v>
      </c>
      <c r="F754" s="3114">
        <v>12660</v>
      </c>
      <c r="G754" s="3114">
        <f t="shared" si="11"/>
        <v>1118004.6000000001</v>
      </c>
    </row>
    <row r="755" spans="1:7" ht="15">
      <c r="A755" s="3118">
        <v>751</v>
      </c>
      <c r="B755" s="3115" t="s">
        <v>5172</v>
      </c>
      <c r="C755" s="3115"/>
      <c r="D755" s="3115"/>
      <c r="E755" s="3114">
        <v>88.31</v>
      </c>
      <c r="F755" s="3114">
        <v>12690</v>
      </c>
      <c r="G755" s="3114">
        <f t="shared" si="11"/>
        <v>1120653.9000000001</v>
      </c>
    </row>
    <row r="756" spans="1:7" ht="15">
      <c r="A756" s="3118">
        <v>752</v>
      </c>
      <c r="B756" s="3115" t="s">
        <v>5171</v>
      </c>
      <c r="C756" s="3115"/>
      <c r="D756" s="3115"/>
      <c r="E756" s="3114">
        <v>88.31</v>
      </c>
      <c r="F756" s="3114">
        <v>12690</v>
      </c>
      <c r="G756" s="3114">
        <f t="shared" si="11"/>
        <v>1120653.9000000001</v>
      </c>
    </row>
    <row r="757" spans="1:7" ht="15">
      <c r="A757" s="3118">
        <v>753</v>
      </c>
      <c r="B757" s="3115" t="s">
        <v>5170</v>
      </c>
      <c r="C757" s="3115"/>
      <c r="D757" s="3115"/>
      <c r="E757" s="3114">
        <v>88.31</v>
      </c>
      <c r="F757" s="3114">
        <v>12660</v>
      </c>
      <c r="G757" s="3114">
        <f t="shared" si="11"/>
        <v>1118004.6000000001</v>
      </c>
    </row>
    <row r="758" spans="1:7" ht="15">
      <c r="A758" s="3118">
        <v>754</v>
      </c>
      <c r="B758" s="3115" t="s">
        <v>5169</v>
      </c>
      <c r="C758" s="3115"/>
      <c r="D758" s="3115"/>
      <c r="E758" s="3114">
        <v>88.31</v>
      </c>
      <c r="F758" s="3114">
        <v>12660</v>
      </c>
      <c r="G758" s="3114">
        <f t="shared" si="11"/>
        <v>1118004.6000000001</v>
      </c>
    </row>
    <row r="759" spans="1:7" ht="15">
      <c r="A759" s="3118">
        <v>755</v>
      </c>
      <c r="B759" s="3115" t="s">
        <v>5168</v>
      </c>
      <c r="C759" s="3115"/>
      <c r="D759" s="3115"/>
      <c r="E759" s="3114">
        <v>88.31</v>
      </c>
      <c r="F759" s="3114">
        <v>12660</v>
      </c>
      <c r="G759" s="3114">
        <f t="shared" si="11"/>
        <v>1118004.6000000001</v>
      </c>
    </row>
    <row r="760" spans="1:7" ht="15">
      <c r="A760" s="3118">
        <v>756</v>
      </c>
      <c r="B760" s="3115" t="s">
        <v>5167</v>
      </c>
      <c r="C760" s="3115"/>
      <c r="D760" s="3115"/>
      <c r="E760" s="3114">
        <v>88.31</v>
      </c>
      <c r="F760" s="3114">
        <v>12660</v>
      </c>
      <c r="G760" s="3114">
        <f t="shared" si="11"/>
        <v>1118004.6000000001</v>
      </c>
    </row>
    <row r="761" spans="1:7" ht="15">
      <c r="A761" s="3118">
        <v>757</v>
      </c>
      <c r="B761" s="3115" t="s">
        <v>5166</v>
      </c>
      <c r="C761" s="3115"/>
      <c r="D761" s="3115"/>
      <c r="E761" s="3114">
        <v>88.31</v>
      </c>
      <c r="F761" s="3114">
        <v>12660</v>
      </c>
      <c r="G761" s="3114">
        <f t="shared" si="11"/>
        <v>1118004.6000000001</v>
      </c>
    </row>
    <row r="762" spans="1:7" ht="15">
      <c r="A762" s="3118">
        <v>758</v>
      </c>
      <c r="B762" s="3115" t="s">
        <v>5165</v>
      </c>
      <c r="C762" s="3115"/>
      <c r="D762" s="3115"/>
      <c r="E762" s="3114">
        <v>88.31</v>
      </c>
      <c r="F762" s="3114">
        <v>12660</v>
      </c>
      <c r="G762" s="3114">
        <f t="shared" si="11"/>
        <v>1118004.6000000001</v>
      </c>
    </row>
    <row r="763" spans="1:7" ht="15">
      <c r="A763" s="3118">
        <v>759</v>
      </c>
      <c r="B763" s="3115" t="s">
        <v>5164</v>
      </c>
      <c r="C763" s="3115"/>
      <c r="D763" s="3115"/>
      <c r="E763" s="3114">
        <v>88.31</v>
      </c>
      <c r="F763" s="3114">
        <v>12660</v>
      </c>
      <c r="G763" s="3114">
        <f t="shared" si="11"/>
        <v>1118004.6000000001</v>
      </c>
    </row>
    <row r="764" spans="1:7" ht="15">
      <c r="A764" s="3118">
        <v>760</v>
      </c>
      <c r="B764" s="3115" t="s">
        <v>5163</v>
      </c>
      <c r="C764" s="3115"/>
      <c r="D764" s="3115"/>
      <c r="E764" s="3114">
        <v>88.31</v>
      </c>
      <c r="F764" s="3114">
        <v>12160</v>
      </c>
      <c r="G764" s="3114">
        <f t="shared" si="11"/>
        <v>1073849.6000000001</v>
      </c>
    </row>
    <row r="765" spans="1:7" ht="15">
      <c r="A765" s="3118">
        <v>761</v>
      </c>
      <c r="B765" s="3115" t="s">
        <v>5162</v>
      </c>
      <c r="C765" s="3115"/>
      <c r="D765" s="3115"/>
      <c r="E765" s="3114">
        <v>88.18</v>
      </c>
      <c r="F765" s="3114">
        <v>11250</v>
      </c>
      <c r="G765" s="3114">
        <f t="shared" si="11"/>
        <v>992025.00000000012</v>
      </c>
    </row>
    <row r="766" spans="1:7" ht="15">
      <c r="A766" s="3118">
        <v>762</v>
      </c>
      <c r="B766" s="3115" t="s">
        <v>5161</v>
      </c>
      <c r="C766" s="3115"/>
      <c r="D766" s="3115"/>
      <c r="E766" s="3114">
        <v>88.18</v>
      </c>
      <c r="F766" s="3114">
        <v>11450</v>
      </c>
      <c r="G766" s="3114">
        <f t="shared" si="11"/>
        <v>1009661.0000000001</v>
      </c>
    </row>
    <row r="767" spans="1:7" ht="15">
      <c r="A767" s="3118">
        <v>763</v>
      </c>
      <c r="B767" s="3115" t="s">
        <v>5160</v>
      </c>
      <c r="C767" s="3115"/>
      <c r="D767" s="3115"/>
      <c r="E767" s="3114">
        <v>88.18</v>
      </c>
      <c r="F767" s="3114">
        <v>11900</v>
      </c>
      <c r="G767" s="3114">
        <f t="shared" si="11"/>
        <v>1049342</v>
      </c>
    </row>
    <row r="768" spans="1:7" ht="15">
      <c r="A768" s="3118">
        <v>764</v>
      </c>
      <c r="B768" s="3115" t="s">
        <v>5159</v>
      </c>
      <c r="C768" s="3115"/>
      <c r="D768" s="3115"/>
      <c r="E768" s="3114">
        <v>88.18</v>
      </c>
      <c r="F768" s="3114">
        <v>12250</v>
      </c>
      <c r="G768" s="3114">
        <f t="shared" si="11"/>
        <v>1080205</v>
      </c>
    </row>
    <row r="769" spans="1:7" ht="15">
      <c r="A769" s="3118">
        <v>765</v>
      </c>
      <c r="B769" s="3115" t="s">
        <v>5158</v>
      </c>
      <c r="C769" s="3115"/>
      <c r="D769" s="3115"/>
      <c r="E769" s="3114">
        <v>88.18</v>
      </c>
      <c r="F769" s="3114">
        <v>12300</v>
      </c>
      <c r="G769" s="3114">
        <f t="shared" si="11"/>
        <v>1084614</v>
      </c>
    </row>
    <row r="770" spans="1:7" ht="15">
      <c r="A770" s="3118">
        <v>766</v>
      </c>
      <c r="B770" s="3115" t="s">
        <v>5157</v>
      </c>
      <c r="C770" s="3115"/>
      <c r="D770" s="3115"/>
      <c r="E770" s="3114">
        <v>88.18</v>
      </c>
      <c r="F770" s="3114">
        <v>12350</v>
      </c>
      <c r="G770" s="3114">
        <f t="shared" si="11"/>
        <v>1089023</v>
      </c>
    </row>
    <row r="771" spans="1:7" ht="15">
      <c r="A771" s="3118">
        <v>767</v>
      </c>
      <c r="B771" s="3115" t="s">
        <v>5156</v>
      </c>
      <c r="C771" s="3115"/>
      <c r="D771" s="3115"/>
      <c r="E771" s="3114">
        <v>88.18</v>
      </c>
      <c r="F771" s="3114">
        <v>12400</v>
      </c>
      <c r="G771" s="3114">
        <f t="shared" si="11"/>
        <v>1093432</v>
      </c>
    </row>
    <row r="772" spans="1:7" ht="15">
      <c r="A772" s="3118">
        <v>768</v>
      </c>
      <c r="B772" s="3115" t="s">
        <v>5155</v>
      </c>
      <c r="C772" s="3115"/>
      <c r="D772" s="3115"/>
      <c r="E772" s="3114">
        <v>88.18</v>
      </c>
      <c r="F772" s="3114">
        <v>12450</v>
      </c>
      <c r="G772" s="3114">
        <f t="shared" si="11"/>
        <v>1097841</v>
      </c>
    </row>
    <row r="773" spans="1:7" ht="15">
      <c r="A773" s="3118">
        <v>769</v>
      </c>
      <c r="B773" s="3115" t="s">
        <v>5154</v>
      </c>
      <c r="C773" s="3115"/>
      <c r="D773" s="3115"/>
      <c r="E773" s="3114">
        <v>88.18</v>
      </c>
      <c r="F773" s="3114">
        <v>12500</v>
      </c>
      <c r="G773" s="3114">
        <f t="shared" ref="G773:G822" si="12">E773*F773</f>
        <v>1102250</v>
      </c>
    </row>
    <row r="774" spans="1:7" ht="15">
      <c r="A774" s="3118">
        <v>770</v>
      </c>
      <c r="B774" s="3115" t="s">
        <v>5153</v>
      </c>
      <c r="C774" s="3115"/>
      <c r="D774" s="3115"/>
      <c r="E774" s="3114">
        <v>88.18</v>
      </c>
      <c r="F774" s="3114">
        <v>12550</v>
      </c>
      <c r="G774" s="3114">
        <f t="shared" si="12"/>
        <v>1106659</v>
      </c>
    </row>
    <row r="775" spans="1:7" ht="15">
      <c r="A775" s="3118">
        <v>771</v>
      </c>
      <c r="B775" s="3115" t="s">
        <v>5152</v>
      </c>
      <c r="C775" s="3115"/>
      <c r="D775" s="3115"/>
      <c r="E775" s="3114">
        <v>88.18</v>
      </c>
      <c r="F775" s="3114">
        <v>12600</v>
      </c>
      <c r="G775" s="3114">
        <f t="shared" si="12"/>
        <v>1111068</v>
      </c>
    </row>
    <row r="776" spans="1:7" ht="15">
      <c r="A776" s="3118">
        <v>772</v>
      </c>
      <c r="B776" s="3115" t="s">
        <v>5151</v>
      </c>
      <c r="C776" s="3115"/>
      <c r="D776" s="3115"/>
      <c r="E776" s="3114">
        <v>88.18</v>
      </c>
      <c r="F776" s="3114">
        <v>12600</v>
      </c>
      <c r="G776" s="3114">
        <f t="shared" si="12"/>
        <v>1111068</v>
      </c>
    </row>
    <row r="777" spans="1:7" ht="15">
      <c r="A777" s="3118">
        <v>773</v>
      </c>
      <c r="B777" s="3115" t="s">
        <v>5150</v>
      </c>
      <c r="C777" s="3115"/>
      <c r="D777" s="3115"/>
      <c r="E777" s="3114">
        <v>88.18</v>
      </c>
      <c r="F777" s="3114">
        <v>12600</v>
      </c>
      <c r="G777" s="3114">
        <f t="shared" si="12"/>
        <v>1111068</v>
      </c>
    </row>
    <row r="778" spans="1:7" ht="15">
      <c r="A778" s="3118">
        <v>774</v>
      </c>
      <c r="B778" s="3115" t="s">
        <v>5149</v>
      </c>
      <c r="C778" s="3115"/>
      <c r="D778" s="3115"/>
      <c r="E778" s="3114">
        <v>88.18</v>
      </c>
      <c r="F778" s="3114">
        <v>12630</v>
      </c>
      <c r="G778" s="3114">
        <f t="shared" si="12"/>
        <v>1113713.4000000001</v>
      </c>
    </row>
    <row r="779" spans="1:7" ht="15">
      <c r="A779" s="3118">
        <v>775</v>
      </c>
      <c r="B779" s="3115" t="s">
        <v>5148</v>
      </c>
      <c r="C779" s="3115"/>
      <c r="D779" s="3115"/>
      <c r="E779" s="3114">
        <v>88.18</v>
      </c>
      <c r="F779" s="3114">
        <v>12630</v>
      </c>
      <c r="G779" s="3114">
        <f t="shared" si="12"/>
        <v>1113713.4000000001</v>
      </c>
    </row>
    <row r="780" spans="1:7" ht="15">
      <c r="A780" s="3118">
        <v>776</v>
      </c>
      <c r="B780" s="3115" t="s">
        <v>5147</v>
      </c>
      <c r="C780" s="3115"/>
      <c r="D780" s="3115"/>
      <c r="E780" s="3114">
        <v>88.18</v>
      </c>
      <c r="F780" s="3114">
        <v>12660</v>
      </c>
      <c r="G780" s="3114">
        <f t="shared" si="12"/>
        <v>1116358.8</v>
      </c>
    </row>
    <row r="781" spans="1:7" ht="15">
      <c r="A781" s="3118">
        <v>777</v>
      </c>
      <c r="B781" s="3115" t="s">
        <v>5146</v>
      </c>
      <c r="C781" s="3115"/>
      <c r="D781" s="3115"/>
      <c r="E781" s="3114">
        <v>88.18</v>
      </c>
      <c r="F781" s="3114">
        <v>12660</v>
      </c>
      <c r="G781" s="3114">
        <f t="shared" si="12"/>
        <v>1116358.8</v>
      </c>
    </row>
    <row r="782" spans="1:7" ht="15">
      <c r="A782" s="3118">
        <v>778</v>
      </c>
      <c r="B782" s="3115" t="s">
        <v>5145</v>
      </c>
      <c r="C782" s="3115"/>
      <c r="D782" s="3115"/>
      <c r="E782" s="3114">
        <v>88.18</v>
      </c>
      <c r="F782" s="3114">
        <v>12660</v>
      </c>
      <c r="G782" s="3114">
        <f t="shared" si="12"/>
        <v>1116358.8</v>
      </c>
    </row>
    <row r="783" spans="1:7" ht="15">
      <c r="A783" s="3118">
        <v>779</v>
      </c>
      <c r="B783" s="3115" t="s">
        <v>5144</v>
      </c>
      <c r="C783" s="3115"/>
      <c r="D783" s="3115"/>
      <c r="E783" s="3114">
        <v>88.18</v>
      </c>
      <c r="F783" s="3114">
        <v>12660</v>
      </c>
      <c r="G783" s="3114">
        <f t="shared" si="12"/>
        <v>1116358.8</v>
      </c>
    </row>
    <row r="784" spans="1:7" ht="15">
      <c r="A784" s="3118">
        <v>780</v>
      </c>
      <c r="B784" s="3115" t="s">
        <v>5143</v>
      </c>
      <c r="C784" s="3115"/>
      <c r="D784" s="3115"/>
      <c r="E784" s="3114">
        <v>88.18</v>
      </c>
      <c r="F784" s="3114">
        <v>12690</v>
      </c>
      <c r="G784" s="3114">
        <f t="shared" si="12"/>
        <v>1119004.2000000002</v>
      </c>
    </row>
    <row r="785" spans="1:7" ht="15">
      <c r="A785" s="3118">
        <v>781</v>
      </c>
      <c r="B785" s="3115" t="s">
        <v>5142</v>
      </c>
      <c r="C785" s="3115"/>
      <c r="D785" s="3115"/>
      <c r="E785" s="3114">
        <v>88.18</v>
      </c>
      <c r="F785" s="3114">
        <v>12690</v>
      </c>
      <c r="G785" s="3114">
        <f t="shared" si="12"/>
        <v>1119004.2000000002</v>
      </c>
    </row>
    <row r="786" spans="1:7" ht="15">
      <c r="A786" s="3118">
        <v>782</v>
      </c>
      <c r="B786" s="3115" t="s">
        <v>5141</v>
      </c>
      <c r="C786" s="3115"/>
      <c r="D786" s="3115"/>
      <c r="E786" s="3114">
        <v>88.18</v>
      </c>
      <c r="F786" s="3114">
        <v>12660</v>
      </c>
      <c r="G786" s="3114">
        <f t="shared" si="12"/>
        <v>1116358.8</v>
      </c>
    </row>
    <row r="787" spans="1:7" ht="15">
      <c r="A787" s="3118">
        <v>783</v>
      </c>
      <c r="B787" s="3115" t="s">
        <v>5140</v>
      </c>
      <c r="C787" s="3115"/>
      <c r="D787" s="3115"/>
      <c r="E787" s="3114">
        <v>88.18</v>
      </c>
      <c r="F787" s="3114">
        <v>12660</v>
      </c>
      <c r="G787" s="3114">
        <f t="shared" si="12"/>
        <v>1116358.8</v>
      </c>
    </row>
    <row r="788" spans="1:7" ht="15">
      <c r="A788" s="3118">
        <v>784</v>
      </c>
      <c r="B788" s="3115" t="s">
        <v>5139</v>
      </c>
      <c r="C788" s="3115"/>
      <c r="D788" s="3115"/>
      <c r="E788" s="3114">
        <v>88.18</v>
      </c>
      <c r="F788" s="3114">
        <v>12660</v>
      </c>
      <c r="G788" s="3114">
        <f t="shared" si="12"/>
        <v>1116358.8</v>
      </c>
    </row>
    <row r="789" spans="1:7" ht="15">
      <c r="A789" s="3118">
        <v>785</v>
      </c>
      <c r="B789" s="3115" t="s">
        <v>5138</v>
      </c>
      <c r="C789" s="3115"/>
      <c r="D789" s="3115"/>
      <c r="E789" s="3114">
        <v>88.18</v>
      </c>
      <c r="F789" s="3114">
        <v>12660</v>
      </c>
      <c r="G789" s="3114">
        <f t="shared" si="12"/>
        <v>1116358.8</v>
      </c>
    </row>
    <row r="790" spans="1:7" ht="15">
      <c r="A790" s="3118">
        <v>786</v>
      </c>
      <c r="B790" s="3115" t="s">
        <v>5137</v>
      </c>
      <c r="C790" s="3115"/>
      <c r="D790" s="3115"/>
      <c r="E790" s="3114">
        <v>88.18</v>
      </c>
      <c r="F790" s="3114">
        <v>12660</v>
      </c>
      <c r="G790" s="3114">
        <f t="shared" si="12"/>
        <v>1116358.8</v>
      </c>
    </row>
    <row r="791" spans="1:7" ht="15">
      <c r="A791" s="3118">
        <v>787</v>
      </c>
      <c r="B791" s="3115" t="s">
        <v>5136</v>
      </c>
      <c r="C791" s="3115"/>
      <c r="D791" s="3115"/>
      <c r="E791" s="3114">
        <v>88.18</v>
      </c>
      <c r="F791" s="3114">
        <v>12660</v>
      </c>
      <c r="G791" s="3114">
        <f t="shared" si="12"/>
        <v>1116358.8</v>
      </c>
    </row>
    <row r="792" spans="1:7" ht="15">
      <c r="A792" s="3118">
        <v>788</v>
      </c>
      <c r="B792" s="3115" t="s">
        <v>5135</v>
      </c>
      <c r="C792" s="3115"/>
      <c r="D792" s="3115"/>
      <c r="E792" s="3114">
        <v>88.18</v>
      </c>
      <c r="F792" s="3114">
        <v>12660</v>
      </c>
      <c r="G792" s="3114">
        <f t="shared" si="12"/>
        <v>1116358.8</v>
      </c>
    </row>
    <row r="793" spans="1:7" ht="15">
      <c r="A793" s="3118">
        <v>789</v>
      </c>
      <c r="B793" s="3115" t="s">
        <v>5134</v>
      </c>
      <c r="C793" s="3115"/>
      <c r="D793" s="3115"/>
      <c r="E793" s="3114">
        <v>88.18</v>
      </c>
      <c r="F793" s="3114">
        <v>12160</v>
      </c>
      <c r="G793" s="3114">
        <f t="shared" si="12"/>
        <v>1072268.8</v>
      </c>
    </row>
    <row r="794" spans="1:7" ht="15">
      <c r="A794" s="3118">
        <v>790</v>
      </c>
      <c r="B794" s="3115" t="s">
        <v>5133</v>
      </c>
      <c r="C794" s="3115"/>
      <c r="D794" s="3115"/>
      <c r="E794" s="3114">
        <v>138.16999999999999</v>
      </c>
      <c r="F794" s="3114">
        <v>11050</v>
      </c>
      <c r="G794" s="3114">
        <f t="shared" si="12"/>
        <v>1526778.4999999998</v>
      </c>
    </row>
    <row r="795" spans="1:7" ht="15">
      <c r="A795" s="3118">
        <v>791</v>
      </c>
      <c r="B795" s="3115" t="s">
        <v>5132</v>
      </c>
      <c r="C795" s="3115"/>
      <c r="D795" s="3115"/>
      <c r="E795" s="3114">
        <v>138.16999999999999</v>
      </c>
      <c r="F795" s="3114">
        <v>11250</v>
      </c>
      <c r="G795" s="3114">
        <f t="shared" si="12"/>
        <v>1554412.4999999998</v>
      </c>
    </row>
    <row r="796" spans="1:7" ht="15">
      <c r="A796" s="3118">
        <v>792</v>
      </c>
      <c r="B796" s="3115" t="s">
        <v>5131</v>
      </c>
      <c r="C796" s="3115"/>
      <c r="D796" s="3115"/>
      <c r="E796" s="3114">
        <v>138.16999999999999</v>
      </c>
      <c r="F796" s="3114">
        <v>11700</v>
      </c>
      <c r="G796" s="3114">
        <f t="shared" si="12"/>
        <v>1616588.9999999998</v>
      </c>
    </row>
    <row r="797" spans="1:7" ht="15">
      <c r="A797" s="3118">
        <v>793</v>
      </c>
      <c r="B797" s="3115" t="s">
        <v>5130</v>
      </c>
      <c r="C797" s="3115"/>
      <c r="D797" s="3115"/>
      <c r="E797" s="3114">
        <v>138.16999999999999</v>
      </c>
      <c r="F797" s="3114">
        <v>12050</v>
      </c>
      <c r="G797" s="3114">
        <f t="shared" si="12"/>
        <v>1664948.4999999998</v>
      </c>
    </row>
    <row r="798" spans="1:7" ht="15">
      <c r="A798" s="3118">
        <v>794</v>
      </c>
      <c r="B798" s="3115" t="s">
        <v>5129</v>
      </c>
      <c r="C798" s="3115"/>
      <c r="D798" s="3115"/>
      <c r="E798" s="3114">
        <v>138.16999999999999</v>
      </c>
      <c r="F798" s="3114">
        <v>12100</v>
      </c>
      <c r="G798" s="3114">
        <f t="shared" si="12"/>
        <v>1671856.9999999998</v>
      </c>
    </row>
    <row r="799" spans="1:7" ht="15">
      <c r="A799" s="3118">
        <v>795</v>
      </c>
      <c r="B799" s="3115" t="s">
        <v>5128</v>
      </c>
      <c r="C799" s="3115"/>
      <c r="D799" s="3115"/>
      <c r="E799" s="3114">
        <v>138.16999999999999</v>
      </c>
      <c r="F799" s="3114">
        <v>12150</v>
      </c>
      <c r="G799" s="3114">
        <f t="shared" si="12"/>
        <v>1678765.4999999998</v>
      </c>
    </row>
    <row r="800" spans="1:7" ht="15">
      <c r="A800" s="3118">
        <v>796</v>
      </c>
      <c r="B800" s="3115" t="s">
        <v>5127</v>
      </c>
      <c r="C800" s="3115"/>
      <c r="D800" s="3115"/>
      <c r="E800" s="3114">
        <v>138.16999999999999</v>
      </c>
      <c r="F800" s="3114">
        <v>12200</v>
      </c>
      <c r="G800" s="3114">
        <f t="shared" si="12"/>
        <v>1685673.9999999998</v>
      </c>
    </row>
    <row r="801" spans="1:7" ht="15">
      <c r="A801" s="3118">
        <v>797</v>
      </c>
      <c r="B801" s="3115" t="s">
        <v>5126</v>
      </c>
      <c r="C801" s="3115"/>
      <c r="D801" s="3115"/>
      <c r="E801" s="3114">
        <v>138.16999999999999</v>
      </c>
      <c r="F801" s="3114">
        <v>12250</v>
      </c>
      <c r="G801" s="3114">
        <f t="shared" si="12"/>
        <v>1692582.4999999998</v>
      </c>
    </row>
    <row r="802" spans="1:7" ht="15">
      <c r="A802" s="3118">
        <v>798</v>
      </c>
      <c r="B802" s="3115" t="s">
        <v>5125</v>
      </c>
      <c r="C802" s="3115"/>
      <c r="D802" s="3115"/>
      <c r="E802" s="3114">
        <v>138.16999999999999</v>
      </c>
      <c r="F802" s="3114">
        <v>12300</v>
      </c>
      <c r="G802" s="3114">
        <f t="shared" si="12"/>
        <v>1699490.9999999998</v>
      </c>
    </row>
    <row r="803" spans="1:7" ht="15">
      <c r="A803" s="3118">
        <v>799</v>
      </c>
      <c r="B803" s="3115" t="s">
        <v>5124</v>
      </c>
      <c r="C803" s="3115"/>
      <c r="D803" s="3115"/>
      <c r="E803" s="3114">
        <v>138.16999999999999</v>
      </c>
      <c r="F803" s="3114">
        <v>12350</v>
      </c>
      <c r="G803" s="3114">
        <f t="shared" si="12"/>
        <v>1706399.4999999998</v>
      </c>
    </row>
    <row r="804" spans="1:7" ht="15">
      <c r="A804" s="3118">
        <v>800</v>
      </c>
      <c r="B804" s="3115" t="s">
        <v>5123</v>
      </c>
      <c r="C804" s="3115"/>
      <c r="D804" s="3115"/>
      <c r="E804" s="3114">
        <v>138.16999999999999</v>
      </c>
      <c r="F804" s="3114">
        <v>12400</v>
      </c>
      <c r="G804" s="3114">
        <f t="shared" si="12"/>
        <v>1713307.9999999998</v>
      </c>
    </row>
    <row r="805" spans="1:7" ht="15">
      <c r="A805" s="3118">
        <v>801</v>
      </c>
      <c r="B805" s="3115" t="s">
        <v>5122</v>
      </c>
      <c r="C805" s="3115"/>
      <c r="D805" s="3115"/>
      <c r="E805" s="3114">
        <v>138.16999999999999</v>
      </c>
      <c r="F805" s="3114">
        <v>12400</v>
      </c>
      <c r="G805" s="3114">
        <f t="shared" si="12"/>
        <v>1713307.9999999998</v>
      </c>
    </row>
    <row r="806" spans="1:7" ht="15">
      <c r="A806" s="3118">
        <v>802</v>
      </c>
      <c r="B806" s="3115" t="s">
        <v>5121</v>
      </c>
      <c r="C806" s="3115"/>
      <c r="D806" s="3115"/>
      <c r="E806" s="3114">
        <v>138.16999999999999</v>
      </c>
      <c r="F806" s="3114">
        <v>12400</v>
      </c>
      <c r="G806" s="3114">
        <f t="shared" si="12"/>
        <v>1713307.9999999998</v>
      </c>
    </row>
    <row r="807" spans="1:7" ht="15">
      <c r="A807" s="3118">
        <v>803</v>
      </c>
      <c r="B807" s="3115" t="s">
        <v>5120</v>
      </c>
      <c r="C807" s="3115"/>
      <c r="D807" s="3115"/>
      <c r="E807" s="3114">
        <v>138.16999999999999</v>
      </c>
      <c r="F807" s="3114">
        <v>12430</v>
      </c>
      <c r="G807" s="3114">
        <f t="shared" si="12"/>
        <v>1717453.0999999999</v>
      </c>
    </row>
    <row r="808" spans="1:7" ht="15">
      <c r="A808" s="3118">
        <v>804</v>
      </c>
      <c r="B808" s="3115" t="s">
        <v>5119</v>
      </c>
      <c r="C808" s="3115"/>
      <c r="D808" s="3115"/>
      <c r="E808" s="3114">
        <v>138.16999999999999</v>
      </c>
      <c r="F808" s="3114">
        <v>12430</v>
      </c>
      <c r="G808" s="3114">
        <f t="shared" si="12"/>
        <v>1717453.0999999999</v>
      </c>
    </row>
    <row r="809" spans="1:7" ht="15">
      <c r="A809" s="3118">
        <v>805</v>
      </c>
      <c r="B809" s="3115" t="s">
        <v>5118</v>
      </c>
      <c r="C809" s="3115"/>
      <c r="D809" s="3115"/>
      <c r="E809" s="3114">
        <v>138.16999999999999</v>
      </c>
      <c r="F809" s="3114">
        <v>12460</v>
      </c>
      <c r="G809" s="3114">
        <f t="shared" si="12"/>
        <v>1721598.2</v>
      </c>
    </row>
    <row r="810" spans="1:7" ht="15">
      <c r="A810" s="3118">
        <v>806</v>
      </c>
      <c r="B810" s="3115" t="s">
        <v>5117</v>
      </c>
      <c r="C810" s="3115"/>
      <c r="D810" s="3115"/>
      <c r="E810" s="3114">
        <v>138.16999999999999</v>
      </c>
      <c r="F810" s="3114">
        <v>12460</v>
      </c>
      <c r="G810" s="3114">
        <f t="shared" si="12"/>
        <v>1721598.2</v>
      </c>
    </row>
    <row r="811" spans="1:7" ht="15">
      <c r="A811" s="3118">
        <v>807</v>
      </c>
      <c r="B811" s="3115" t="s">
        <v>5116</v>
      </c>
      <c r="C811" s="3115"/>
      <c r="D811" s="3115"/>
      <c r="E811" s="3114">
        <v>138.16999999999999</v>
      </c>
      <c r="F811" s="3114">
        <v>12460</v>
      </c>
      <c r="G811" s="3114">
        <f t="shared" si="12"/>
        <v>1721598.2</v>
      </c>
    </row>
    <row r="812" spans="1:7" ht="15">
      <c r="A812" s="3118">
        <v>808</v>
      </c>
      <c r="B812" s="3115" t="s">
        <v>5115</v>
      </c>
      <c r="C812" s="3115"/>
      <c r="D812" s="3115"/>
      <c r="E812" s="3114">
        <v>138.16999999999999</v>
      </c>
      <c r="F812" s="3114">
        <v>12460</v>
      </c>
      <c r="G812" s="3114">
        <f t="shared" si="12"/>
        <v>1721598.2</v>
      </c>
    </row>
    <row r="813" spans="1:7" ht="15">
      <c r="A813" s="3118">
        <v>809</v>
      </c>
      <c r="B813" s="3115" t="s">
        <v>5114</v>
      </c>
      <c r="C813" s="3115"/>
      <c r="D813" s="3115"/>
      <c r="E813" s="3114">
        <v>138.16999999999999</v>
      </c>
      <c r="F813" s="3114">
        <v>12490</v>
      </c>
      <c r="G813" s="3114">
        <f t="shared" si="12"/>
        <v>1725743.2999999998</v>
      </c>
    </row>
    <row r="814" spans="1:7" ht="15">
      <c r="A814" s="3118">
        <v>810</v>
      </c>
      <c r="B814" s="3115" t="s">
        <v>5113</v>
      </c>
      <c r="C814" s="3115"/>
      <c r="D814" s="3115"/>
      <c r="E814" s="3114">
        <v>138.16999999999999</v>
      </c>
      <c r="F814" s="3114">
        <v>12490</v>
      </c>
      <c r="G814" s="3114">
        <f t="shared" si="12"/>
        <v>1725743.2999999998</v>
      </c>
    </row>
    <row r="815" spans="1:7" ht="15">
      <c r="A815" s="3118">
        <v>811</v>
      </c>
      <c r="B815" s="3115" t="s">
        <v>5112</v>
      </c>
      <c r="C815" s="3115"/>
      <c r="D815" s="3115"/>
      <c r="E815" s="3114">
        <v>138.16999999999999</v>
      </c>
      <c r="F815" s="3114">
        <v>12460</v>
      </c>
      <c r="G815" s="3114">
        <f t="shared" si="12"/>
        <v>1721598.2</v>
      </c>
    </row>
    <row r="816" spans="1:7" ht="15">
      <c r="A816" s="3118">
        <v>812</v>
      </c>
      <c r="B816" s="3115" t="s">
        <v>5111</v>
      </c>
      <c r="C816" s="3115"/>
      <c r="D816" s="3115"/>
      <c r="E816" s="3114">
        <v>138.16999999999999</v>
      </c>
      <c r="F816" s="3114">
        <v>12460</v>
      </c>
      <c r="G816" s="3114">
        <f t="shared" si="12"/>
        <v>1721598.2</v>
      </c>
    </row>
    <row r="817" spans="1:7" ht="15">
      <c r="A817" s="3118">
        <v>813</v>
      </c>
      <c r="B817" s="3115" t="s">
        <v>5110</v>
      </c>
      <c r="C817" s="3115"/>
      <c r="D817" s="3115"/>
      <c r="E817" s="3114">
        <v>138.16999999999999</v>
      </c>
      <c r="F817" s="3114">
        <v>12460</v>
      </c>
      <c r="G817" s="3114">
        <f t="shared" si="12"/>
        <v>1721598.2</v>
      </c>
    </row>
    <row r="818" spans="1:7" ht="15">
      <c r="A818" s="3118">
        <v>814</v>
      </c>
      <c r="B818" s="3115" t="s">
        <v>5109</v>
      </c>
      <c r="C818" s="3115"/>
      <c r="D818" s="3115"/>
      <c r="E818" s="3114">
        <v>138.16999999999999</v>
      </c>
      <c r="F818" s="3114">
        <v>12460</v>
      </c>
      <c r="G818" s="3114">
        <f t="shared" si="12"/>
        <v>1721598.2</v>
      </c>
    </row>
    <row r="819" spans="1:7" ht="15">
      <c r="A819" s="3118">
        <v>815</v>
      </c>
      <c r="B819" s="3115" t="s">
        <v>5108</v>
      </c>
      <c r="C819" s="3115"/>
      <c r="D819" s="3115"/>
      <c r="E819" s="3114">
        <v>138.16999999999999</v>
      </c>
      <c r="F819" s="3114">
        <v>12460</v>
      </c>
      <c r="G819" s="3114">
        <f t="shared" si="12"/>
        <v>1721598.2</v>
      </c>
    </row>
    <row r="820" spans="1:7" ht="15">
      <c r="A820" s="3118">
        <v>816</v>
      </c>
      <c r="B820" s="3115" t="s">
        <v>5107</v>
      </c>
      <c r="C820" s="3115"/>
      <c r="D820" s="3115"/>
      <c r="E820" s="3114">
        <v>138.16999999999999</v>
      </c>
      <c r="F820" s="3114">
        <v>12460</v>
      </c>
      <c r="G820" s="3114">
        <f t="shared" si="12"/>
        <v>1721598.2</v>
      </c>
    </row>
    <row r="821" spans="1:7" ht="15">
      <c r="A821" s="3118">
        <v>817</v>
      </c>
      <c r="B821" s="3115" t="s">
        <v>5106</v>
      </c>
      <c r="C821" s="3115"/>
      <c r="D821" s="3115"/>
      <c r="E821" s="3114">
        <v>138.16999999999999</v>
      </c>
      <c r="F821" s="3114">
        <v>12460</v>
      </c>
      <c r="G821" s="3114">
        <f t="shared" si="12"/>
        <v>1721598.2</v>
      </c>
    </row>
    <row r="822" spans="1:7" ht="15">
      <c r="A822" s="3118">
        <v>818</v>
      </c>
      <c r="B822" s="3115" t="s">
        <v>5105</v>
      </c>
      <c r="C822" s="3115"/>
      <c r="D822" s="3115"/>
      <c r="E822" s="3114">
        <v>123.9</v>
      </c>
      <c r="F822" s="3114">
        <v>11960</v>
      </c>
      <c r="G822" s="3114">
        <f t="shared" si="12"/>
        <v>1481844</v>
      </c>
    </row>
    <row r="823" spans="1:7">
      <c r="A823" s="3113" t="s">
        <v>189</v>
      </c>
      <c r="B823" s="3113"/>
      <c r="C823" s="3128"/>
      <c r="D823" s="3113"/>
      <c r="E823" s="3129">
        <f>SUM(E5:E822)</f>
        <v>88039.929999999338</v>
      </c>
      <c r="F823" s="3122"/>
      <c r="G823" s="3129">
        <f>SUM(G5:G822)/10000</f>
        <v>105213.23521000006</v>
      </c>
    </row>
  </sheetData>
  <mergeCells count="2">
    <mergeCell ref="A1:G2"/>
    <mergeCell ref="A3:G3"/>
  </mergeCells>
  <phoneticPr fontId="208" type="noConversion"/>
  <pageMargins left="0.7" right="0.7" top="0.75" bottom="0.75" header="0.3" footer="0.3"/>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3"/>
  <sheetViews>
    <sheetView view="pageBreakPreview" zoomScaleNormal="90" zoomScaleSheetLayoutView="100" workbookViewId="0">
      <selection activeCell="E13" sqref="E13"/>
    </sheetView>
  </sheetViews>
  <sheetFormatPr defaultColWidth="9" defaultRowHeight="14.25"/>
  <cols>
    <col min="1" max="1" width="8.625" style="3109" customWidth="1"/>
    <col min="2" max="5" width="20.75" style="3109" customWidth="1"/>
    <col min="6" max="6" width="39.75" style="3109" customWidth="1"/>
    <col min="7" max="7" width="17.25" style="3109" customWidth="1"/>
    <col min="8" max="8" width="18.875" style="3109" customWidth="1"/>
    <col min="9" max="9" width="25.375" style="3109" hidden="1" customWidth="1"/>
    <col min="10" max="10" width="13" style="3109" hidden="1" customWidth="1"/>
    <col min="11" max="11" width="10.5" style="3123" customWidth="1"/>
    <col min="12" max="16384" width="9" style="3123"/>
  </cols>
  <sheetData>
    <row r="1" spans="1:10" ht="14.25" customHeight="1">
      <c r="A1" s="3267" t="s">
        <v>6399</v>
      </c>
      <c r="B1" s="3268"/>
      <c r="C1" s="3268"/>
      <c r="D1" s="3268"/>
      <c r="E1" s="3268"/>
      <c r="F1" s="3268"/>
      <c r="G1" s="3268"/>
      <c r="H1" s="3268"/>
      <c r="I1" s="3268"/>
      <c r="J1" s="3268"/>
    </row>
    <row r="2" spans="1:10" ht="14.25" customHeight="1">
      <c r="A2" s="3269"/>
      <c r="B2" s="3270"/>
      <c r="C2" s="3270"/>
      <c r="D2" s="3270"/>
      <c r="E2" s="3270"/>
      <c r="F2" s="3270"/>
      <c r="G2" s="3270"/>
      <c r="H2" s="3270"/>
      <c r="I2" s="3270"/>
      <c r="J2" s="3270"/>
    </row>
    <row r="3" spans="1:10">
      <c r="A3" s="3271" t="s">
        <v>6400</v>
      </c>
      <c r="B3" s="3272"/>
      <c r="C3" s="3272"/>
      <c r="D3" s="3272"/>
      <c r="E3" s="3272"/>
      <c r="F3" s="3272"/>
      <c r="G3" s="3272"/>
      <c r="H3" s="3272"/>
      <c r="I3" s="3272"/>
      <c r="J3" s="3272"/>
    </row>
    <row r="4" spans="1:10" ht="28.5">
      <c r="A4" s="3153" t="s">
        <v>218</v>
      </c>
      <c r="B4" s="3120" t="s">
        <v>6401</v>
      </c>
      <c r="C4" s="3120" t="s">
        <v>6402</v>
      </c>
      <c r="D4" s="3120" t="s">
        <v>6403</v>
      </c>
      <c r="E4" s="3120" t="s">
        <v>68</v>
      </c>
      <c r="F4" s="3120" t="s">
        <v>6404</v>
      </c>
      <c r="G4" s="3120" t="s">
        <v>7612</v>
      </c>
      <c r="H4" s="3120" t="s">
        <v>7613</v>
      </c>
      <c r="I4" s="3120" t="s">
        <v>7610</v>
      </c>
      <c r="J4" s="3121" t="s">
        <v>6405</v>
      </c>
    </row>
    <row r="5" spans="1:10" s="3125" customFormat="1" ht="15">
      <c r="A5" s="3154">
        <v>1</v>
      </c>
      <c r="B5" s="3116" t="s">
        <v>6406</v>
      </c>
      <c r="C5" s="3116">
        <v>28</v>
      </c>
      <c r="D5" s="3156" t="s">
        <v>6381</v>
      </c>
      <c r="E5" s="3157" t="s">
        <v>6407</v>
      </c>
      <c r="F5" s="3126" t="s">
        <v>7623</v>
      </c>
      <c r="G5" s="3126">
        <v>9.9</v>
      </c>
      <c r="H5" s="3126">
        <v>88.29</v>
      </c>
      <c r="I5" s="3126"/>
      <c r="J5" s="3114">
        <v>88.29</v>
      </c>
    </row>
    <row r="6" spans="1:10" s="3125" customFormat="1" ht="15">
      <c r="A6" s="3154">
        <v>2</v>
      </c>
      <c r="B6" s="3116" t="s">
        <v>6408</v>
      </c>
      <c r="C6" s="3116">
        <v>28</v>
      </c>
      <c r="D6" s="3156" t="s">
        <v>6381</v>
      </c>
      <c r="E6" s="3157" t="s">
        <v>6407</v>
      </c>
      <c r="F6" s="3126" t="s">
        <v>7618</v>
      </c>
      <c r="G6" s="3115">
        <v>9.9</v>
      </c>
      <c r="H6" s="3115">
        <v>88.29</v>
      </c>
      <c r="I6" s="3115"/>
      <c r="J6" s="3114">
        <v>88.29</v>
      </c>
    </row>
    <row r="7" spans="1:10" s="3125" customFormat="1" ht="15">
      <c r="A7" s="3154">
        <v>3</v>
      </c>
      <c r="B7" s="3116" t="s">
        <v>6409</v>
      </c>
      <c r="C7" s="3116">
        <v>28</v>
      </c>
      <c r="D7" s="3156" t="s">
        <v>6381</v>
      </c>
      <c r="E7" s="3157" t="s">
        <v>7599</v>
      </c>
      <c r="F7" s="3126" t="s">
        <v>7621</v>
      </c>
      <c r="G7" s="3126">
        <v>10.9</v>
      </c>
      <c r="H7" s="3126">
        <v>97.07</v>
      </c>
      <c r="I7" s="3115"/>
      <c r="J7" s="3114">
        <v>97.07</v>
      </c>
    </row>
    <row r="8" spans="1:10" s="3125" customFormat="1" ht="15">
      <c r="A8" s="3154">
        <v>4</v>
      </c>
      <c r="B8" s="3116" t="s">
        <v>6410</v>
      </c>
      <c r="C8" s="3116">
        <v>30</v>
      </c>
      <c r="D8" s="3156" t="s">
        <v>6381</v>
      </c>
      <c r="E8" s="3157" t="s">
        <v>7600</v>
      </c>
      <c r="F8" s="3126" t="s">
        <v>7620</v>
      </c>
      <c r="G8" s="3115">
        <v>5.9</v>
      </c>
      <c r="H8" s="3115">
        <v>103.43</v>
      </c>
      <c r="I8" s="3115"/>
      <c r="J8" s="3114">
        <v>103.43</v>
      </c>
    </row>
    <row r="9" spans="1:10" s="3125" customFormat="1" ht="15">
      <c r="A9" s="3154">
        <v>5</v>
      </c>
      <c r="B9" s="3116" t="s">
        <v>6411</v>
      </c>
      <c r="C9" s="3116">
        <v>30</v>
      </c>
      <c r="D9" s="3156" t="s">
        <v>6381</v>
      </c>
      <c r="E9" s="3157" t="s">
        <v>6412</v>
      </c>
      <c r="F9" s="3126" t="s">
        <v>7617</v>
      </c>
      <c r="G9" s="3126">
        <v>3.3</v>
      </c>
      <c r="H9" s="3126">
        <v>58.21</v>
      </c>
      <c r="I9" s="3115"/>
      <c r="J9" s="3114">
        <v>58.21</v>
      </c>
    </row>
    <row r="10" spans="1:10" s="3125" customFormat="1" ht="15">
      <c r="A10" s="3154">
        <v>6</v>
      </c>
      <c r="B10" s="3116" t="s">
        <v>6413</v>
      </c>
      <c r="C10" s="3116">
        <v>30</v>
      </c>
      <c r="D10" s="3156" t="s">
        <v>6381</v>
      </c>
      <c r="E10" s="3157" t="s">
        <v>6412</v>
      </c>
      <c r="F10" s="3126" t="s">
        <v>7619</v>
      </c>
      <c r="G10" s="3115">
        <v>9.6</v>
      </c>
      <c r="H10" s="3115">
        <v>88.31</v>
      </c>
      <c r="I10" s="3115"/>
      <c r="J10" s="3114">
        <v>88.31</v>
      </c>
    </row>
    <row r="11" spans="1:10" ht="15">
      <c r="A11" s="3154">
        <v>7</v>
      </c>
      <c r="B11" s="3115" t="s">
        <v>6414</v>
      </c>
      <c r="C11" s="3115">
        <v>28</v>
      </c>
      <c r="D11" s="3156" t="s">
        <v>6381</v>
      </c>
      <c r="E11" s="3157" t="s">
        <v>6412</v>
      </c>
      <c r="F11" s="3126" t="s">
        <v>7631</v>
      </c>
      <c r="G11" s="3126">
        <v>6.5</v>
      </c>
      <c r="H11" s="3126">
        <v>109.77</v>
      </c>
      <c r="I11" s="3115">
        <v>6.5</v>
      </c>
      <c r="J11" s="3114">
        <v>109.77</v>
      </c>
    </row>
    <row r="12" spans="1:10" ht="15">
      <c r="A12" s="3154">
        <v>8</v>
      </c>
      <c r="B12" s="3115" t="s">
        <v>6415</v>
      </c>
      <c r="C12" s="3115">
        <v>28</v>
      </c>
      <c r="D12" s="3156" t="s">
        <v>6381</v>
      </c>
      <c r="E12" s="3157" t="s">
        <v>6412</v>
      </c>
      <c r="F12" s="3126" t="s">
        <v>7633</v>
      </c>
      <c r="G12" s="3115">
        <v>6.5</v>
      </c>
      <c r="H12" s="3115">
        <v>109.77</v>
      </c>
      <c r="I12" s="3115">
        <v>6.5</v>
      </c>
      <c r="J12" s="3114">
        <v>109.77</v>
      </c>
    </row>
    <row r="13" spans="1:10" ht="15">
      <c r="A13" s="3154">
        <v>9</v>
      </c>
      <c r="B13" s="3115" t="s">
        <v>6416</v>
      </c>
      <c r="C13" s="3115">
        <v>28</v>
      </c>
      <c r="D13" s="3156" t="s">
        <v>6381</v>
      </c>
      <c r="E13" s="3157" t="s">
        <v>6412</v>
      </c>
      <c r="F13" s="3126" t="s">
        <v>7634</v>
      </c>
      <c r="G13" s="3126">
        <v>6.5</v>
      </c>
      <c r="H13" s="3126">
        <v>109.77</v>
      </c>
      <c r="I13" s="3115">
        <v>6.5</v>
      </c>
      <c r="J13" s="3114">
        <v>109.77</v>
      </c>
    </row>
    <row r="14" spans="1:10" ht="15">
      <c r="A14" s="3154">
        <v>10</v>
      </c>
      <c r="B14" s="3115" t="s">
        <v>6417</v>
      </c>
      <c r="C14" s="3115">
        <v>28</v>
      </c>
      <c r="D14" s="3156" t="s">
        <v>6381</v>
      </c>
      <c r="E14" s="3157" t="s">
        <v>6412</v>
      </c>
      <c r="F14" s="3126" t="s">
        <v>7635</v>
      </c>
      <c r="G14" s="3115">
        <v>6.5</v>
      </c>
      <c r="H14" s="3115">
        <v>109.77</v>
      </c>
      <c r="I14" s="3115">
        <v>6.5</v>
      </c>
      <c r="J14" s="3114">
        <v>109.77</v>
      </c>
    </row>
    <row r="15" spans="1:10" ht="15">
      <c r="A15" s="3154">
        <v>11</v>
      </c>
      <c r="B15" s="3115" t="s">
        <v>6418</v>
      </c>
      <c r="C15" s="3115">
        <v>28</v>
      </c>
      <c r="D15" s="3156" t="s">
        <v>6381</v>
      </c>
      <c r="E15" s="3157" t="s">
        <v>6412</v>
      </c>
      <c r="F15" s="3126" t="s">
        <v>7636</v>
      </c>
      <c r="G15" s="3126">
        <v>6.5</v>
      </c>
      <c r="H15" s="3126">
        <v>109.77</v>
      </c>
      <c r="I15" s="3115">
        <v>6.5</v>
      </c>
      <c r="J15" s="3114">
        <v>109.77</v>
      </c>
    </row>
    <row r="16" spans="1:10" ht="15">
      <c r="A16" s="3154">
        <v>12</v>
      </c>
      <c r="B16" s="3115" t="s">
        <v>6419</v>
      </c>
      <c r="C16" s="3115">
        <v>28</v>
      </c>
      <c r="D16" s="3156" t="s">
        <v>6381</v>
      </c>
      <c r="E16" s="3157" t="s">
        <v>6412</v>
      </c>
      <c r="F16" s="3126" t="s">
        <v>7637</v>
      </c>
      <c r="G16" s="3115">
        <v>6.5</v>
      </c>
      <c r="H16" s="3115">
        <v>109.77</v>
      </c>
      <c r="I16" s="3115">
        <v>6.5</v>
      </c>
      <c r="J16" s="3114">
        <v>109.77</v>
      </c>
    </row>
    <row r="17" spans="1:10" ht="15">
      <c r="A17" s="3154">
        <v>13</v>
      </c>
      <c r="B17" s="3115" t="s">
        <v>6420</v>
      </c>
      <c r="C17" s="3115">
        <v>28</v>
      </c>
      <c r="D17" s="3156" t="s">
        <v>6381</v>
      </c>
      <c r="E17" s="3157" t="s">
        <v>6412</v>
      </c>
      <c r="F17" s="3126" t="s">
        <v>7638</v>
      </c>
      <c r="G17" s="3126">
        <v>6.5</v>
      </c>
      <c r="H17" s="3126">
        <v>109.77</v>
      </c>
      <c r="I17" s="3115">
        <v>6.5</v>
      </c>
      <c r="J17" s="3114">
        <v>109.77</v>
      </c>
    </row>
    <row r="18" spans="1:10" ht="15">
      <c r="A18" s="3154">
        <v>14</v>
      </c>
      <c r="B18" s="3115" t="s">
        <v>6421</v>
      </c>
      <c r="C18" s="3115">
        <v>28</v>
      </c>
      <c r="D18" s="3156" t="s">
        <v>6381</v>
      </c>
      <c r="E18" s="3157" t="s">
        <v>6412</v>
      </c>
      <c r="F18" s="3126" t="s">
        <v>7639</v>
      </c>
      <c r="G18" s="3115">
        <v>6.5</v>
      </c>
      <c r="H18" s="3115">
        <v>109.77</v>
      </c>
      <c r="I18" s="3115">
        <v>6.5</v>
      </c>
      <c r="J18" s="3114">
        <v>109.77</v>
      </c>
    </row>
    <row r="19" spans="1:10" ht="15">
      <c r="A19" s="3154">
        <v>15</v>
      </c>
      <c r="B19" s="3115" t="s">
        <v>6422</v>
      </c>
      <c r="C19" s="3115">
        <v>28</v>
      </c>
      <c r="D19" s="3156" t="s">
        <v>6381</v>
      </c>
      <c r="E19" s="3157" t="s">
        <v>6412</v>
      </c>
      <c r="F19" s="3126" t="s">
        <v>7640</v>
      </c>
      <c r="G19" s="3126">
        <v>6.5</v>
      </c>
      <c r="H19" s="3126">
        <v>109.77</v>
      </c>
      <c r="I19" s="3115">
        <v>6.5</v>
      </c>
      <c r="J19" s="3114">
        <v>109.77</v>
      </c>
    </row>
    <row r="20" spans="1:10" ht="15">
      <c r="A20" s="3154">
        <v>16</v>
      </c>
      <c r="B20" s="3115" t="s">
        <v>6423</v>
      </c>
      <c r="C20" s="3115">
        <v>28</v>
      </c>
      <c r="D20" s="3156" t="s">
        <v>6381</v>
      </c>
      <c r="E20" s="3157" t="s">
        <v>6412</v>
      </c>
      <c r="F20" s="3126" t="s">
        <v>7641</v>
      </c>
      <c r="G20" s="3115">
        <v>6.5</v>
      </c>
      <c r="H20" s="3115">
        <v>109.77</v>
      </c>
      <c r="I20" s="3115">
        <v>6.5</v>
      </c>
      <c r="J20" s="3114">
        <v>109.77</v>
      </c>
    </row>
    <row r="21" spans="1:10" ht="15">
      <c r="A21" s="3154">
        <v>17</v>
      </c>
      <c r="B21" s="3115" t="s">
        <v>6424</v>
      </c>
      <c r="C21" s="3115">
        <v>28</v>
      </c>
      <c r="D21" s="3156" t="s">
        <v>6381</v>
      </c>
      <c r="E21" s="3157" t="s">
        <v>6412</v>
      </c>
      <c r="F21" s="3126" t="s">
        <v>7642</v>
      </c>
      <c r="G21" s="3126">
        <v>6.5</v>
      </c>
      <c r="H21" s="3126">
        <v>109.77</v>
      </c>
      <c r="I21" s="3115">
        <v>6.5</v>
      </c>
      <c r="J21" s="3114">
        <v>109.77</v>
      </c>
    </row>
    <row r="22" spans="1:10" ht="15">
      <c r="A22" s="3154">
        <v>18</v>
      </c>
      <c r="B22" s="3115" t="s">
        <v>6425</v>
      </c>
      <c r="C22" s="3115">
        <v>28</v>
      </c>
      <c r="D22" s="3156" t="s">
        <v>6381</v>
      </c>
      <c r="E22" s="3157" t="s">
        <v>6412</v>
      </c>
      <c r="F22" s="3126" t="s">
        <v>7643</v>
      </c>
      <c r="G22" s="3115">
        <v>6.5</v>
      </c>
      <c r="H22" s="3115">
        <v>109.77</v>
      </c>
      <c r="I22" s="3115">
        <v>6.5</v>
      </c>
      <c r="J22" s="3114">
        <v>109.77</v>
      </c>
    </row>
    <row r="23" spans="1:10" ht="15">
      <c r="A23" s="3154">
        <v>19</v>
      </c>
      <c r="B23" s="3115" t="s">
        <v>6426</v>
      </c>
      <c r="C23" s="3115">
        <v>17</v>
      </c>
      <c r="D23" s="3156" t="s">
        <v>6381</v>
      </c>
      <c r="E23" s="3157" t="s">
        <v>7600</v>
      </c>
      <c r="F23" s="3126" t="s">
        <v>7644</v>
      </c>
      <c r="G23" s="3115">
        <v>10.8</v>
      </c>
      <c r="H23" s="3115">
        <v>110.15</v>
      </c>
      <c r="I23" s="3115">
        <v>10.8</v>
      </c>
      <c r="J23" s="3114">
        <v>110.15</v>
      </c>
    </row>
    <row r="24" spans="1:10" ht="15">
      <c r="A24" s="3154">
        <v>20</v>
      </c>
      <c r="B24" s="3115" t="s">
        <v>6427</v>
      </c>
      <c r="C24" s="3115">
        <v>17</v>
      </c>
      <c r="D24" s="3156" t="s">
        <v>6381</v>
      </c>
      <c r="E24" s="3157" t="s">
        <v>7600</v>
      </c>
      <c r="F24" s="3126" t="s">
        <v>7645</v>
      </c>
      <c r="G24" s="3115">
        <v>10.8</v>
      </c>
      <c r="H24" s="3115">
        <v>110.15</v>
      </c>
      <c r="I24" s="3115">
        <v>10.8</v>
      </c>
      <c r="J24" s="3114">
        <v>110.15</v>
      </c>
    </row>
    <row r="25" spans="1:10" ht="15">
      <c r="A25" s="3154">
        <v>21</v>
      </c>
      <c r="B25" s="3115" t="s">
        <v>6428</v>
      </c>
      <c r="C25" s="3115">
        <v>17</v>
      </c>
      <c r="D25" s="3156" t="s">
        <v>6381</v>
      </c>
      <c r="E25" s="3157" t="s">
        <v>7600</v>
      </c>
      <c r="F25" s="3126" t="s">
        <v>7646</v>
      </c>
      <c r="G25" s="3115">
        <v>10.8</v>
      </c>
      <c r="H25" s="3115">
        <v>110.15</v>
      </c>
      <c r="I25" s="3115">
        <v>10.8</v>
      </c>
      <c r="J25" s="3114">
        <v>110.15</v>
      </c>
    </row>
    <row r="26" spans="1:10" ht="15">
      <c r="A26" s="3154">
        <v>22</v>
      </c>
      <c r="B26" s="3115" t="s">
        <v>6429</v>
      </c>
      <c r="C26" s="3115">
        <v>17</v>
      </c>
      <c r="D26" s="3156" t="s">
        <v>6381</v>
      </c>
      <c r="E26" s="3157" t="s">
        <v>7600</v>
      </c>
      <c r="F26" s="3126" t="s">
        <v>7647</v>
      </c>
      <c r="G26" s="3115">
        <v>10.8</v>
      </c>
      <c r="H26" s="3115">
        <v>110.15</v>
      </c>
      <c r="I26" s="3115">
        <v>10.8</v>
      </c>
      <c r="J26" s="3114">
        <v>110.15</v>
      </c>
    </row>
    <row r="27" spans="1:10" ht="15">
      <c r="A27" s="3154">
        <v>23</v>
      </c>
      <c r="B27" s="3115" t="s">
        <v>6430</v>
      </c>
      <c r="C27" s="3115">
        <v>17</v>
      </c>
      <c r="D27" s="3156" t="s">
        <v>6381</v>
      </c>
      <c r="E27" s="3157" t="s">
        <v>7600</v>
      </c>
      <c r="F27" s="3126" t="s">
        <v>7648</v>
      </c>
      <c r="G27" s="3115">
        <v>10.8</v>
      </c>
      <c r="H27" s="3115">
        <v>110.15</v>
      </c>
      <c r="I27" s="3115">
        <v>10.8</v>
      </c>
      <c r="J27" s="3114">
        <v>110.15</v>
      </c>
    </row>
    <row r="28" spans="1:10" ht="15">
      <c r="A28" s="3154">
        <v>24</v>
      </c>
      <c r="B28" s="3115" t="s">
        <v>6431</v>
      </c>
      <c r="C28" s="3115">
        <v>17</v>
      </c>
      <c r="D28" s="3156" t="s">
        <v>6381</v>
      </c>
      <c r="E28" s="3157" t="s">
        <v>7600</v>
      </c>
      <c r="F28" s="3126" t="s">
        <v>7649</v>
      </c>
      <c r="G28" s="3115">
        <v>10.8</v>
      </c>
      <c r="H28" s="3115">
        <v>110.15</v>
      </c>
      <c r="I28" s="3115">
        <v>10.8</v>
      </c>
      <c r="J28" s="3114">
        <v>110.15</v>
      </c>
    </row>
    <row r="29" spans="1:10" ht="15">
      <c r="A29" s="3154">
        <v>25</v>
      </c>
      <c r="B29" s="3115" t="s">
        <v>6432</v>
      </c>
      <c r="C29" s="3115">
        <v>17</v>
      </c>
      <c r="D29" s="3156" t="s">
        <v>6381</v>
      </c>
      <c r="E29" s="3157" t="s">
        <v>7600</v>
      </c>
      <c r="F29" s="3126" t="s">
        <v>7650</v>
      </c>
      <c r="G29" s="3115">
        <v>10.8</v>
      </c>
      <c r="H29" s="3115">
        <v>110.15</v>
      </c>
      <c r="I29" s="3115">
        <v>10.8</v>
      </c>
      <c r="J29" s="3114">
        <v>110.15</v>
      </c>
    </row>
    <row r="30" spans="1:10" ht="15">
      <c r="A30" s="3154">
        <v>26</v>
      </c>
      <c r="B30" s="3115" t="s">
        <v>6433</v>
      </c>
      <c r="C30" s="3115">
        <v>17</v>
      </c>
      <c r="D30" s="3156" t="s">
        <v>6381</v>
      </c>
      <c r="E30" s="3157" t="s">
        <v>7600</v>
      </c>
      <c r="F30" s="3126" t="s">
        <v>7651</v>
      </c>
      <c r="G30" s="3115">
        <v>10.8</v>
      </c>
      <c r="H30" s="3115">
        <v>110.15</v>
      </c>
      <c r="I30" s="3115">
        <v>10.8</v>
      </c>
      <c r="J30" s="3114">
        <v>110.15</v>
      </c>
    </row>
    <row r="31" spans="1:10" ht="15">
      <c r="A31" s="3154">
        <v>27</v>
      </c>
      <c r="B31" s="3115" t="s">
        <v>6434</v>
      </c>
      <c r="C31" s="3115">
        <v>17</v>
      </c>
      <c r="D31" s="3156" t="s">
        <v>6381</v>
      </c>
      <c r="E31" s="3157" t="s">
        <v>7600</v>
      </c>
      <c r="F31" s="3126" t="s">
        <v>7652</v>
      </c>
      <c r="G31" s="3115">
        <v>10.8</v>
      </c>
      <c r="H31" s="3115">
        <v>110.15</v>
      </c>
      <c r="I31" s="3115">
        <v>10.8</v>
      </c>
      <c r="J31" s="3114">
        <v>110.15</v>
      </c>
    </row>
    <row r="32" spans="1:10" ht="15">
      <c r="A32" s="3154">
        <v>28</v>
      </c>
      <c r="B32" s="3115" t="s">
        <v>6435</v>
      </c>
      <c r="C32" s="3115">
        <v>17</v>
      </c>
      <c r="D32" s="3156" t="s">
        <v>6381</v>
      </c>
      <c r="E32" s="3157" t="s">
        <v>7600</v>
      </c>
      <c r="F32" s="3126" t="s">
        <v>7653</v>
      </c>
      <c r="G32" s="3115">
        <v>10.8</v>
      </c>
      <c r="H32" s="3115">
        <v>110.15</v>
      </c>
      <c r="I32" s="3115">
        <v>10.8</v>
      </c>
      <c r="J32" s="3114">
        <v>110.15</v>
      </c>
    </row>
    <row r="33" spans="1:10" ht="15">
      <c r="A33" s="3154">
        <v>29</v>
      </c>
      <c r="B33" s="3115" t="s">
        <v>6436</v>
      </c>
      <c r="C33" s="3115">
        <v>17</v>
      </c>
      <c r="D33" s="3156" t="s">
        <v>6381</v>
      </c>
      <c r="E33" s="3157" t="s">
        <v>7600</v>
      </c>
      <c r="F33" s="3126" t="s">
        <v>7654</v>
      </c>
      <c r="G33" s="3115">
        <v>10.8</v>
      </c>
      <c r="H33" s="3115">
        <v>110.15</v>
      </c>
      <c r="I33" s="3115">
        <v>10.8</v>
      </c>
      <c r="J33" s="3114">
        <v>110.15</v>
      </c>
    </row>
    <row r="34" spans="1:10" ht="15">
      <c r="A34" s="3154">
        <v>30</v>
      </c>
      <c r="B34" s="3115" t="s">
        <v>6437</v>
      </c>
      <c r="C34" s="3115">
        <v>17</v>
      </c>
      <c r="D34" s="3156" t="s">
        <v>6381</v>
      </c>
      <c r="E34" s="3157" t="s">
        <v>7600</v>
      </c>
      <c r="F34" s="3173" t="s">
        <v>7655</v>
      </c>
      <c r="G34" s="3115">
        <v>10.8</v>
      </c>
      <c r="H34" s="3115">
        <v>110.15</v>
      </c>
      <c r="I34" s="3115">
        <v>10.8</v>
      </c>
      <c r="J34" s="3114">
        <v>110.15</v>
      </c>
    </row>
    <row r="35" spans="1:10" ht="15">
      <c r="A35" s="3154">
        <v>31</v>
      </c>
      <c r="B35" s="3115" t="s">
        <v>6438</v>
      </c>
      <c r="C35" s="3115">
        <v>17</v>
      </c>
      <c r="D35" s="3156" t="s">
        <v>6381</v>
      </c>
      <c r="E35" s="3157" t="s">
        <v>7600</v>
      </c>
      <c r="F35" s="3126" t="s">
        <v>7656</v>
      </c>
      <c r="G35" s="3115">
        <v>10.8</v>
      </c>
      <c r="H35" s="3115">
        <v>110.15</v>
      </c>
      <c r="I35" s="3115">
        <v>10.8</v>
      </c>
      <c r="J35" s="3114">
        <v>110.15</v>
      </c>
    </row>
    <row r="36" spans="1:10" ht="15">
      <c r="A36" s="3154">
        <v>32</v>
      </c>
      <c r="B36" s="3115" t="s">
        <v>6439</v>
      </c>
      <c r="C36" s="3115">
        <v>17</v>
      </c>
      <c r="D36" s="3156" t="s">
        <v>6381</v>
      </c>
      <c r="E36" s="3157" t="s">
        <v>7600</v>
      </c>
      <c r="F36" s="3126" t="s">
        <v>7657</v>
      </c>
      <c r="G36" s="3115">
        <v>10.8</v>
      </c>
      <c r="H36" s="3115">
        <v>110.15</v>
      </c>
      <c r="I36" s="3115">
        <v>10.8</v>
      </c>
      <c r="J36" s="3114">
        <v>110.15</v>
      </c>
    </row>
    <row r="37" spans="1:10" ht="15">
      <c r="A37" s="3154">
        <v>33</v>
      </c>
      <c r="B37" s="3115" t="s">
        <v>6440</v>
      </c>
      <c r="C37" s="3115">
        <v>17</v>
      </c>
      <c r="D37" s="3156" t="s">
        <v>6381</v>
      </c>
      <c r="E37" s="3157" t="s">
        <v>7600</v>
      </c>
      <c r="F37" s="3126" t="s">
        <v>7658</v>
      </c>
      <c r="G37" s="3115">
        <v>10.8</v>
      </c>
      <c r="H37" s="3115">
        <v>110.15</v>
      </c>
      <c r="I37" s="3115">
        <v>10.8</v>
      </c>
      <c r="J37" s="3114">
        <v>110.15</v>
      </c>
    </row>
    <row r="38" spans="1:10" ht="15">
      <c r="A38" s="3154">
        <v>34</v>
      </c>
      <c r="B38" s="3115" t="s">
        <v>6441</v>
      </c>
      <c r="C38" s="3115">
        <v>17</v>
      </c>
      <c r="D38" s="3156" t="s">
        <v>6381</v>
      </c>
      <c r="E38" s="3157" t="s">
        <v>7600</v>
      </c>
      <c r="F38" s="3173" t="s">
        <v>7659</v>
      </c>
      <c r="G38" s="3115">
        <v>9.5</v>
      </c>
      <c r="H38" s="3115">
        <v>96.21</v>
      </c>
      <c r="I38" s="3115">
        <v>9.5</v>
      </c>
      <c r="J38" s="3114">
        <v>96.21</v>
      </c>
    </row>
    <row r="39" spans="1:10" ht="15">
      <c r="A39" s="3154">
        <v>35</v>
      </c>
      <c r="B39" s="3115" t="s">
        <v>6442</v>
      </c>
      <c r="C39" s="3115">
        <v>17</v>
      </c>
      <c r="D39" s="3156" t="s">
        <v>6381</v>
      </c>
      <c r="E39" s="3157" t="s">
        <v>6443</v>
      </c>
      <c r="F39" s="3126" t="s">
        <v>7660</v>
      </c>
      <c r="G39" s="3115">
        <v>8.6999999999999993</v>
      </c>
      <c r="H39" s="3115">
        <v>87.85</v>
      </c>
      <c r="I39" s="3115">
        <v>8.6999999999999993</v>
      </c>
      <c r="J39" s="3114">
        <v>87.85</v>
      </c>
    </row>
    <row r="40" spans="1:10" ht="15">
      <c r="A40" s="3154">
        <v>36</v>
      </c>
      <c r="B40" s="3115" t="s">
        <v>6444</v>
      </c>
      <c r="C40" s="3115">
        <v>17</v>
      </c>
      <c r="D40" s="3156" t="s">
        <v>6381</v>
      </c>
      <c r="E40" s="3157" t="s">
        <v>6443</v>
      </c>
      <c r="F40" s="3174" t="s">
        <v>7661</v>
      </c>
      <c r="G40" s="3115">
        <v>8.6999999999999993</v>
      </c>
      <c r="H40" s="3115">
        <v>87.85</v>
      </c>
      <c r="I40" s="3115">
        <v>8.6999999999999993</v>
      </c>
      <c r="J40" s="3114">
        <v>87.85</v>
      </c>
    </row>
    <row r="41" spans="1:10" ht="15">
      <c r="A41" s="3154">
        <v>37</v>
      </c>
      <c r="B41" s="3115" t="s">
        <v>6445</v>
      </c>
      <c r="C41" s="3115">
        <v>17</v>
      </c>
      <c r="D41" s="3156" t="s">
        <v>6381</v>
      </c>
      <c r="E41" s="3157" t="s">
        <v>6443</v>
      </c>
      <c r="F41" s="3173" t="s">
        <v>7662</v>
      </c>
      <c r="G41" s="3115">
        <v>8.6999999999999993</v>
      </c>
      <c r="H41" s="3115">
        <v>87.85</v>
      </c>
      <c r="I41" s="3115">
        <v>8.6999999999999993</v>
      </c>
      <c r="J41" s="3114">
        <v>87.85</v>
      </c>
    </row>
    <row r="42" spans="1:10" ht="15">
      <c r="A42" s="3154">
        <v>38</v>
      </c>
      <c r="B42" s="3115" t="s">
        <v>6446</v>
      </c>
      <c r="C42" s="3115">
        <v>17</v>
      </c>
      <c r="D42" s="3156" t="s">
        <v>6381</v>
      </c>
      <c r="E42" s="3157" t="s">
        <v>6443</v>
      </c>
      <c r="F42" s="3126" t="s">
        <v>7663</v>
      </c>
      <c r="G42" s="3115">
        <v>8.6999999999999993</v>
      </c>
      <c r="H42" s="3115">
        <v>87.85</v>
      </c>
      <c r="I42" s="3115">
        <v>8.6999999999999993</v>
      </c>
      <c r="J42" s="3114">
        <v>87.85</v>
      </c>
    </row>
    <row r="43" spans="1:10" ht="15">
      <c r="A43" s="3154">
        <v>39</v>
      </c>
      <c r="B43" s="3115" t="s">
        <v>6447</v>
      </c>
      <c r="C43" s="3115">
        <v>17</v>
      </c>
      <c r="D43" s="3156" t="s">
        <v>6381</v>
      </c>
      <c r="E43" s="3157" t="s">
        <v>6443</v>
      </c>
      <c r="F43" s="3173" t="s">
        <v>7664</v>
      </c>
      <c r="G43" s="3115">
        <v>8.6999999999999993</v>
      </c>
      <c r="H43" s="3115">
        <v>87.85</v>
      </c>
      <c r="I43" s="3115">
        <v>8.6999999999999993</v>
      </c>
      <c r="J43" s="3114">
        <v>87.85</v>
      </c>
    </row>
    <row r="44" spans="1:10" ht="15">
      <c r="A44" s="3154">
        <v>40</v>
      </c>
      <c r="B44" s="3115" t="s">
        <v>6448</v>
      </c>
      <c r="C44" s="3115">
        <v>17</v>
      </c>
      <c r="D44" s="3156" t="s">
        <v>6381</v>
      </c>
      <c r="E44" s="3157" t="s">
        <v>6443</v>
      </c>
      <c r="F44" s="3126" t="s">
        <v>7665</v>
      </c>
      <c r="G44" s="3115">
        <v>8.6999999999999993</v>
      </c>
      <c r="H44" s="3115">
        <v>87.85</v>
      </c>
      <c r="I44" s="3115">
        <v>8.6999999999999993</v>
      </c>
      <c r="J44" s="3114">
        <v>87.85</v>
      </c>
    </row>
    <row r="45" spans="1:10" ht="15">
      <c r="A45" s="3154">
        <v>41</v>
      </c>
      <c r="B45" s="3115" t="s">
        <v>6449</v>
      </c>
      <c r="C45" s="3115">
        <v>17</v>
      </c>
      <c r="D45" s="3156" t="s">
        <v>6381</v>
      </c>
      <c r="E45" s="3157" t="s">
        <v>6443</v>
      </c>
      <c r="F45" s="3126" t="s">
        <v>7666</v>
      </c>
      <c r="G45" s="3115">
        <v>8.6999999999999993</v>
      </c>
      <c r="H45" s="3115">
        <v>87.85</v>
      </c>
      <c r="I45" s="3115">
        <v>8.6999999999999993</v>
      </c>
      <c r="J45" s="3114">
        <v>87.85</v>
      </c>
    </row>
    <row r="46" spans="1:10" ht="15">
      <c r="A46" s="3154">
        <v>42</v>
      </c>
      <c r="B46" s="3115" t="s">
        <v>6450</v>
      </c>
      <c r="C46" s="3115">
        <v>17</v>
      </c>
      <c r="D46" s="3156" t="s">
        <v>6381</v>
      </c>
      <c r="E46" s="3157" t="s">
        <v>6443</v>
      </c>
      <c r="F46" s="3126" t="s">
        <v>7667</v>
      </c>
      <c r="G46" s="3115">
        <v>8.6999999999999993</v>
      </c>
      <c r="H46" s="3115">
        <v>87.85</v>
      </c>
      <c r="I46" s="3115">
        <v>8.6999999999999993</v>
      </c>
      <c r="J46" s="3114">
        <v>87.85</v>
      </c>
    </row>
    <row r="47" spans="1:10" ht="15">
      <c r="A47" s="3154">
        <v>43</v>
      </c>
      <c r="B47" s="3115" t="s">
        <v>6451</v>
      </c>
      <c r="C47" s="3115">
        <v>17</v>
      </c>
      <c r="D47" s="3156" t="s">
        <v>6381</v>
      </c>
      <c r="E47" s="3157" t="s">
        <v>6412</v>
      </c>
      <c r="F47" s="3126" t="s">
        <v>7668</v>
      </c>
      <c r="G47" s="3115">
        <v>8.6999999999999993</v>
      </c>
      <c r="H47" s="3115">
        <v>87.85</v>
      </c>
      <c r="I47" s="3115">
        <v>8.6999999999999993</v>
      </c>
      <c r="J47" s="3114">
        <v>87.85</v>
      </c>
    </row>
    <row r="48" spans="1:10" ht="15">
      <c r="A48" s="3154">
        <v>44</v>
      </c>
      <c r="B48" s="3115" t="s">
        <v>6452</v>
      </c>
      <c r="C48" s="3115">
        <v>17</v>
      </c>
      <c r="D48" s="3156" t="s">
        <v>6381</v>
      </c>
      <c r="E48" s="3157" t="s">
        <v>6412</v>
      </c>
      <c r="F48" s="3126" t="s">
        <v>7669</v>
      </c>
      <c r="G48" s="3115">
        <v>8.6999999999999993</v>
      </c>
      <c r="H48" s="3115">
        <v>87.85</v>
      </c>
      <c r="I48" s="3115">
        <v>8.6999999999999993</v>
      </c>
      <c r="J48" s="3114">
        <v>87.85</v>
      </c>
    </row>
    <row r="49" spans="1:10" ht="15">
      <c r="A49" s="3154">
        <v>45</v>
      </c>
      <c r="B49" s="3115" t="s">
        <v>6453</v>
      </c>
      <c r="C49" s="3115">
        <v>17</v>
      </c>
      <c r="D49" s="3156" t="s">
        <v>6381</v>
      </c>
      <c r="E49" s="3157" t="s">
        <v>6443</v>
      </c>
      <c r="F49" s="3126" t="s">
        <v>7670</v>
      </c>
      <c r="G49" s="3115">
        <v>8.6999999999999993</v>
      </c>
      <c r="H49" s="3115">
        <v>87.85</v>
      </c>
      <c r="I49" s="3115">
        <v>8.6999999999999993</v>
      </c>
      <c r="J49" s="3114">
        <v>87.85</v>
      </c>
    </row>
    <row r="50" spans="1:10" ht="15">
      <c r="A50" s="3154">
        <v>46</v>
      </c>
      <c r="B50" s="3115" t="s">
        <v>6454</v>
      </c>
      <c r="C50" s="3115">
        <v>17</v>
      </c>
      <c r="D50" s="3156" t="s">
        <v>6381</v>
      </c>
      <c r="E50" s="3157" t="s">
        <v>6443</v>
      </c>
      <c r="F50" s="3126" t="s">
        <v>7671</v>
      </c>
      <c r="G50" s="3115">
        <v>8.6999999999999993</v>
      </c>
      <c r="H50" s="3115">
        <v>87.85</v>
      </c>
      <c r="I50" s="3115">
        <v>8.6999999999999993</v>
      </c>
      <c r="J50" s="3114">
        <v>87.85</v>
      </c>
    </row>
    <row r="51" spans="1:10" ht="15">
      <c r="A51" s="3154">
        <v>47</v>
      </c>
      <c r="B51" s="3115" t="s">
        <v>6455</v>
      </c>
      <c r="C51" s="3115">
        <v>17</v>
      </c>
      <c r="D51" s="3156" t="s">
        <v>6381</v>
      </c>
      <c r="E51" s="3157" t="s">
        <v>6412</v>
      </c>
      <c r="F51" s="3126" t="s">
        <v>7672</v>
      </c>
      <c r="G51" s="3115">
        <v>8.6999999999999993</v>
      </c>
      <c r="H51" s="3115">
        <v>87.85</v>
      </c>
      <c r="I51" s="3115">
        <v>8.6999999999999993</v>
      </c>
      <c r="J51" s="3114">
        <v>87.85</v>
      </c>
    </row>
    <row r="52" spans="1:10" ht="15">
      <c r="A52" s="3154">
        <v>48</v>
      </c>
      <c r="B52" s="3115" t="s">
        <v>6456</v>
      </c>
      <c r="C52" s="3115">
        <v>17</v>
      </c>
      <c r="D52" s="3156" t="s">
        <v>6381</v>
      </c>
      <c r="E52" s="3157" t="s">
        <v>6443</v>
      </c>
      <c r="F52" s="3126" t="s">
        <v>7673</v>
      </c>
      <c r="G52" s="3115">
        <v>8.6999999999999993</v>
      </c>
      <c r="H52" s="3115">
        <v>87.85</v>
      </c>
      <c r="I52" s="3115">
        <v>8.6999999999999993</v>
      </c>
      <c r="J52" s="3114">
        <v>87.85</v>
      </c>
    </row>
    <row r="53" spans="1:10" ht="15">
      <c r="A53" s="3154">
        <v>49</v>
      </c>
      <c r="B53" s="3115" t="s">
        <v>6457</v>
      </c>
      <c r="C53" s="3115">
        <v>17</v>
      </c>
      <c r="D53" s="3156" t="s">
        <v>6381</v>
      </c>
      <c r="E53" s="3157" t="s">
        <v>6443</v>
      </c>
      <c r="F53" s="3126" t="s">
        <v>7674</v>
      </c>
      <c r="G53" s="3115">
        <v>8.6999999999999993</v>
      </c>
      <c r="H53" s="3115">
        <v>87.85</v>
      </c>
      <c r="I53" s="3115">
        <v>8.6999999999999993</v>
      </c>
      <c r="J53" s="3114">
        <v>87.85</v>
      </c>
    </row>
    <row r="54" spans="1:10" ht="15">
      <c r="A54" s="3154">
        <v>50</v>
      </c>
      <c r="B54" s="3115" t="s">
        <v>6458</v>
      </c>
      <c r="C54" s="3115">
        <v>17</v>
      </c>
      <c r="D54" s="3156" t="s">
        <v>6381</v>
      </c>
      <c r="E54" s="3157" t="s">
        <v>6412</v>
      </c>
      <c r="F54" s="3126" t="s">
        <v>7675</v>
      </c>
      <c r="G54" s="3115">
        <v>8.6999999999999993</v>
      </c>
      <c r="H54" s="3115">
        <v>88.05</v>
      </c>
      <c r="I54" s="3115">
        <v>8.6999999999999993</v>
      </c>
      <c r="J54" s="3114">
        <v>88.05</v>
      </c>
    </row>
    <row r="55" spans="1:10" ht="15">
      <c r="A55" s="3154">
        <v>51</v>
      </c>
      <c r="B55" s="3115" t="s">
        <v>6459</v>
      </c>
      <c r="C55" s="3115">
        <v>17</v>
      </c>
      <c r="D55" s="3156" t="s">
        <v>6381</v>
      </c>
      <c r="E55" s="3157" t="s">
        <v>6412</v>
      </c>
      <c r="F55" s="3126" t="s">
        <v>7676</v>
      </c>
      <c r="G55" s="3115">
        <v>10.7</v>
      </c>
      <c r="H55" s="3115">
        <v>108.29</v>
      </c>
      <c r="I55" s="3115">
        <v>10.7</v>
      </c>
      <c r="J55" s="3114">
        <v>108.29</v>
      </c>
    </row>
    <row r="56" spans="1:10" ht="15">
      <c r="A56" s="3154">
        <v>52</v>
      </c>
      <c r="B56" s="3115" t="s">
        <v>6460</v>
      </c>
      <c r="C56" s="3115">
        <v>17</v>
      </c>
      <c r="D56" s="3156" t="s">
        <v>6381</v>
      </c>
      <c r="E56" s="3157" t="s">
        <v>6412</v>
      </c>
      <c r="F56" s="3126" t="s">
        <v>7677</v>
      </c>
      <c r="G56" s="3115">
        <v>10.7</v>
      </c>
      <c r="H56" s="3115">
        <v>108.29</v>
      </c>
      <c r="I56" s="3115">
        <v>10.7</v>
      </c>
      <c r="J56" s="3114">
        <v>108.29</v>
      </c>
    </row>
    <row r="57" spans="1:10" ht="15">
      <c r="A57" s="3154">
        <v>53</v>
      </c>
      <c r="B57" s="3115" t="s">
        <v>6461</v>
      </c>
      <c r="C57" s="3115">
        <v>17</v>
      </c>
      <c r="D57" s="3156" t="s">
        <v>6381</v>
      </c>
      <c r="E57" s="3157" t="s">
        <v>6412</v>
      </c>
      <c r="F57" s="3126" t="s">
        <v>7678</v>
      </c>
      <c r="G57" s="3115">
        <v>10.7</v>
      </c>
      <c r="H57" s="3115">
        <v>108.29</v>
      </c>
      <c r="I57" s="3115">
        <v>10.7</v>
      </c>
      <c r="J57" s="3114">
        <v>108.29</v>
      </c>
    </row>
    <row r="58" spans="1:10" ht="15">
      <c r="A58" s="3154">
        <v>54</v>
      </c>
      <c r="B58" s="3115" t="s">
        <v>6462</v>
      </c>
      <c r="C58" s="3115">
        <v>17</v>
      </c>
      <c r="D58" s="3156" t="s">
        <v>6381</v>
      </c>
      <c r="E58" s="3157" t="s">
        <v>6412</v>
      </c>
      <c r="F58" s="3126" t="s">
        <v>7679</v>
      </c>
      <c r="G58" s="3115">
        <v>10.7</v>
      </c>
      <c r="H58" s="3115">
        <v>108.29</v>
      </c>
      <c r="I58" s="3115">
        <v>10.7</v>
      </c>
      <c r="J58" s="3114">
        <v>108.29</v>
      </c>
    </row>
    <row r="59" spans="1:10" ht="15">
      <c r="A59" s="3154">
        <v>55</v>
      </c>
      <c r="B59" s="3115" t="s">
        <v>6463</v>
      </c>
      <c r="C59" s="3115">
        <v>17</v>
      </c>
      <c r="D59" s="3156" t="s">
        <v>6381</v>
      </c>
      <c r="E59" s="3157" t="s">
        <v>6412</v>
      </c>
      <c r="F59" s="3126" t="s">
        <v>7680</v>
      </c>
      <c r="G59" s="3115">
        <v>10.7</v>
      </c>
      <c r="H59" s="3115">
        <v>108.29</v>
      </c>
      <c r="I59" s="3115">
        <v>10.7</v>
      </c>
      <c r="J59" s="3114">
        <v>108.29</v>
      </c>
    </row>
    <row r="60" spans="1:10" ht="15">
      <c r="A60" s="3154">
        <v>56</v>
      </c>
      <c r="B60" s="3115" t="s">
        <v>6464</v>
      </c>
      <c r="C60" s="3115">
        <v>17</v>
      </c>
      <c r="D60" s="3156" t="s">
        <v>6381</v>
      </c>
      <c r="E60" s="3157" t="s">
        <v>6412</v>
      </c>
      <c r="F60" s="3126" t="s">
        <v>7681</v>
      </c>
      <c r="G60" s="3115">
        <v>10.7</v>
      </c>
      <c r="H60" s="3115">
        <v>108.29</v>
      </c>
      <c r="I60" s="3115">
        <v>10.7</v>
      </c>
      <c r="J60" s="3114">
        <v>108.29</v>
      </c>
    </row>
    <row r="61" spans="1:10" ht="15">
      <c r="A61" s="3154">
        <v>57</v>
      </c>
      <c r="B61" s="3115" t="s">
        <v>6465</v>
      </c>
      <c r="C61" s="3115">
        <v>17</v>
      </c>
      <c r="D61" s="3156" t="s">
        <v>6381</v>
      </c>
      <c r="E61" s="3157" t="s">
        <v>6412</v>
      </c>
      <c r="F61" s="3126" t="s">
        <v>7682</v>
      </c>
      <c r="G61" s="3115">
        <v>10.7</v>
      </c>
      <c r="H61" s="3115">
        <v>108.29</v>
      </c>
      <c r="I61" s="3115">
        <v>10.7</v>
      </c>
      <c r="J61" s="3114">
        <v>108.29</v>
      </c>
    </row>
    <row r="62" spans="1:10" ht="15">
      <c r="A62" s="3154">
        <v>58</v>
      </c>
      <c r="B62" s="3115" t="s">
        <v>6466</v>
      </c>
      <c r="C62" s="3115">
        <v>17</v>
      </c>
      <c r="D62" s="3156" t="s">
        <v>6381</v>
      </c>
      <c r="E62" s="3157" t="s">
        <v>6412</v>
      </c>
      <c r="F62" s="3126" t="s">
        <v>7683</v>
      </c>
      <c r="G62" s="3115">
        <v>10.7</v>
      </c>
      <c r="H62" s="3115">
        <v>108.29</v>
      </c>
      <c r="I62" s="3115">
        <v>10.7</v>
      </c>
      <c r="J62" s="3114">
        <v>108.29</v>
      </c>
    </row>
    <row r="63" spans="1:10" ht="15">
      <c r="A63" s="3154">
        <v>59</v>
      </c>
      <c r="B63" s="3115" t="s">
        <v>6467</v>
      </c>
      <c r="C63" s="3115">
        <v>17</v>
      </c>
      <c r="D63" s="3156" t="s">
        <v>6381</v>
      </c>
      <c r="E63" s="3157" t="s">
        <v>6412</v>
      </c>
      <c r="F63" s="3126" t="s">
        <v>7684</v>
      </c>
      <c r="G63" s="3115">
        <v>10.7</v>
      </c>
      <c r="H63" s="3115">
        <v>108.29</v>
      </c>
      <c r="I63" s="3115">
        <v>10.7</v>
      </c>
      <c r="J63" s="3114">
        <v>108.29</v>
      </c>
    </row>
    <row r="64" spans="1:10" ht="15">
      <c r="A64" s="3154">
        <v>60</v>
      </c>
      <c r="B64" s="3115" t="s">
        <v>6468</v>
      </c>
      <c r="C64" s="3115">
        <v>17</v>
      </c>
      <c r="D64" s="3156" t="s">
        <v>6381</v>
      </c>
      <c r="E64" s="3157" t="s">
        <v>6412</v>
      </c>
      <c r="F64" s="3126" t="s">
        <v>7685</v>
      </c>
      <c r="G64" s="3115">
        <v>10.7</v>
      </c>
      <c r="H64" s="3115">
        <v>108.29</v>
      </c>
      <c r="I64" s="3115">
        <v>10.7</v>
      </c>
      <c r="J64" s="3114">
        <v>108.29</v>
      </c>
    </row>
    <row r="65" spans="1:10" ht="15">
      <c r="A65" s="3154">
        <v>61</v>
      </c>
      <c r="B65" s="3115" t="s">
        <v>6469</v>
      </c>
      <c r="C65" s="3115">
        <v>17</v>
      </c>
      <c r="D65" s="3156" t="s">
        <v>6381</v>
      </c>
      <c r="E65" s="3157" t="s">
        <v>6412</v>
      </c>
      <c r="F65" s="3126" t="s">
        <v>7686</v>
      </c>
      <c r="G65" s="3115">
        <v>10.7</v>
      </c>
      <c r="H65" s="3115">
        <v>108.29</v>
      </c>
      <c r="I65" s="3115">
        <v>10.7</v>
      </c>
      <c r="J65" s="3114">
        <v>108.29</v>
      </c>
    </row>
    <row r="66" spans="1:10" ht="15">
      <c r="A66" s="3154">
        <v>62</v>
      </c>
      <c r="B66" s="3115" t="s">
        <v>6470</v>
      </c>
      <c r="C66" s="3115">
        <v>17</v>
      </c>
      <c r="D66" s="3156" t="s">
        <v>6381</v>
      </c>
      <c r="E66" s="3157" t="s">
        <v>6443</v>
      </c>
      <c r="F66" s="3126" t="s">
        <v>7687</v>
      </c>
      <c r="G66" s="3115">
        <v>10.7</v>
      </c>
      <c r="H66" s="3115">
        <v>108.29</v>
      </c>
      <c r="I66" s="3115">
        <v>10.7</v>
      </c>
      <c r="J66" s="3114">
        <v>108.29</v>
      </c>
    </row>
    <row r="67" spans="1:10" ht="15">
      <c r="A67" s="3154">
        <v>63</v>
      </c>
      <c r="B67" s="3115" t="s">
        <v>6471</v>
      </c>
      <c r="C67" s="3115">
        <v>17</v>
      </c>
      <c r="D67" s="3156" t="s">
        <v>6381</v>
      </c>
      <c r="E67" s="3157" t="s">
        <v>6443</v>
      </c>
      <c r="F67" s="3126" t="s">
        <v>7688</v>
      </c>
      <c r="G67" s="3115">
        <v>10.7</v>
      </c>
      <c r="H67" s="3115">
        <v>108.29</v>
      </c>
      <c r="I67" s="3115">
        <v>10.7</v>
      </c>
      <c r="J67" s="3114">
        <v>108.29</v>
      </c>
    </row>
    <row r="68" spans="1:10" ht="15">
      <c r="A68" s="3154">
        <v>64</v>
      </c>
      <c r="B68" s="3115" t="s">
        <v>6472</v>
      </c>
      <c r="C68" s="3115">
        <v>17</v>
      </c>
      <c r="D68" s="3156" t="s">
        <v>6381</v>
      </c>
      <c r="E68" s="3157" t="s">
        <v>6443</v>
      </c>
      <c r="F68" s="3126" t="s">
        <v>7689</v>
      </c>
      <c r="G68" s="3115">
        <v>10.7</v>
      </c>
      <c r="H68" s="3115">
        <v>108.29</v>
      </c>
      <c r="I68" s="3115">
        <v>10.7</v>
      </c>
      <c r="J68" s="3114">
        <v>108.29</v>
      </c>
    </row>
    <row r="69" spans="1:10" ht="15">
      <c r="A69" s="3154">
        <v>65</v>
      </c>
      <c r="B69" s="3115" t="s">
        <v>6473</v>
      </c>
      <c r="C69" s="3115">
        <v>17</v>
      </c>
      <c r="D69" s="3156" t="s">
        <v>6381</v>
      </c>
      <c r="E69" s="3157" t="s">
        <v>6412</v>
      </c>
      <c r="F69" s="3173" t="s">
        <v>7690</v>
      </c>
      <c r="G69" s="3115">
        <v>10.7</v>
      </c>
      <c r="H69" s="3115">
        <v>108.29</v>
      </c>
      <c r="I69" s="3115">
        <v>10.7</v>
      </c>
      <c r="J69" s="3114">
        <v>108.29</v>
      </c>
    </row>
    <row r="70" spans="1:10" ht="15">
      <c r="A70" s="3154">
        <v>66</v>
      </c>
      <c r="B70" s="3115" t="s">
        <v>6474</v>
      </c>
      <c r="C70" s="3115">
        <v>17</v>
      </c>
      <c r="D70" s="3156" t="s">
        <v>6381</v>
      </c>
      <c r="E70" s="3157" t="s">
        <v>6412</v>
      </c>
      <c r="F70" s="3126" t="s">
        <v>7691</v>
      </c>
      <c r="G70" s="3115">
        <v>9.3000000000000007</v>
      </c>
      <c r="H70" s="3115">
        <v>93.99</v>
      </c>
      <c r="I70" s="3115">
        <v>9.3000000000000007</v>
      </c>
      <c r="J70" s="3114">
        <v>93.99</v>
      </c>
    </row>
    <row r="71" spans="1:10" ht="15">
      <c r="A71" s="3154">
        <v>67</v>
      </c>
      <c r="B71" s="3115" t="s">
        <v>6475</v>
      </c>
      <c r="C71" s="3115">
        <v>17</v>
      </c>
      <c r="D71" s="3156" t="s">
        <v>6381</v>
      </c>
      <c r="E71" s="3157" t="s">
        <v>6412</v>
      </c>
      <c r="F71" s="3126" t="s">
        <v>7692</v>
      </c>
      <c r="G71" s="3115">
        <v>10.7</v>
      </c>
      <c r="H71" s="3115">
        <v>108.28</v>
      </c>
      <c r="I71" s="3115">
        <v>10.7</v>
      </c>
      <c r="J71" s="3114">
        <v>108.28</v>
      </c>
    </row>
    <row r="72" spans="1:10" ht="15">
      <c r="A72" s="3154">
        <v>68</v>
      </c>
      <c r="B72" s="3115" t="s">
        <v>6476</v>
      </c>
      <c r="C72" s="3115">
        <v>17</v>
      </c>
      <c r="D72" s="3156" t="s">
        <v>6381</v>
      </c>
      <c r="E72" s="3157" t="s">
        <v>6412</v>
      </c>
      <c r="F72" s="3126" t="s">
        <v>7693</v>
      </c>
      <c r="G72" s="3115">
        <v>10.7</v>
      </c>
      <c r="H72" s="3115">
        <v>108.28</v>
      </c>
      <c r="I72" s="3115">
        <v>10.7</v>
      </c>
      <c r="J72" s="3114">
        <v>108.28</v>
      </c>
    </row>
    <row r="73" spans="1:10" ht="15">
      <c r="A73" s="3154">
        <v>69</v>
      </c>
      <c r="B73" s="3115" t="s">
        <v>6477</v>
      </c>
      <c r="C73" s="3115">
        <v>17</v>
      </c>
      <c r="D73" s="3156" t="s">
        <v>6381</v>
      </c>
      <c r="E73" s="3157" t="s">
        <v>6412</v>
      </c>
      <c r="F73" s="3126" t="s">
        <v>7694</v>
      </c>
      <c r="G73" s="3115">
        <v>10.7</v>
      </c>
      <c r="H73" s="3115">
        <v>108.28</v>
      </c>
      <c r="I73" s="3115">
        <v>10.7</v>
      </c>
      <c r="J73" s="3114">
        <v>108.28</v>
      </c>
    </row>
    <row r="74" spans="1:10" ht="15">
      <c r="A74" s="3154">
        <v>70</v>
      </c>
      <c r="B74" s="3115" t="s">
        <v>6478</v>
      </c>
      <c r="C74" s="3115">
        <v>17</v>
      </c>
      <c r="D74" s="3156" t="s">
        <v>6381</v>
      </c>
      <c r="E74" s="3157" t="s">
        <v>6412</v>
      </c>
      <c r="F74" s="3126" t="s">
        <v>7695</v>
      </c>
      <c r="G74" s="3115">
        <v>10.7</v>
      </c>
      <c r="H74" s="3115">
        <v>108.28</v>
      </c>
      <c r="I74" s="3115">
        <v>10.7</v>
      </c>
      <c r="J74" s="3114">
        <v>108.28</v>
      </c>
    </row>
    <row r="75" spans="1:10" ht="15">
      <c r="A75" s="3154">
        <v>71</v>
      </c>
      <c r="B75" s="3115" t="s">
        <v>6479</v>
      </c>
      <c r="C75" s="3115">
        <v>17</v>
      </c>
      <c r="D75" s="3156" t="s">
        <v>6381</v>
      </c>
      <c r="E75" s="3157" t="s">
        <v>6412</v>
      </c>
      <c r="F75" s="3126" t="s">
        <v>7696</v>
      </c>
      <c r="G75" s="3115">
        <v>10.7</v>
      </c>
      <c r="H75" s="3115">
        <v>108.28</v>
      </c>
      <c r="I75" s="3115">
        <v>10.7</v>
      </c>
      <c r="J75" s="3114">
        <v>108.28</v>
      </c>
    </row>
    <row r="76" spans="1:10" ht="15">
      <c r="A76" s="3154">
        <v>72</v>
      </c>
      <c r="B76" s="3115" t="s">
        <v>6480</v>
      </c>
      <c r="C76" s="3115">
        <v>17</v>
      </c>
      <c r="D76" s="3156" t="s">
        <v>6381</v>
      </c>
      <c r="E76" s="3157" t="s">
        <v>6481</v>
      </c>
      <c r="F76" s="3126" t="s">
        <v>7697</v>
      </c>
      <c r="G76" s="3115">
        <v>10.7</v>
      </c>
      <c r="H76" s="3115">
        <v>108.28</v>
      </c>
      <c r="I76" s="3115">
        <v>10.7</v>
      </c>
      <c r="J76" s="3114">
        <v>108.28</v>
      </c>
    </row>
    <row r="77" spans="1:10" ht="15">
      <c r="A77" s="3154">
        <v>73</v>
      </c>
      <c r="B77" s="3115" t="s">
        <v>6482</v>
      </c>
      <c r="C77" s="3115">
        <v>17</v>
      </c>
      <c r="D77" s="3156" t="s">
        <v>6381</v>
      </c>
      <c r="E77" s="3157" t="s">
        <v>6481</v>
      </c>
      <c r="F77" s="3126" t="s">
        <v>7698</v>
      </c>
      <c r="G77" s="3115">
        <v>10.7</v>
      </c>
      <c r="H77" s="3115">
        <v>108.28</v>
      </c>
      <c r="I77" s="3115">
        <v>10.7</v>
      </c>
      <c r="J77" s="3114">
        <v>108.28</v>
      </c>
    </row>
    <row r="78" spans="1:10" ht="15">
      <c r="A78" s="3154">
        <v>74</v>
      </c>
      <c r="B78" s="3115" t="s">
        <v>6483</v>
      </c>
      <c r="C78" s="3115">
        <v>17</v>
      </c>
      <c r="D78" s="3156" t="s">
        <v>6381</v>
      </c>
      <c r="E78" s="3157" t="s">
        <v>6481</v>
      </c>
      <c r="F78" s="3126" t="s">
        <v>7699</v>
      </c>
      <c r="G78" s="3115">
        <v>10.7</v>
      </c>
      <c r="H78" s="3115">
        <v>108.28</v>
      </c>
      <c r="I78" s="3115">
        <v>10.7</v>
      </c>
      <c r="J78" s="3114">
        <v>108.28</v>
      </c>
    </row>
    <row r="79" spans="1:10" ht="15">
      <c r="A79" s="3154">
        <v>75</v>
      </c>
      <c r="B79" s="3115" t="s">
        <v>6484</v>
      </c>
      <c r="C79" s="3115">
        <v>17</v>
      </c>
      <c r="D79" s="3156" t="s">
        <v>6381</v>
      </c>
      <c r="E79" s="3157" t="s">
        <v>6481</v>
      </c>
      <c r="F79" s="3126" t="s">
        <v>7700</v>
      </c>
      <c r="G79" s="3115">
        <v>10.7</v>
      </c>
      <c r="H79" s="3115">
        <v>108.28</v>
      </c>
      <c r="I79" s="3115">
        <v>10.7</v>
      </c>
      <c r="J79" s="3114">
        <v>108.28</v>
      </c>
    </row>
    <row r="80" spans="1:10" ht="15">
      <c r="A80" s="3154">
        <v>76</v>
      </c>
      <c r="B80" s="3115" t="s">
        <v>6485</v>
      </c>
      <c r="C80" s="3115">
        <v>17</v>
      </c>
      <c r="D80" s="3156" t="s">
        <v>6381</v>
      </c>
      <c r="E80" s="3157" t="s">
        <v>6481</v>
      </c>
      <c r="F80" s="3126" t="s">
        <v>7701</v>
      </c>
      <c r="G80" s="3115">
        <v>10.7</v>
      </c>
      <c r="H80" s="3115">
        <v>108.28</v>
      </c>
      <c r="I80" s="3115">
        <v>10.7</v>
      </c>
      <c r="J80" s="3114">
        <v>108.28</v>
      </c>
    </row>
    <row r="81" spans="1:10" ht="15">
      <c r="A81" s="3154">
        <v>77</v>
      </c>
      <c r="B81" s="3115" t="s">
        <v>6486</v>
      </c>
      <c r="C81" s="3115">
        <v>17</v>
      </c>
      <c r="D81" s="3156" t="s">
        <v>6381</v>
      </c>
      <c r="E81" s="3157" t="s">
        <v>6412</v>
      </c>
      <c r="F81" s="3126" t="s">
        <v>7702</v>
      </c>
      <c r="G81" s="3115">
        <v>10.7</v>
      </c>
      <c r="H81" s="3115">
        <v>108.28</v>
      </c>
      <c r="I81" s="3115">
        <v>10.7</v>
      </c>
      <c r="J81" s="3114">
        <v>108.28</v>
      </c>
    </row>
    <row r="82" spans="1:10" ht="15">
      <c r="A82" s="3154">
        <v>78</v>
      </c>
      <c r="B82" s="3115" t="s">
        <v>6487</v>
      </c>
      <c r="C82" s="3115">
        <v>17</v>
      </c>
      <c r="D82" s="3156" t="s">
        <v>6381</v>
      </c>
      <c r="E82" s="3157" t="s">
        <v>6412</v>
      </c>
      <c r="F82" s="3126" t="s">
        <v>7703</v>
      </c>
      <c r="G82" s="3115">
        <v>10.7</v>
      </c>
      <c r="H82" s="3115">
        <v>108.28</v>
      </c>
      <c r="I82" s="3115">
        <v>10.7</v>
      </c>
      <c r="J82" s="3114">
        <v>108.28</v>
      </c>
    </row>
    <row r="83" spans="1:10" ht="15">
      <c r="A83" s="3154">
        <v>79</v>
      </c>
      <c r="B83" s="3115" t="s">
        <v>6488</v>
      </c>
      <c r="C83" s="3115">
        <v>17</v>
      </c>
      <c r="D83" s="3156" t="s">
        <v>6381</v>
      </c>
      <c r="E83" s="3157" t="s">
        <v>6443</v>
      </c>
      <c r="F83" s="3126" t="s">
        <v>7704</v>
      </c>
      <c r="G83" s="3115">
        <v>10.7</v>
      </c>
      <c r="H83" s="3115">
        <v>108.28</v>
      </c>
      <c r="I83" s="3115">
        <v>10.7</v>
      </c>
      <c r="J83" s="3114">
        <v>108.28</v>
      </c>
    </row>
    <row r="84" spans="1:10" ht="15">
      <c r="A84" s="3154">
        <v>80</v>
      </c>
      <c r="B84" s="3115" t="s">
        <v>6489</v>
      </c>
      <c r="C84" s="3115">
        <v>17</v>
      </c>
      <c r="D84" s="3156" t="s">
        <v>6381</v>
      </c>
      <c r="E84" s="3157" t="s">
        <v>6412</v>
      </c>
      <c r="F84" s="3126" t="s">
        <v>7705</v>
      </c>
      <c r="G84" s="3115">
        <v>10.7</v>
      </c>
      <c r="H84" s="3115">
        <v>108.28</v>
      </c>
      <c r="I84" s="3115">
        <v>10.7</v>
      </c>
      <c r="J84" s="3114">
        <v>108.28</v>
      </c>
    </row>
    <row r="85" spans="1:10" ht="15">
      <c r="A85" s="3154">
        <v>81</v>
      </c>
      <c r="B85" s="3115" t="s">
        <v>6490</v>
      </c>
      <c r="C85" s="3115">
        <v>17</v>
      </c>
      <c r="D85" s="3156" t="s">
        <v>6381</v>
      </c>
      <c r="E85" s="3157" t="s">
        <v>6412</v>
      </c>
      <c r="F85" s="3126" t="s">
        <v>7706</v>
      </c>
      <c r="G85" s="3115">
        <v>10.7</v>
      </c>
      <c r="H85" s="3115">
        <v>108.28</v>
      </c>
      <c r="I85" s="3115">
        <v>10.7</v>
      </c>
      <c r="J85" s="3114">
        <v>108.28</v>
      </c>
    </row>
    <row r="86" spans="1:10" ht="15">
      <c r="A86" s="3154">
        <v>82</v>
      </c>
      <c r="B86" s="3115" t="s">
        <v>6491</v>
      </c>
      <c r="C86" s="3115">
        <v>17</v>
      </c>
      <c r="D86" s="3156" t="s">
        <v>6381</v>
      </c>
      <c r="E86" s="3157" t="s">
        <v>6412</v>
      </c>
      <c r="F86" s="3173" t="s">
        <v>7632</v>
      </c>
      <c r="G86" s="3115">
        <v>9.3000000000000007</v>
      </c>
      <c r="H86" s="3161">
        <v>93.92</v>
      </c>
      <c r="I86" s="3115">
        <v>9.3000000000000007</v>
      </c>
      <c r="J86" s="3114">
        <v>93.92</v>
      </c>
    </row>
    <row r="87" spans="1:10" ht="15">
      <c r="A87" s="3154">
        <v>83</v>
      </c>
      <c r="B87" s="3115" t="s">
        <v>6492</v>
      </c>
      <c r="C87" s="3115">
        <v>17</v>
      </c>
      <c r="D87" s="3156" t="s">
        <v>6381</v>
      </c>
      <c r="E87" s="3157" t="s">
        <v>6412</v>
      </c>
      <c r="F87" s="3126" t="s">
        <v>7707</v>
      </c>
      <c r="G87" s="3115">
        <v>8.6999999999999993</v>
      </c>
      <c r="H87" s="3115">
        <v>87.95</v>
      </c>
      <c r="I87" s="3115">
        <v>8.6999999999999993</v>
      </c>
      <c r="J87" s="3114">
        <v>87.95</v>
      </c>
    </row>
    <row r="88" spans="1:10" ht="15">
      <c r="A88" s="3154">
        <v>84</v>
      </c>
      <c r="B88" s="3115" t="s">
        <v>6493</v>
      </c>
      <c r="C88" s="3115">
        <v>17</v>
      </c>
      <c r="D88" s="3156" t="s">
        <v>6381</v>
      </c>
      <c r="E88" s="3157" t="s">
        <v>6412</v>
      </c>
      <c r="F88" s="3126" t="s">
        <v>7708</v>
      </c>
      <c r="G88" s="3115">
        <v>8.6999999999999993</v>
      </c>
      <c r="H88" s="3114">
        <v>87.95</v>
      </c>
      <c r="I88" s="3115">
        <v>8.6999999999999993</v>
      </c>
      <c r="J88" s="3114">
        <v>87.95</v>
      </c>
    </row>
    <row r="89" spans="1:10" ht="15">
      <c r="A89" s="3154">
        <v>85</v>
      </c>
      <c r="B89" s="3115" t="s">
        <v>6494</v>
      </c>
      <c r="C89" s="3115">
        <v>17</v>
      </c>
      <c r="D89" s="3156" t="s">
        <v>6381</v>
      </c>
      <c r="E89" s="3157" t="s">
        <v>6412</v>
      </c>
      <c r="F89" s="3126" t="s">
        <v>7709</v>
      </c>
      <c r="G89" s="3115">
        <v>8.6999999999999993</v>
      </c>
      <c r="H89" s="3114">
        <v>87.95</v>
      </c>
      <c r="I89" s="3115">
        <v>8.6999999999999993</v>
      </c>
      <c r="J89" s="3114">
        <v>87.95</v>
      </c>
    </row>
    <row r="90" spans="1:10" ht="15">
      <c r="A90" s="3154">
        <v>86</v>
      </c>
      <c r="B90" s="3115" t="s">
        <v>6495</v>
      </c>
      <c r="C90" s="3115">
        <v>17</v>
      </c>
      <c r="D90" s="3156" t="s">
        <v>6381</v>
      </c>
      <c r="E90" s="3157" t="s">
        <v>6443</v>
      </c>
      <c r="F90" s="3126" t="s">
        <v>7710</v>
      </c>
      <c r="G90" s="3115">
        <v>8.6999999999999993</v>
      </c>
      <c r="H90" s="3114">
        <v>87.95</v>
      </c>
      <c r="I90" s="3115">
        <v>8.6999999999999993</v>
      </c>
      <c r="J90" s="3114">
        <v>87.95</v>
      </c>
    </row>
    <row r="91" spans="1:10" ht="15">
      <c r="A91" s="3154">
        <v>87</v>
      </c>
      <c r="B91" s="3115" t="s">
        <v>6496</v>
      </c>
      <c r="C91" s="3115">
        <v>17</v>
      </c>
      <c r="D91" s="3156" t="s">
        <v>6381</v>
      </c>
      <c r="E91" s="3157" t="s">
        <v>6443</v>
      </c>
      <c r="F91" s="3126" t="s">
        <v>7711</v>
      </c>
      <c r="G91" s="3115">
        <v>8.6999999999999993</v>
      </c>
      <c r="H91" s="3114">
        <v>87.95</v>
      </c>
      <c r="I91" s="3115">
        <v>8.6999999999999993</v>
      </c>
      <c r="J91" s="3114">
        <v>87.95</v>
      </c>
    </row>
    <row r="92" spans="1:10" ht="15">
      <c r="A92" s="3154">
        <v>88</v>
      </c>
      <c r="B92" s="3115" t="s">
        <v>6497</v>
      </c>
      <c r="C92" s="3115">
        <v>17</v>
      </c>
      <c r="D92" s="3156" t="s">
        <v>6381</v>
      </c>
      <c r="E92" s="3157" t="s">
        <v>6443</v>
      </c>
      <c r="F92" s="3126" t="s">
        <v>7712</v>
      </c>
      <c r="G92" s="3115">
        <v>8.6999999999999993</v>
      </c>
      <c r="H92" s="3114">
        <v>87.95</v>
      </c>
      <c r="I92" s="3115">
        <v>8.6999999999999993</v>
      </c>
      <c r="J92" s="3114">
        <v>87.95</v>
      </c>
    </row>
    <row r="93" spans="1:10" ht="15">
      <c r="A93" s="3154">
        <v>89</v>
      </c>
      <c r="B93" s="3115" t="s">
        <v>6498</v>
      </c>
      <c r="C93" s="3115">
        <v>17</v>
      </c>
      <c r="D93" s="3156" t="s">
        <v>6381</v>
      </c>
      <c r="E93" s="3157" t="s">
        <v>6443</v>
      </c>
      <c r="F93" s="3126" t="s">
        <v>7713</v>
      </c>
      <c r="G93" s="3115">
        <v>8.6999999999999993</v>
      </c>
      <c r="H93" s="3114">
        <v>87.95</v>
      </c>
      <c r="I93" s="3115">
        <v>8.6999999999999993</v>
      </c>
      <c r="J93" s="3114">
        <v>87.95</v>
      </c>
    </row>
    <row r="94" spans="1:10" ht="15">
      <c r="A94" s="3154">
        <v>90</v>
      </c>
      <c r="B94" s="3115" t="s">
        <v>6499</v>
      </c>
      <c r="C94" s="3115">
        <v>17</v>
      </c>
      <c r="D94" s="3156" t="s">
        <v>6381</v>
      </c>
      <c r="E94" s="3157" t="s">
        <v>6443</v>
      </c>
      <c r="F94" s="3126" t="s">
        <v>7714</v>
      </c>
      <c r="G94" s="3115">
        <v>8.6999999999999993</v>
      </c>
      <c r="H94" s="3114">
        <v>87.95</v>
      </c>
      <c r="I94" s="3115">
        <v>8.6999999999999993</v>
      </c>
      <c r="J94" s="3114">
        <v>87.95</v>
      </c>
    </row>
    <row r="95" spans="1:10" ht="15">
      <c r="A95" s="3154">
        <v>91</v>
      </c>
      <c r="B95" s="3115" t="s">
        <v>6500</v>
      </c>
      <c r="C95" s="3115">
        <v>17</v>
      </c>
      <c r="D95" s="3156" t="s">
        <v>6381</v>
      </c>
      <c r="E95" s="3157" t="s">
        <v>6443</v>
      </c>
      <c r="F95" s="3126" t="s">
        <v>7715</v>
      </c>
      <c r="G95" s="3115">
        <v>8.6999999999999993</v>
      </c>
      <c r="H95" s="3114">
        <v>87.95</v>
      </c>
      <c r="I95" s="3115">
        <v>8.6999999999999993</v>
      </c>
      <c r="J95" s="3114">
        <v>87.95</v>
      </c>
    </row>
    <row r="96" spans="1:10" ht="15">
      <c r="A96" s="3154">
        <v>92</v>
      </c>
      <c r="B96" s="3115" t="s">
        <v>6501</v>
      </c>
      <c r="C96" s="3115">
        <v>17</v>
      </c>
      <c r="D96" s="3156" t="s">
        <v>6381</v>
      </c>
      <c r="E96" s="3157" t="s">
        <v>6443</v>
      </c>
      <c r="F96" s="3126" t="s">
        <v>7716</v>
      </c>
      <c r="G96" s="3115">
        <v>8.6999999999999993</v>
      </c>
      <c r="H96" s="3114">
        <v>87.95</v>
      </c>
      <c r="I96" s="3115">
        <v>8.6999999999999993</v>
      </c>
      <c r="J96" s="3114">
        <v>87.95</v>
      </c>
    </row>
    <row r="97" spans="1:10" ht="15">
      <c r="A97" s="3154">
        <v>93</v>
      </c>
      <c r="B97" s="3115" t="s">
        <v>6502</v>
      </c>
      <c r="C97" s="3115">
        <v>17</v>
      </c>
      <c r="D97" s="3156" t="s">
        <v>6381</v>
      </c>
      <c r="E97" s="3157" t="s">
        <v>6443</v>
      </c>
      <c r="F97" s="3126" t="s">
        <v>7717</v>
      </c>
      <c r="G97" s="3115">
        <v>8.6999999999999993</v>
      </c>
      <c r="H97" s="3114">
        <v>87.95</v>
      </c>
      <c r="I97" s="3115">
        <v>8.6999999999999993</v>
      </c>
      <c r="J97" s="3114">
        <v>87.95</v>
      </c>
    </row>
    <row r="98" spans="1:10" ht="15">
      <c r="A98" s="3154">
        <v>94</v>
      </c>
      <c r="B98" s="3115" t="s">
        <v>6503</v>
      </c>
      <c r="C98" s="3115">
        <v>17</v>
      </c>
      <c r="D98" s="3156" t="s">
        <v>6381</v>
      </c>
      <c r="E98" s="3157" t="s">
        <v>6443</v>
      </c>
      <c r="F98" s="3126" t="s">
        <v>7718</v>
      </c>
      <c r="G98" s="3115">
        <v>8.6999999999999993</v>
      </c>
      <c r="H98" s="3114">
        <v>87.95</v>
      </c>
      <c r="I98" s="3115">
        <v>8.6999999999999993</v>
      </c>
      <c r="J98" s="3114">
        <v>87.95</v>
      </c>
    </row>
    <row r="99" spans="1:10" ht="15">
      <c r="A99" s="3154">
        <v>95</v>
      </c>
      <c r="B99" s="3115" t="s">
        <v>6504</v>
      </c>
      <c r="C99" s="3115">
        <v>17</v>
      </c>
      <c r="D99" s="3156" t="s">
        <v>6381</v>
      </c>
      <c r="E99" s="3157" t="s">
        <v>6443</v>
      </c>
      <c r="F99" s="3126" t="s">
        <v>7719</v>
      </c>
      <c r="G99" s="3115">
        <v>8.6999999999999993</v>
      </c>
      <c r="H99" s="3114">
        <v>87.95</v>
      </c>
      <c r="I99" s="3115">
        <v>8.6999999999999993</v>
      </c>
      <c r="J99" s="3114">
        <v>87.95</v>
      </c>
    </row>
    <row r="100" spans="1:10" ht="15">
      <c r="A100" s="3154">
        <v>96</v>
      </c>
      <c r="B100" s="3115" t="s">
        <v>6505</v>
      </c>
      <c r="C100" s="3115">
        <v>17</v>
      </c>
      <c r="D100" s="3156" t="s">
        <v>6381</v>
      </c>
      <c r="E100" s="3157" t="s">
        <v>6443</v>
      </c>
      <c r="F100" s="3126" t="s">
        <v>7720</v>
      </c>
      <c r="G100" s="3115">
        <v>8.6999999999999993</v>
      </c>
      <c r="H100" s="3114">
        <v>87.95</v>
      </c>
      <c r="I100" s="3115">
        <v>8.6999999999999993</v>
      </c>
      <c r="J100" s="3114">
        <v>87.95</v>
      </c>
    </row>
    <row r="101" spans="1:10" ht="15">
      <c r="A101" s="3154">
        <v>97</v>
      </c>
      <c r="B101" s="3115" t="s">
        <v>6506</v>
      </c>
      <c r="C101" s="3115">
        <v>17</v>
      </c>
      <c r="D101" s="3156" t="s">
        <v>6381</v>
      </c>
      <c r="E101" s="3157" t="s">
        <v>6443</v>
      </c>
      <c r="F101" s="3173" t="s">
        <v>7632</v>
      </c>
      <c r="G101" s="3115">
        <v>8.6999999999999993</v>
      </c>
      <c r="H101" s="3114">
        <v>87.95</v>
      </c>
      <c r="I101" s="3115">
        <v>8.6999999999999993</v>
      </c>
      <c r="J101" s="3114">
        <v>87.95</v>
      </c>
    </row>
    <row r="102" spans="1:10" s="3125" customFormat="1" ht="15">
      <c r="A102" s="3154">
        <v>98</v>
      </c>
      <c r="B102" s="3115" t="s">
        <v>6507</v>
      </c>
      <c r="C102" s="3115">
        <v>17</v>
      </c>
      <c r="D102" s="3156" t="s">
        <v>6381</v>
      </c>
      <c r="E102" s="3157" t="s">
        <v>6443</v>
      </c>
      <c r="F102" s="3126" t="s">
        <v>7721</v>
      </c>
      <c r="G102" s="3115">
        <v>8.6999999999999993</v>
      </c>
      <c r="H102" s="3114">
        <v>88.05</v>
      </c>
      <c r="I102" s="3115">
        <v>8.6999999999999993</v>
      </c>
      <c r="J102" s="3114">
        <v>88.05</v>
      </c>
    </row>
    <row r="103" spans="1:10" ht="15">
      <c r="A103" s="3154">
        <v>99</v>
      </c>
      <c r="B103" s="3115" t="s">
        <v>6508</v>
      </c>
      <c r="C103" s="3115">
        <v>17</v>
      </c>
      <c r="D103" s="3156" t="s">
        <v>6381</v>
      </c>
      <c r="E103" s="3157" t="s">
        <v>6443</v>
      </c>
      <c r="F103" s="3126" t="s">
        <v>7722</v>
      </c>
      <c r="G103" s="3115">
        <v>8.6999999999999993</v>
      </c>
      <c r="H103" s="3114">
        <v>87.95</v>
      </c>
      <c r="I103" s="3115">
        <v>8.6999999999999993</v>
      </c>
      <c r="J103" s="3114">
        <v>87.95</v>
      </c>
    </row>
    <row r="104" spans="1:10" ht="15">
      <c r="A104" s="3154">
        <v>100</v>
      </c>
      <c r="B104" s="3115" t="s">
        <v>6509</v>
      </c>
      <c r="C104" s="3115">
        <v>17</v>
      </c>
      <c r="D104" s="3156" t="s">
        <v>6381</v>
      </c>
      <c r="E104" s="3157" t="s">
        <v>6443</v>
      </c>
      <c r="F104" s="3126" t="s">
        <v>7723</v>
      </c>
      <c r="G104" s="3115">
        <v>8.6999999999999993</v>
      </c>
      <c r="H104" s="3114">
        <v>87.95</v>
      </c>
      <c r="I104" s="3115">
        <v>8.6999999999999993</v>
      </c>
      <c r="J104" s="3114">
        <v>87.95</v>
      </c>
    </row>
    <row r="105" spans="1:10" ht="15">
      <c r="A105" s="3154">
        <v>101</v>
      </c>
      <c r="B105" s="3115" t="s">
        <v>6510</v>
      </c>
      <c r="C105" s="3115">
        <v>17</v>
      </c>
      <c r="D105" s="3156" t="s">
        <v>6381</v>
      </c>
      <c r="E105" s="3157" t="s">
        <v>6443</v>
      </c>
      <c r="F105" s="3126" t="s">
        <v>7724</v>
      </c>
      <c r="G105" s="3115">
        <v>8.6999999999999993</v>
      </c>
      <c r="H105" s="3114">
        <v>87.95</v>
      </c>
      <c r="I105" s="3115">
        <v>8.6999999999999993</v>
      </c>
      <c r="J105" s="3114">
        <v>87.95</v>
      </c>
    </row>
    <row r="106" spans="1:10" ht="15">
      <c r="A106" s="3154">
        <v>102</v>
      </c>
      <c r="B106" s="3115" t="s">
        <v>6511</v>
      </c>
      <c r="C106" s="3115">
        <v>17</v>
      </c>
      <c r="D106" s="3156" t="s">
        <v>6381</v>
      </c>
      <c r="E106" s="3157" t="s">
        <v>6443</v>
      </c>
      <c r="F106" s="3126" t="s">
        <v>7725</v>
      </c>
      <c r="G106" s="3115">
        <v>8.6999999999999993</v>
      </c>
      <c r="H106" s="3114">
        <v>87.95</v>
      </c>
      <c r="I106" s="3115">
        <v>8.6999999999999993</v>
      </c>
      <c r="J106" s="3114">
        <v>87.95</v>
      </c>
    </row>
    <row r="107" spans="1:10" ht="15">
      <c r="A107" s="3154">
        <v>103</v>
      </c>
      <c r="B107" s="3115" t="s">
        <v>6512</v>
      </c>
      <c r="C107" s="3115">
        <v>17</v>
      </c>
      <c r="D107" s="3156" t="s">
        <v>6381</v>
      </c>
      <c r="E107" s="3157" t="s">
        <v>6443</v>
      </c>
      <c r="F107" s="3126" t="s">
        <v>7726</v>
      </c>
      <c r="G107" s="3115">
        <v>8.6999999999999993</v>
      </c>
      <c r="H107" s="3114">
        <v>87.95</v>
      </c>
      <c r="I107" s="3115">
        <v>8.6999999999999993</v>
      </c>
      <c r="J107" s="3114">
        <v>87.95</v>
      </c>
    </row>
    <row r="108" spans="1:10" ht="15">
      <c r="A108" s="3154">
        <v>104</v>
      </c>
      <c r="B108" s="3115" t="s">
        <v>6513</v>
      </c>
      <c r="C108" s="3115">
        <v>17</v>
      </c>
      <c r="D108" s="3156" t="s">
        <v>6381</v>
      </c>
      <c r="E108" s="3157" t="s">
        <v>6443</v>
      </c>
      <c r="F108" s="3126" t="s">
        <v>7727</v>
      </c>
      <c r="G108" s="3115">
        <v>8.6999999999999993</v>
      </c>
      <c r="H108" s="3114">
        <v>87.95</v>
      </c>
      <c r="I108" s="3115">
        <v>8.6999999999999993</v>
      </c>
      <c r="J108" s="3114">
        <v>87.95</v>
      </c>
    </row>
    <row r="109" spans="1:10" ht="15">
      <c r="A109" s="3154">
        <v>105</v>
      </c>
      <c r="B109" s="3115" t="s">
        <v>6514</v>
      </c>
      <c r="C109" s="3115">
        <v>17</v>
      </c>
      <c r="D109" s="3156" t="s">
        <v>6381</v>
      </c>
      <c r="E109" s="3157" t="s">
        <v>6443</v>
      </c>
      <c r="F109" s="3126" t="s">
        <v>7728</v>
      </c>
      <c r="G109" s="3115">
        <v>8.6999999999999993</v>
      </c>
      <c r="H109" s="3114">
        <v>87.95</v>
      </c>
      <c r="I109" s="3115">
        <v>8.6999999999999993</v>
      </c>
      <c r="J109" s="3114">
        <v>87.95</v>
      </c>
    </row>
    <row r="110" spans="1:10" ht="15">
      <c r="A110" s="3154">
        <v>106</v>
      </c>
      <c r="B110" s="3115" t="s">
        <v>6515</v>
      </c>
      <c r="C110" s="3115">
        <v>17</v>
      </c>
      <c r="D110" s="3156" t="s">
        <v>6381</v>
      </c>
      <c r="E110" s="3157" t="s">
        <v>6443</v>
      </c>
      <c r="F110" s="3126" t="s">
        <v>7729</v>
      </c>
      <c r="G110" s="3115">
        <v>8.6999999999999993</v>
      </c>
      <c r="H110" s="3114">
        <v>87.95</v>
      </c>
      <c r="I110" s="3115">
        <v>8.6999999999999993</v>
      </c>
      <c r="J110" s="3114">
        <v>87.95</v>
      </c>
    </row>
    <row r="111" spans="1:10" ht="15">
      <c r="A111" s="3154">
        <v>107</v>
      </c>
      <c r="B111" s="3115" t="s">
        <v>6516</v>
      </c>
      <c r="C111" s="3115">
        <v>17</v>
      </c>
      <c r="D111" s="3156" t="s">
        <v>6381</v>
      </c>
      <c r="E111" s="3157" t="s">
        <v>6443</v>
      </c>
      <c r="F111" s="3126" t="s">
        <v>7730</v>
      </c>
      <c r="G111" s="3115">
        <v>8.6999999999999993</v>
      </c>
      <c r="H111" s="3114">
        <v>87.95</v>
      </c>
      <c r="I111" s="3115">
        <v>8.6999999999999993</v>
      </c>
      <c r="J111" s="3114">
        <v>87.95</v>
      </c>
    </row>
    <row r="112" spans="1:10" ht="15">
      <c r="A112" s="3154">
        <v>108</v>
      </c>
      <c r="B112" s="3115" t="s">
        <v>6517</v>
      </c>
      <c r="C112" s="3115">
        <v>17</v>
      </c>
      <c r="D112" s="3156" t="s">
        <v>6381</v>
      </c>
      <c r="E112" s="3157" t="s">
        <v>6443</v>
      </c>
      <c r="F112" s="3126" t="s">
        <v>7731</v>
      </c>
      <c r="G112" s="3115">
        <v>8.6999999999999993</v>
      </c>
      <c r="H112" s="3114">
        <v>87.95</v>
      </c>
      <c r="I112" s="3115">
        <v>8.6999999999999993</v>
      </c>
      <c r="J112" s="3114">
        <v>87.95</v>
      </c>
    </row>
    <row r="113" spans="1:10" ht="15">
      <c r="A113" s="3154">
        <v>109</v>
      </c>
      <c r="B113" s="3115" t="s">
        <v>6518</v>
      </c>
      <c r="C113" s="3115">
        <v>17</v>
      </c>
      <c r="D113" s="3156" t="s">
        <v>6381</v>
      </c>
      <c r="E113" s="3157" t="s">
        <v>6443</v>
      </c>
      <c r="F113" s="3126" t="s">
        <v>7732</v>
      </c>
      <c r="G113" s="3115">
        <v>8.6999999999999993</v>
      </c>
      <c r="H113" s="3114">
        <v>87.95</v>
      </c>
      <c r="I113" s="3115">
        <v>8.6999999999999993</v>
      </c>
      <c r="J113" s="3114">
        <v>87.95</v>
      </c>
    </row>
    <row r="114" spans="1:10" ht="15">
      <c r="A114" s="3154">
        <v>110</v>
      </c>
      <c r="B114" s="3115" t="s">
        <v>6519</v>
      </c>
      <c r="C114" s="3115">
        <v>17</v>
      </c>
      <c r="D114" s="3156" t="s">
        <v>6381</v>
      </c>
      <c r="E114" s="3157" t="s">
        <v>6443</v>
      </c>
      <c r="F114" s="3126" t="s">
        <v>7733</v>
      </c>
      <c r="G114" s="3115">
        <v>8.6999999999999993</v>
      </c>
      <c r="H114" s="3114">
        <v>87.95</v>
      </c>
      <c r="I114" s="3115">
        <v>8.6999999999999993</v>
      </c>
      <c r="J114" s="3114">
        <v>87.95</v>
      </c>
    </row>
    <row r="115" spans="1:10" ht="15">
      <c r="A115" s="3154">
        <v>111</v>
      </c>
      <c r="B115" s="3115" t="s">
        <v>6520</v>
      </c>
      <c r="C115" s="3115">
        <v>17</v>
      </c>
      <c r="D115" s="3156" t="s">
        <v>6381</v>
      </c>
      <c r="E115" s="3157" t="s">
        <v>6443</v>
      </c>
      <c r="F115" s="3173" t="s">
        <v>7734</v>
      </c>
      <c r="G115" s="3115">
        <v>8.6999999999999993</v>
      </c>
      <c r="H115" s="3114">
        <v>87.95</v>
      </c>
      <c r="I115" s="3115">
        <v>8.6999999999999993</v>
      </c>
      <c r="J115" s="3114">
        <v>87.95</v>
      </c>
    </row>
    <row r="116" spans="1:10" ht="15">
      <c r="A116" s="3154">
        <v>112</v>
      </c>
      <c r="B116" s="3115" t="s">
        <v>6521</v>
      </c>
      <c r="C116" s="3115">
        <v>17</v>
      </c>
      <c r="D116" s="3156" t="s">
        <v>6381</v>
      </c>
      <c r="E116" s="3157" t="s">
        <v>6443</v>
      </c>
      <c r="F116" s="3126" t="s">
        <v>7735</v>
      </c>
      <c r="G116" s="3115">
        <v>8.6999999999999993</v>
      </c>
      <c r="H116" s="3114">
        <v>87.95</v>
      </c>
      <c r="I116" s="3115">
        <v>8.6999999999999993</v>
      </c>
      <c r="J116" s="3114">
        <v>87.95</v>
      </c>
    </row>
    <row r="117" spans="1:10" ht="15">
      <c r="A117" s="3154">
        <v>113</v>
      </c>
      <c r="B117" s="3115" t="s">
        <v>6522</v>
      </c>
      <c r="C117" s="3115">
        <v>17</v>
      </c>
      <c r="D117" s="3156" t="s">
        <v>6381</v>
      </c>
      <c r="E117" s="3157" t="s">
        <v>6443</v>
      </c>
      <c r="F117" s="3126" t="s">
        <v>7736</v>
      </c>
      <c r="G117" s="3115">
        <v>8.6999999999999993</v>
      </c>
      <c r="H117" s="3114">
        <v>87.95</v>
      </c>
      <c r="I117" s="3115">
        <v>8.6999999999999993</v>
      </c>
      <c r="J117" s="3114">
        <v>87.95</v>
      </c>
    </row>
    <row r="118" spans="1:10" ht="15">
      <c r="A118" s="3154">
        <v>114</v>
      </c>
      <c r="B118" s="3115" t="s">
        <v>6523</v>
      </c>
      <c r="C118" s="3115">
        <v>17</v>
      </c>
      <c r="D118" s="3156" t="s">
        <v>6381</v>
      </c>
      <c r="E118" s="3157" t="s">
        <v>6443</v>
      </c>
      <c r="F118" s="3126" t="s">
        <v>7737</v>
      </c>
      <c r="G118" s="3115">
        <v>8.6999999999999993</v>
      </c>
      <c r="H118" s="3114">
        <v>88.05</v>
      </c>
      <c r="I118" s="3115">
        <v>8.6999999999999993</v>
      </c>
      <c r="J118" s="3114">
        <v>88.05</v>
      </c>
    </row>
    <row r="119" spans="1:10" ht="15">
      <c r="A119" s="3154">
        <v>115</v>
      </c>
      <c r="B119" s="3115" t="s">
        <v>6524</v>
      </c>
      <c r="C119" s="3115">
        <v>17</v>
      </c>
      <c r="D119" s="3156" t="s">
        <v>6381</v>
      </c>
      <c r="E119" s="3157" t="s">
        <v>6443</v>
      </c>
      <c r="F119" s="3126" t="s">
        <v>7738</v>
      </c>
      <c r="G119" s="3115">
        <v>10.7</v>
      </c>
      <c r="H119" s="3114">
        <v>108.29</v>
      </c>
      <c r="I119" s="3115">
        <v>10.7</v>
      </c>
      <c r="J119" s="3114">
        <v>108.29</v>
      </c>
    </row>
    <row r="120" spans="1:10" ht="15">
      <c r="A120" s="3154">
        <v>116</v>
      </c>
      <c r="B120" s="3115" t="s">
        <v>6525</v>
      </c>
      <c r="C120" s="3115">
        <v>17</v>
      </c>
      <c r="D120" s="3156" t="s">
        <v>6381</v>
      </c>
      <c r="E120" s="3157" t="s">
        <v>6443</v>
      </c>
      <c r="F120" s="3126" t="s">
        <v>7739</v>
      </c>
      <c r="G120" s="3115">
        <v>10.7</v>
      </c>
      <c r="H120" s="3114">
        <v>108.29</v>
      </c>
      <c r="I120" s="3115">
        <v>10.7</v>
      </c>
      <c r="J120" s="3114">
        <v>108.29</v>
      </c>
    </row>
    <row r="121" spans="1:10" ht="15">
      <c r="A121" s="3154">
        <v>117</v>
      </c>
      <c r="B121" s="3115" t="s">
        <v>6526</v>
      </c>
      <c r="C121" s="3115">
        <v>17</v>
      </c>
      <c r="D121" s="3156" t="s">
        <v>6381</v>
      </c>
      <c r="E121" s="3157" t="s">
        <v>6443</v>
      </c>
      <c r="F121" s="3126" t="s">
        <v>7740</v>
      </c>
      <c r="G121" s="3115">
        <v>10.7</v>
      </c>
      <c r="H121" s="3114">
        <v>108.29</v>
      </c>
      <c r="I121" s="3115">
        <v>10.7</v>
      </c>
      <c r="J121" s="3114">
        <v>108.29</v>
      </c>
    </row>
    <row r="122" spans="1:10" ht="15">
      <c r="A122" s="3154">
        <v>118</v>
      </c>
      <c r="B122" s="3115" t="s">
        <v>6527</v>
      </c>
      <c r="C122" s="3115">
        <v>17</v>
      </c>
      <c r="D122" s="3156" t="s">
        <v>6381</v>
      </c>
      <c r="E122" s="3157" t="s">
        <v>6443</v>
      </c>
      <c r="F122" s="3126" t="s">
        <v>7741</v>
      </c>
      <c r="G122" s="3115">
        <v>10.7</v>
      </c>
      <c r="H122" s="3114">
        <v>108.29</v>
      </c>
      <c r="I122" s="3115">
        <v>10.7</v>
      </c>
      <c r="J122" s="3114">
        <v>108.29</v>
      </c>
    </row>
    <row r="123" spans="1:10" ht="15">
      <c r="A123" s="3154">
        <v>119</v>
      </c>
      <c r="B123" s="3115" t="s">
        <v>6528</v>
      </c>
      <c r="C123" s="3115">
        <v>17</v>
      </c>
      <c r="D123" s="3156" t="s">
        <v>6381</v>
      </c>
      <c r="E123" s="3157" t="s">
        <v>6443</v>
      </c>
      <c r="F123" s="3126" t="s">
        <v>7742</v>
      </c>
      <c r="G123" s="3115">
        <v>10.7</v>
      </c>
      <c r="H123" s="3114">
        <v>108.29</v>
      </c>
      <c r="I123" s="3115">
        <v>10.7</v>
      </c>
      <c r="J123" s="3114">
        <v>108.29</v>
      </c>
    </row>
    <row r="124" spans="1:10" ht="15">
      <c r="A124" s="3154">
        <v>120</v>
      </c>
      <c r="B124" s="3115" t="s">
        <v>6529</v>
      </c>
      <c r="C124" s="3115">
        <v>17</v>
      </c>
      <c r="D124" s="3156" t="s">
        <v>6381</v>
      </c>
      <c r="E124" s="3157" t="s">
        <v>6443</v>
      </c>
      <c r="F124" s="3126" t="s">
        <v>7743</v>
      </c>
      <c r="G124" s="3115">
        <v>10.7</v>
      </c>
      <c r="H124" s="3114">
        <v>108.29</v>
      </c>
      <c r="I124" s="3115">
        <v>10.7</v>
      </c>
      <c r="J124" s="3114">
        <v>108.29</v>
      </c>
    </row>
    <row r="125" spans="1:10" ht="15">
      <c r="A125" s="3154">
        <v>121</v>
      </c>
      <c r="B125" s="3115" t="s">
        <v>6530</v>
      </c>
      <c r="C125" s="3115">
        <v>17</v>
      </c>
      <c r="D125" s="3156" t="s">
        <v>6381</v>
      </c>
      <c r="E125" s="3157" t="s">
        <v>6443</v>
      </c>
      <c r="F125" s="3126" t="s">
        <v>7744</v>
      </c>
      <c r="G125" s="3115">
        <v>10.7</v>
      </c>
      <c r="H125" s="3114">
        <v>108.29</v>
      </c>
      <c r="I125" s="3115">
        <v>10.7</v>
      </c>
      <c r="J125" s="3114">
        <v>108.29</v>
      </c>
    </row>
    <row r="126" spans="1:10" ht="15">
      <c r="A126" s="3154">
        <v>122</v>
      </c>
      <c r="B126" s="3115" t="s">
        <v>6531</v>
      </c>
      <c r="C126" s="3115">
        <v>17</v>
      </c>
      <c r="D126" s="3156" t="s">
        <v>6381</v>
      </c>
      <c r="E126" s="3157" t="s">
        <v>6443</v>
      </c>
      <c r="F126" s="3126" t="s">
        <v>7745</v>
      </c>
      <c r="G126" s="3115">
        <v>10.7</v>
      </c>
      <c r="H126" s="3114">
        <v>108.29</v>
      </c>
      <c r="I126" s="3115">
        <v>10.7</v>
      </c>
      <c r="J126" s="3114">
        <v>108.29</v>
      </c>
    </row>
    <row r="127" spans="1:10" ht="15">
      <c r="A127" s="3154">
        <v>123</v>
      </c>
      <c r="B127" s="3115" t="s">
        <v>6532</v>
      </c>
      <c r="C127" s="3115">
        <v>17</v>
      </c>
      <c r="D127" s="3156" t="s">
        <v>6381</v>
      </c>
      <c r="E127" s="3157" t="s">
        <v>6443</v>
      </c>
      <c r="F127" s="3126" t="s">
        <v>7746</v>
      </c>
      <c r="G127" s="3115">
        <v>10.7</v>
      </c>
      <c r="H127" s="3114">
        <v>108.29</v>
      </c>
      <c r="I127" s="3115">
        <v>10.7</v>
      </c>
      <c r="J127" s="3114">
        <v>108.29</v>
      </c>
    </row>
    <row r="128" spans="1:10" ht="15">
      <c r="A128" s="3154">
        <v>124</v>
      </c>
      <c r="B128" s="3115" t="s">
        <v>6533</v>
      </c>
      <c r="C128" s="3115">
        <v>17</v>
      </c>
      <c r="D128" s="3156" t="s">
        <v>6381</v>
      </c>
      <c r="E128" s="3157" t="s">
        <v>6443</v>
      </c>
      <c r="F128" s="3173" t="s">
        <v>7747</v>
      </c>
      <c r="G128" s="3115">
        <v>10.7</v>
      </c>
      <c r="H128" s="3114">
        <v>108.29</v>
      </c>
      <c r="I128" s="3115">
        <v>10.7</v>
      </c>
      <c r="J128" s="3114">
        <v>108.29</v>
      </c>
    </row>
    <row r="129" spans="1:10" ht="15">
      <c r="A129" s="3154">
        <v>125</v>
      </c>
      <c r="B129" s="3115" t="s">
        <v>6534</v>
      </c>
      <c r="C129" s="3115">
        <v>17</v>
      </c>
      <c r="D129" s="3156" t="s">
        <v>6381</v>
      </c>
      <c r="E129" s="3157" t="s">
        <v>6443</v>
      </c>
      <c r="F129" s="3126" t="s">
        <v>7748</v>
      </c>
      <c r="G129" s="3115">
        <v>10.7</v>
      </c>
      <c r="H129" s="3114">
        <v>108.29</v>
      </c>
      <c r="I129" s="3115">
        <v>10.7</v>
      </c>
      <c r="J129" s="3114">
        <v>108.29</v>
      </c>
    </row>
    <row r="130" spans="1:10" ht="15">
      <c r="A130" s="3154">
        <v>126</v>
      </c>
      <c r="B130" s="3115" t="s">
        <v>6535</v>
      </c>
      <c r="C130" s="3115">
        <v>17</v>
      </c>
      <c r="D130" s="3156" t="s">
        <v>6381</v>
      </c>
      <c r="E130" s="3157" t="s">
        <v>6443</v>
      </c>
      <c r="F130" s="3173" t="s">
        <v>7632</v>
      </c>
      <c r="G130" s="3115">
        <v>10.7</v>
      </c>
      <c r="H130" s="3114">
        <v>108.29</v>
      </c>
      <c r="I130" s="3115">
        <v>10.7</v>
      </c>
      <c r="J130" s="3114">
        <v>108.29</v>
      </c>
    </row>
    <row r="131" spans="1:10" ht="15">
      <c r="A131" s="3154">
        <v>127</v>
      </c>
      <c r="B131" s="3115" t="s">
        <v>6536</v>
      </c>
      <c r="C131" s="3115">
        <v>17</v>
      </c>
      <c r="D131" s="3156" t="s">
        <v>6381</v>
      </c>
      <c r="E131" s="3157" t="s">
        <v>6443</v>
      </c>
      <c r="F131" s="3126" t="s">
        <v>7749</v>
      </c>
      <c r="G131" s="3115">
        <v>10.7</v>
      </c>
      <c r="H131" s="3114">
        <v>108.29</v>
      </c>
      <c r="I131" s="3115">
        <v>10.7</v>
      </c>
      <c r="J131" s="3114">
        <v>108.29</v>
      </c>
    </row>
    <row r="132" spans="1:10" ht="15">
      <c r="A132" s="3154">
        <v>128</v>
      </c>
      <c r="B132" s="3115" t="s">
        <v>6537</v>
      </c>
      <c r="C132" s="3115">
        <v>17</v>
      </c>
      <c r="D132" s="3156" t="s">
        <v>6381</v>
      </c>
      <c r="E132" s="3157" t="s">
        <v>6443</v>
      </c>
      <c r="F132" s="3126" t="s">
        <v>7750</v>
      </c>
      <c r="G132" s="3115">
        <v>10.7</v>
      </c>
      <c r="H132" s="3114">
        <v>108.29</v>
      </c>
      <c r="I132" s="3115">
        <v>10.7</v>
      </c>
      <c r="J132" s="3114">
        <v>108.29</v>
      </c>
    </row>
    <row r="133" spans="1:10" ht="15">
      <c r="A133" s="3154">
        <v>129</v>
      </c>
      <c r="B133" s="3115" t="s">
        <v>6538</v>
      </c>
      <c r="C133" s="3115">
        <v>17</v>
      </c>
      <c r="D133" s="3156" t="s">
        <v>6381</v>
      </c>
      <c r="E133" s="3157" t="s">
        <v>6443</v>
      </c>
      <c r="F133" s="3126" t="s">
        <v>7751</v>
      </c>
      <c r="G133" s="3115">
        <v>10.7</v>
      </c>
      <c r="H133" s="3114">
        <v>108.29</v>
      </c>
      <c r="I133" s="3115">
        <v>10.7</v>
      </c>
      <c r="J133" s="3114">
        <v>108.29</v>
      </c>
    </row>
    <row r="134" spans="1:10" s="3125" customFormat="1" ht="15">
      <c r="A134" s="3154">
        <v>130</v>
      </c>
      <c r="B134" s="3115" t="s">
        <v>6539</v>
      </c>
      <c r="C134" s="3115">
        <v>17</v>
      </c>
      <c r="D134" s="3156" t="s">
        <v>6381</v>
      </c>
      <c r="E134" s="3157" t="s">
        <v>6443</v>
      </c>
      <c r="F134" s="3126" t="s">
        <v>7752</v>
      </c>
      <c r="G134" s="3115">
        <v>9.3000000000000007</v>
      </c>
      <c r="H134" s="3114">
        <v>94.02</v>
      </c>
      <c r="I134" s="3115">
        <v>9.3000000000000007</v>
      </c>
      <c r="J134" s="3114">
        <v>94.02</v>
      </c>
    </row>
    <row r="135" spans="1:10" ht="15">
      <c r="A135" s="3154">
        <v>131</v>
      </c>
      <c r="B135" s="3115" t="s">
        <v>6540</v>
      </c>
      <c r="C135" s="3115">
        <v>17</v>
      </c>
      <c r="D135" s="3156" t="s">
        <v>6381</v>
      </c>
      <c r="E135" s="3157" t="s">
        <v>6443</v>
      </c>
      <c r="F135" s="3126" t="s">
        <v>7753</v>
      </c>
      <c r="G135" s="3115">
        <v>10.7</v>
      </c>
      <c r="H135" s="3114">
        <v>108.29</v>
      </c>
      <c r="I135" s="3115">
        <v>10.7</v>
      </c>
      <c r="J135" s="3114">
        <v>108.29</v>
      </c>
    </row>
    <row r="136" spans="1:10" ht="15">
      <c r="A136" s="3154">
        <v>132</v>
      </c>
      <c r="B136" s="3115" t="s">
        <v>6541</v>
      </c>
      <c r="C136" s="3115">
        <v>17</v>
      </c>
      <c r="D136" s="3156" t="s">
        <v>6381</v>
      </c>
      <c r="E136" s="3157" t="s">
        <v>6443</v>
      </c>
      <c r="F136" s="3126" t="s">
        <v>7754</v>
      </c>
      <c r="G136" s="3115">
        <v>10.7</v>
      </c>
      <c r="H136" s="3114">
        <v>108.29</v>
      </c>
      <c r="I136" s="3115">
        <v>10.7</v>
      </c>
      <c r="J136" s="3114">
        <v>108.29</v>
      </c>
    </row>
    <row r="137" spans="1:10" ht="15">
      <c r="A137" s="3154">
        <v>133</v>
      </c>
      <c r="B137" s="3115" t="s">
        <v>6542</v>
      </c>
      <c r="C137" s="3115">
        <v>17</v>
      </c>
      <c r="D137" s="3156" t="s">
        <v>6381</v>
      </c>
      <c r="E137" s="3157" t="s">
        <v>6443</v>
      </c>
      <c r="F137" s="3126" t="s">
        <v>7755</v>
      </c>
      <c r="G137" s="3115">
        <v>10.7</v>
      </c>
      <c r="H137" s="3114">
        <v>108.29</v>
      </c>
      <c r="I137" s="3115">
        <v>10.7</v>
      </c>
      <c r="J137" s="3114">
        <v>108.29</v>
      </c>
    </row>
    <row r="138" spans="1:10" ht="15">
      <c r="A138" s="3154">
        <v>134</v>
      </c>
      <c r="B138" s="3115" t="s">
        <v>6543</v>
      </c>
      <c r="C138" s="3115">
        <v>17</v>
      </c>
      <c r="D138" s="3156" t="s">
        <v>6381</v>
      </c>
      <c r="E138" s="3157" t="s">
        <v>6443</v>
      </c>
      <c r="F138" s="3126" t="s">
        <v>7756</v>
      </c>
      <c r="G138" s="3115">
        <v>10.7</v>
      </c>
      <c r="H138" s="3114">
        <v>108.29</v>
      </c>
      <c r="I138" s="3115">
        <v>10.7</v>
      </c>
      <c r="J138" s="3114">
        <v>108.29</v>
      </c>
    </row>
    <row r="139" spans="1:10" ht="15">
      <c r="A139" s="3154">
        <v>135</v>
      </c>
      <c r="B139" s="3115" t="s">
        <v>6544</v>
      </c>
      <c r="C139" s="3115">
        <v>17</v>
      </c>
      <c r="D139" s="3156" t="s">
        <v>6381</v>
      </c>
      <c r="E139" s="3157" t="s">
        <v>6443</v>
      </c>
      <c r="F139" s="3126" t="s">
        <v>7757</v>
      </c>
      <c r="G139" s="3115">
        <v>10.7</v>
      </c>
      <c r="H139" s="3114">
        <v>108.29</v>
      </c>
      <c r="I139" s="3115">
        <v>10.7</v>
      </c>
      <c r="J139" s="3114">
        <v>108.29</v>
      </c>
    </row>
    <row r="140" spans="1:10" ht="15">
      <c r="A140" s="3154">
        <v>136</v>
      </c>
      <c r="B140" s="3115" t="s">
        <v>6545</v>
      </c>
      <c r="C140" s="3115">
        <v>17</v>
      </c>
      <c r="D140" s="3156" t="s">
        <v>6381</v>
      </c>
      <c r="E140" s="3157" t="s">
        <v>6443</v>
      </c>
      <c r="F140" s="3126" t="s">
        <v>7758</v>
      </c>
      <c r="G140" s="3115">
        <v>10.7</v>
      </c>
      <c r="H140" s="3114">
        <v>108.29</v>
      </c>
      <c r="I140" s="3115">
        <v>10.7</v>
      </c>
      <c r="J140" s="3114">
        <v>108.29</v>
      </c>
    </row>
    <row r="141" spans="1:10" ht="15">
      <c r="A141" s="3154">
        <v>137</v>
      </c>
      <c r="B141" s="3115" t="s">
        <v>6546</v>
      </c>
      <c r="C141" s="3115">
        <v>17</v>
      </c>
      <c r="D141" s="3156" t="s">
        <v>6381</v>
      </c>
      <c r="E141" s="3157" t="s">
        <v>6443</v>
      </c>
      <c r="F141" s="3126" t="s">
        <v>7759</v>
      </c>
      <c r="G141" s="3115">
        <v>10.7</v>
      </c>
      <c r="H141" s="3114">
        <v>108.29</v>
      </c>
      <c r="I141" s="3115">
        <v>10.7</v>
      </c>
      <c r="J141" s="3114">
        <v>108.29</v>
      </c>
    </row>
    <row r="142" spans="1:10" ht="15">
      <c r="A142" s="3154">
        <v>138</v>
      </c>
      <c r="B142" s="3115" t="s">
        <v>6547</v>
      </c>
      <c r="C142" s="3115">
        <v>17</v>
      </c>
      <c r="D142" s="3156" t="s">
        <v>6381</v>
      </c>
      <c r="E142" s="3157" t="s">
        <v>6443</v>
      </c>
      <c r="F142" s="3126" t="s">
        <v>7760</v>
      </c>
      <c r="G142" s="3115">
        <v>10.7</v>
      </c>
      <c r="H142" s="3114">
        <v>108.29</v>
      </c>
      <c r="I142" s="3115">
        <v>10.7</v>
      </c>
      <c r="J142" s="3114">
        <v>108.29</v>
      </c>
    </row>
    <row r="143" spans="1:10" ht="15">
      <c r="A143" s="3154">
        <v>139</v>
      </c>
      <c r="B143" s="3115" t="s">
        <v>6548</v>
      </c>
      <c r="C143" s="3115">
        <v>17</v>
      </c>
      <c r="D143" s="3156" t="s">
        <v>6381</v>
      </c>
      <c r="E143" s="3157" t="s">
        <v>6443</v>
      </c>
      <c r="F143" s="3126" t="s">
        <v>7761</v>
      </c>
      <c r="G143" s="3115">
        <v>10.7</v>
      </c>
      <c r="H143" s="3114">
        <v>108.29</v>
      </c>
      <c r="I143" s="3115">
        <v>10.7</v>
      </c>
      <c r="J143" s="3114">
        <v>108.29</v>
      </c>
    </row>
    <row r="144" spans="1:10" ht="15">
      <c r="A144" s="3154">
        <v>140</v>
      </c>
      <c r="B144" s="3115" t="s">
        <v>6549</v>
      </c>
      <c r="C144" s="3115">
        <v>17</v>
      </c>
      <c r="D144" s="3156" t="s">
        <v>6381</v>
      </c>
      <c r="E144" s="3157" t="s">
        <v>6443</v>
      </c>
      <c r="F144" s="3126" t="s">
        <v>7762</v>
      </c>
      <c r="G144" s="3115">
        <v>10.7</v>
      </c>
      <c r="H144" s="3114">
        <v>108.29</v>
      </c>
      <c r="I144" s="3115">
        <v>10.7</v>
      </c>
      <c r="J144" s="3114">
        <v>108.29</v>
      </c>
    </row>
    <row r="145" spans="1:10" ht="15">
      <c r="A145" s="3154">
        <v>141</v>
      </c>
      <c r="B145" s="3115" t="s">
        <v>6550</v>
      </c>
      <c r="C145" s="3115">
        <v>17</v>
      </c>
      <c r="D145" s="3156" t="s">
        <v>6381</v>
      </c>
      <c r="E145" s="3157" t="s">
        <v>6443</v>
      </c>
      <c r="F145" s="3173" t="s">
        <v>7763</v>
      </c>
      <c r="G145" s="3115">
        <v>10.7</v>
      </c>
      <c r="H145" s="3114">
        <v>108.29</v>
      </c>
      <c r="I145" s="3115">
        <v>10.7</v>
      </c>
      <c r="J145" s="3114">
        <v>108.29</v>
      </c>
    </row>
    <row r="146" spans="1:10" ht="15">
      <c r="A146" s="3154">
        <v>142</v>
      </c>
      <c r="B146" s="3115" t="s">
        <v>6551</v>
      </c>
      <c r="C146" s="3115">
        <v>17</v>
      </c>
      <c r="D146" s="3156" t="s">
        <v>6381</v>
      </c>
      <c r="E146" s="3157" t="s">
        <v>6443</v>
      </c>
      <c r="F146" s="3126" t="s">
        <v>7764</v>
      </c>
      <c r="G146" s="3115">
        <v>10.7</v>
      </c>
      <c r="H146" s="3114">
        <v>108.29</v>
      </c>
      <c r="I146" s="3115">
        <v>10.7</v>
      </c>
      <c r="J146" s="3114">
        <v>108.29</v>
      </c>
    </row>
    <row r="147" spans="1:10" ht="15">
      <c r="A147" s="3154">
        <v>143</v>
      </c>
      <c r="B147" s="3115" t="s">
        <v>6552</v>
      </c>
      <c r="C147" s="3115">
        <v>17</v>
      </c>
      <c r="D147" s="3156" t="s">
        <v>6381</v>
      </c>
      <c r="E147" s="3157" t="s">
        <v>6443</v>
      </c>
      <c r="F147" s="3126" t="s">
        <v>7765</v>
      </c>
      <c r="G147" s="3115">
        <v>10.7</v>
      </c>
      <c r="H147" s="3114">
        <v>108.29</v>
      </c>
      <c r="I147" s="3115">
        <v>10.7</v>
      </c>
      <c r="J147" s="3114">
        <v>108.29</v>
      </c>
    </row>
    <row r="148" spans="1:10" ht="15">
      <c r="A148" s="3154">
        <v>144</v>
      </c>
      <c r="B148" s="3115" t="s">
        <v>6553</v>
      </c>
      <c r="C148" s="3115">
        <v>17</v>
      </c>
      <c r="D148" s="3156" t="s">
        <v>6381</v>
      </c>
      <c r="E148" s="3157" t="s">
        <v>6443</v>
      </c>
      <c r="F148" s="3126" t="s">
        <v>7766</v>
      </c>
      <c r="G148" s="3115">
        <v>10.7</v>
      </c>
      <c r="H148" s="3114">
        <v>108.29</v>
      </c>
      <c r="I148" s="3115">
        <v>10.7</v>
      </c>
      <c r="J148" s="3114">
        <v>108.29</v>
      </c>
    </row>
    <row r="149" spans="1:10" ht="15">
      <c r="A149" s="3154">
        <v>145</v>
      </c>
      <c r="B149" s="3115" t="s">
        <v>6554</v>
      </c>
      <c r="C149" s="3115">
        <v>17</v>
      </c>
      <c r="D149" s="3156" t="s">
        <v>6381</v>
      </c>
      <c r="E149" s="3157" t="s">
        <v>6443</v>
      </c>
      <c r="F149" s="3126" t="s">
        <v>7767</v>
      </c>
      <c r="G149" s="3115">
        <v>10.7</v>
      </c>
      <c r="H149" s="3114">
        <v>108.29</v>
      </c>
      <c r="I149" s="3115">
        <v>10.7</v>
      </c>
      <c r="J149" s="3114">
        <v>108.29</v>
      </c>
    </row>
    <row r="150" spans="1:10" ht="15">
      <c r="A150" s="3154">
        <v>146</v>
      </c>
      <c r="B150" s="3115" t="s">
        <v>6555</v>
      </c>
      <c r="C150" s="3115">
        <v>17</v>
      </c>
      <c r="D150" s="3156" t="s">
        <v>6381</v>
      </c>
      <c r="E150" s="3157" t="s">
        <v>6443</v>
      </c>
      <c r="F150" s="3126" t="s">
        <v>7768</v>
      </c>
      <c r="G150" s="3115">
        <v>9.3000000000000007</v>
      </c>
      <c r="H150" s="3114">
        <v>94.02</v>
      </c>
      <c r="I150" s="3115">
        <v>9.3000000000000007</v>
      </c>
      <c r="J150" s="3114">
        <v>94.02</v>
      </c>
    </row>
    <row r="151" spans="1:10" ht="15">
      <c r="A151" s="3154">
        <v>147</v>
      </c>
      <c r="B151" s="3115" t="s">
        <v>6556</v>
      </c>
      <c r="C151" s="3115">
        <v>17</v>
      </c>
      <c r="D151" s="3156" t="s">
        <v>6381</v>
      </c>
      <c r="E151" s="3157" t="s">
        <v>6443</v>
      </c>
      <c r="F151" s="3126" t="s">
        <v>7769</v>
      </c>
      <c r="G151" s="3115">
        <v>8.6999999999999993</v>
      </c>
      <c r="H151" s="3114">
        <v>87.85</v>
      </c>
      <c r="I151" s="3115">
        <v>8.6999999999999993</v>
      </c>
      <c r="J151" s="3114">
        <v>87.85</v>
      </c>
    </row>
    <row r="152" spans="1:10" ht="15">
      <c r="A152" s="3154">
        <v>148</v>
      </c>
      <c r="B152" s="3115" t="s">
        <v>6557</v>
      </c>
      <c r="C152" s="3115">
        <v>17</v>
      </c>
      <c r="D152" s="3156" t="s">
        <v>6381</v>
      </c>
      <c r="E152" s="3157" t="s">
        <v>6443</v>
      </c>
      <c r="F152" s="3126" t="s">
        <v>7770</v>
      </c>
      <c r="G152" s="3115">
        <v>8.6999999999999993</v>
      </c>
      <c r="H152" s="3114">
        <v>87.85</v>
      </c>
      <c r="I152" s="3115">
        <v>8.6999999999999993</v>
      </c>
      <c r="J152" s="3114">
        <v>87.85</v>
      </c>
    </row>
    <row r="153" spans="1:10" ht="15">
      <c r="A153" s="3154">
        <v>149</v>
      </c>
      <c r="B153" s="3115" t="s">
        <v>6558</v>
      </c>
      <c r="C153" s="3115">
        <v>17</v>
      </c>
      <c r="D153" s="3156" t="s">
        <v>6381</v>
      </c>
      <c r="E153" s="3157" t="s">
        <v>6443</v>
      </c>
      <c r="F153" s="3126" t="s">
        <v>7771</v>
      </c>
      <c r="G153" s="3115">
        <v>8.6999999999999993</v>
      </c>
      <c r="H153" s="3114">
        <v>87.85</v>
      </c>
      <c r="I153" s="3115">
        <v>8.6999999999999993</v>
      </c>
      <c r="J153" s="3114">
        <v>87.85</v>
      </c>
    </row>
    <row r="154" spans="1:10" ht="15">
      <c r="A154" s="3154">
        <v>150</v>
      </c>
      <c r="B154" s="3115" t="s">
        <v>6559</v>
      </c>
      <c r="C154" s="3115">
        <v>17</v>
      </c>
      <c r="D154" s="3156" t="s">
        <v>6381</v>
      </c>
      <c r="E154" s="3157" t="s">
        <v>6443</v>
      </c>
      <c r="F154" s="3126" t="s">
        <v>7772</v>
      </c>
      <c r="G154" s="3115">
        <v>8.6999999999999993</v>
      </c>
      <c r="H154" s="3114">
        <v>87.85</v>
      </c>
      <c r="I154" s="3115">
        <v>8.6999999999999993</v>
      </c>
      <c r="J154" s="3114">
        <v>87.85</v>
      </c>
    </row>
    <row r="155" spans="1:10" ht="15">
      <c r="A155" s="3154">
        <v>151</v>
      </c>
      <c r="B155" s="3115" t="s">
        <v>6560</v>
      </c>
      <c r="C155" s="3115">
        <v>17</v>
      </c>
      <c r="D155" s="3156" t="s">
        <v>6381</v>
      </c>
      <c r="E155" s="3157" t="s">
        <v>6443</v>
      </c>
      <c r="F155" s="3126" t="s">
        <v>7773</v>
      </c>
      <c r="G155" s="3115">
        <v>8.6999999999999993</v>
      </c>
      <c r="H155" s="3114">
        <v>87.85</v>
      </c>
      <c r="I155" s="3115">
        <v>8.6999999999999993</v>
      </c>
      <c r="J155" s="3114">
        <v>87.85</v>
      </c>
    </row>
    <row r="156" spans="1:10" ht="15">
      <c r="A156" s="3154">
        <v>152</v>
      </c>
      <c r="B156" s="3115" t="s">
        <v>6561</v>
      </c>
      <c r="C156" s="3115">
        <v>17</v>
      </c>
      <c r="D156" s="3156" t="s">
        <v>6381</v>
      </c>
      <c r="E156" s="3157" t="s">
        <v>6443</v>
      </c>
      <c r="F156" s="3126" t="s">
        <v>7774</v>
      </c>
      <c r="G156" s="3115">
        <v>8.6999999999999993</v>
      </c>
      <c r="H156" s="3114">
        <v>87.85</v>
      </c>
      <c r="I156" s="3115">
        <v>8.6999999999999993</v>
      </c>
      <c r="J156" s="3114">
        <v>87.85</v>
      </c>
    </row>
    <row r="157" spans="1:10" ht="15">
      <c r="A157" s="3154">
        <v>153</v>
      </c>
      <c r="B157" s="3115" t="s">
        <v>6562</v>
      </c>
      <c r="C157" s="3115">
        <v>17</v>
      </c>
      <c r="D157" s="3156" t="s">
        <v>6381</v>
      </c>
      <c r="E157" s="3157" t="s">
        <v>6443</v>
      </c>
      <c r="F157" s="3126" t="s">
        <v>7775</v>
      </c>
      <c r="G157" s="3115">
        <v>8.6999999999999993</v>
      </c>
      <c r="H157" s="3114">
        <v>87.85</v>
      </c>
      <c r="I157" s="3115">
        <v>8.6999999999999993</v>
      </c>
      <c r="J157" s="3114">
        <v>87.85</v>
      </c>
    </row>
    <row r="158" spans="1:10" ht="15">
      <c r="A158" s="3154">
        <v>154</v>
      </c>
      <c r="B158" s="3115" t="s">
        <v>6563</v>
      </c>
      <c r="C158" s="3115">
        <v>17</v>
      </c>
      <c r="D158" s="3156" t="s">
        <v>6381</v>
      </c>
      <c r="E158" s="3157" t="s">
        <v>6443</v>
      </c>
      <c r="F158" s="3126" t="s">
        <v>7776</v>
      </c>
      <c r="G158" s="3115">
        <v>8.6999999999999993</v>
      </c>
      <c r="H158" s="3114">
        <v>87.85</v>
      </c>
      <c r="I158" s="3115">
        <v>8.6999999999999993</v>
      </c>
      <c r="J158" s="3114">
        <v>87.85</v>
      </c>
    </row>
    <row r="159" spans="1:10" ht="15">
      <c r="A159" s="3154">
        <v>155</v>
      </c>
      <c r="B159" s="3115" t="s">
        <v>6564</v>
      </c>
      <c r="C159" s="3115">
        <v>17</v>
      </c>
      <c r="D159" s="3156" t="s">
        <v>6381</v>
      </c>
      <c r="E159" s="3157" t="s">
        <v>6443</v>
      </c>
      <c r="F159" s="3126" t="s">
        <v>7777</v>
      </c>
      <c r="G159" s="3115">
        <v>8.6999999999999993</v>
      </c>
      <c r="H159" s="3114">
        <v>87.85</v>
      </c>
      <c r="I159" s="3115">
        <v>8.6999999999999993</v>
      </c>
      <c r="J159" s="3114">
        <v>87.85</v>
      </c>
    </row>
    <row r="160" spans="1:10" ht="15">
      <c r="A160" s="3154">
        <v>156</v>
      </c>
      <c r="B160" s="3115" t="s">
        <v>6565</v>
      </c>
      <c r="C160" s="3115">
        <v>17</v>
      </c>
      <c r="D160" s="3156" t="s">
        <v>6381</v>
      </c>
      <c r="E160" s="3157" t="s">
        <v>6443</v>
      </c>
      <c r="F160" s="3126" t="s">
        <v>7778</v>
      </c>
      <c r="G160" s="3115">
        <v>8.6999999999999993</v>
      </c>
      <c r="H160" s="3114">
        <v>87.85</v>
      </c>
      <c r="I160" s="3115">
        <v>8.6999999999999993</v>
      </c>
      <c r="J160" s="3114">
        <v>87.85</v>
      </c>
    </row>
    <row r="161" spans="1:10" ht="15">
      <c r="A161" s="3154">
        <v>157</v>
      </c>
      <c r="B161" s="3115" t="s">
        <v>6566</v>
      </c>
      <c r="C161" s="3115">
        <v>17</v>
      </c>
      <c r="D161" s="3156" t="s">
        <v>6381</v>
      </c>
      <c r="E161" s="3157" t="s">
        <v>6443</v>
      </c>
      <c r="F161" s="3126" t="s">
        <v>7779</v>
      </c>
      <c r="G161" s="3115">
        <v>8.6999999999999993</v>
      </c>
      <c r="H161" s="3114">
        <v>87.85</v>
      </c>
      <c r="I161" s="3115">
        <v>8.6999999999999993</v>
      </c>
      <c r="J161" s="3114">
        <v>87.85</v>
      </c>
    </row>
    <row r="162" spans="1:10" ht="15">
      <c r="A162" s="3154">
        <v>158</v>
      </c>
      <c r="B162" s="3115" t="s">
        <v>6567</v>
      </c>
      <c r="C162" s="3115">
        <v>17</v>
      </c>
      <c r="D162" s="3156" t="s">
        <v>6381</v>
      </c>
      <c r="E162" s="3157" t="s">
        <v>6443</v>
      </c>
      <c r="F162" s="3126" t="s">
        <v>7780</v>
      </c>
      <c r="G162" s="3115">
        <v>8.6999999999999993</v>
      </c>
      <c r="H162" s="3114">
        <v>87.85</v>
      </c>
      <c r="I162" s="3115">
        <v>8.6999999999999993</v>
      </c>
      <c r="J162" s="3114">
        <v>87.85</v>
      </c>
    </row>
    <row r="163" spans="1:10" ht="15">
      <c r="A163" s="3154">
        <v>159</v>
      </c>
      <c r="B163" s="3115" t="s">
        <v>6568</v>
      </c>
      <c r="C163" s="3115">
        <v>17</v>
      </c>
      <c r="D163" s="3156" t="s">
        <v>6381</v>
      </c>
      <c r="E163" s="3157" t="s">
        <v>6443</v>
      </c>
      <c r="F163" s="3126" t="s">
        <v>7781</v>
      </c>
      <c r="G163" s="3115">
        <v>8.6999999999999993</v>
      </c>
      <c r="H163" s="3114">
        <v>87.85</v>
      </c>
      <c r="I163" s="3115">
        <v>8.6999999999999993</v>
      </c>
      <c r="J163" s="3114">
        <v>87.85</v>
      </c>
    </row>
    <row r="164" spans="1:10" ht="15">
      <c r="A164" s="3154">
        <v>160</v>
      </c>
      <c r="B164" s="3115" t="s">
        <v>6569</v>
      </c>
      <c r="C164" s="3115">
        <v>17</v>
      </c>
      <c r="D164" s="3156" t="s">
        <v>6381</v>
      </c>
      <c r="E164" s="3157" t="s">
        <v>6443</v>
      </c>
      <c r="F164" s="3173" t="s">
        <v>7632</v>
      </c>
      <c r="G164" s="3115">
        <v>8.6999999999999993</v>
      </c>
      <c r="H164" s="3114">
        <v>87.85</v>
      </c>
      <c r="I164" s="3115">
        <v>8.6999999999999993</v>
      </c>
      <c r="J164" s="3114">
        <v>87.85</v>
      </c>
    </row>
    <row r="165" spans="1:10" ht="15">
      <c r="A165" s="3154">
        <v>161</v>
      </c>
      <c r="B165" s="3115" t="s">
        <v>6570</v>
      </c>
      <c r="C165" s="3115">
        <v>17</v>
      </c>
      <c r="D165" s="3156" t="s">
        <v>6381</v>
      </c>
      <c r="E165" s="3157" t="s">
        <v>6443</v>
      </c>
      <c r="F165" s="3126" t="s">
        <v>7782</v>
      </c>
      <c r="G165" s="3115">
        <v>8.6999999999999993</v>
      </c>
      <c r="H165" s="3114">
        <v>87.85</v>
      </c>
      <c r="I165" s="3115">
        <v>8.6999999999999993</v>
      </c>
      <c r="J165" s="3114">
        <v>87.85</v>
      </c>
    </row>
    <row r="166" spans="1:10" ht="15">
      <c r="A166" s="3154">
        <v>162</v>
      </c>
      <c r="B166" s="3115" t="s">
        <v>6571</v>
      </c>
      <c r="C166" s="3115">
        <v>17</v>
      </c>
      <c r="D166" s="3156" t="s">
        <v>6381</v>
      </c>
      <c r="E166" s="3157" t="s">
        <v>6443</v>
      </c>
      <c r="F166" s="3126" t="s">
        <v>7783</v>
      </c>
      <c r="G166" s="3115">
        <v>8.6999999999999993</v>
      </c>
      <c r="H166" s="3114">
        <v>88.05</v>
      </c>
      <c r="I166" s="3115">
        <v>8.6999999999999993</v>
      </c>
      <c r="J166" s="3114">
        <v>88.05</v>
      </c>
    </row>
    <row r="167" spans="1:10" ht="15">
      <c r="A167" s="3154">
        <v>163</v>
      </c>
      <c r="B167" s="3115" t="s">
        <v>6572</v>
      </c>
      <c r="C167" s="3115">
        <v>17</v>
      </c>
      <c r="D167" s="3156" t="s">
        <v>6381</v>
      </c>
      <c r="E167" s="3126" t="s">
        <v>7601</v>
      </c>
      <c r="F167" s="3126" t="s">
        <v>7784</v>
      </c>
      <c r="G167" s="3115">
        <v>10.8</v>
      </c>
      <c r="H167" s="3114">
        <v>110.15</v>
      </c>
      <c r="I167" s="3115">
        <v>10.8</v>
      </c>
      <c r="J167" s="3114">
        <v>110.15</v>
      </c>
    </row>
    <row r="168" spans="1:10" ht="15">
      <c r="A168" s="3154">
        <v>164</v>
      </c>
      <c r="B168" s="3115" t="s">
        <v>6573</v>
      </c>
      <c r="C168" s="3115">
        <v>17</v>
      </c>
      <c r="D168" s="3156" t="s">
        <v>6381</v>
      </c>
      <c r="E168" s="3126" t="s">
        <v>7601</v>
      </c>
      <c r="F168" s="3126" t="s">
        <v>7785</v>
      </c>
      <c r="G168" s="3115">
        <v>10.8</v>
      </c>
      <c r="H168" s="3114">
        <v>110.15</v>
      </c>
      <c r="I168" s="3115">
        <v>10.8</v>
      </c>
      <c r="J168" s="3114">
        <v>110.15</v>
      </c>
    </row>
    <row r="169" spans="1:10" ht="15">
      <c r="A169" s="3154">
        <v>165</v>
      </c>
      <c r="B169" s="3115" t="s">
        <v>6574</v>
      </c>
      <c r="C169" s="3115">
        <v>17</v>
      </c>
      <c r="D169" s="3156" t="s">
        <v>6381</v>
      </c>
      <c r="E169" s="3126" t="s">
        <v>7601</v>
      </c>
      <c r="F169" s="3126" t="s">
        <v>7786</v>
      </c>
      <c r="G169" s="3115">
        <v>10.8</v>
      </c>
      <c r="H169" s="3114">
        <v>110.15</v>
      </c>
      <c r="I169" s="3115">
        <v>10.8</v>
      </c>
      <c r="J169" s="3114">
        <v>110.15</v>
      </c>
    </row>
    <row r="170" spans="1:10" ht="15">
      <c r="A170" s="3154">
        <v>166</v>
      </c>
      <c r="B170" s="3115" t="s">
        <v>6575</v>
      </c>
      <c r="C170" s="3115">
        <v>17</v>
      </c>
      <c r="D170" s="3156" t="s">
        <v>6381</v>
      </c>
      <c r="E170" s="3126" t="s">
        <v>7601</v>
      </c>
      <c r="F170" s="3173" t="s">
        <v>7632</v>
      </c>
      <c r="G170" s="3115">
        <v>10.8</v>
      </c>
      <c r="H170" s="3114">
        <v>110.15</v>
      </c>
      <c r="I170" s="3115">
        <v>10.8</v>
      </c>
      <c r="J170" s="3114">
        <v>110.15</v>
      </c>
    </row>
    <row r="171" spans="1:10" ht="15">
      <c r="A171" s="3154">
        <v>167</v>
      </c>
      <c r="B171" s="3115" t="s">
        <v>6576</v>
      </c>
      <c r="C171" s="3115">
        <v>17</v>
      </c>
      <c r="D171" s="3156" t="s">
        <v>6381</v>
      </c>
      <c r="E171" s="3126" t="s">
        <v>7601</v>
      </c>
      <c r="F171" s="3126" t="s">
        <v>7655</v>
      </c>
      <c r="G171" s="3115">
        <v>10.8</v>
      </c>
      <c r="H171" s="3114">
        <v>110.15</v>
      </c>
      <c r="I171" s="3115">
        <v>10.8</v>
      </c>
      <c r="J171" s="3114">
        <v>110.15</v>
      </c>
    </row>
    <row r="172" spans="1:10" ht="15">
      <c r="A172" s="3154">
        <v>168</v>
      </c>
      <c r="B172" s="3115" t="s">
        <v>6577</v>
      </c>
      <c r="C172" s="3115">
        <v>17</v>
      </c>
      <c r="D172" s="3156" t="s">
        <v>6381</v>
      </c>
      <c r="E172" s="3126" t="s">
        <v>7601</v>
      </c>
      <c r="F172" s="3126" t="s">
        <v>7787</v>
      </c>
      <c r="G172" s="3115">
        <v>10.8</v>
      </c>
      <c r="H172" s="3114">
        <v>110.15</v>
      </c>
      <c r="I172" s="3115">
        <v>10.8</v>
      </c>
      <c r="J172" s="3114">
        <v>110.15</v>
      </c>
    </row>
    <row r="173" spans="1:10" ht="15">
      <c r="A173" s="3154">
        <v>169</v>
      </c>
      <c r="B173" s="3115" t="s">
        <v>6578</v>
      </c>
      <c r="C173" s="3115">
        <v>17</v>
      </c>
      <c r="D173" s="3156" t="s">
        <v>6381</v>
      </c>
      <c r="E173" s="3126" t="s">
        <v>7601</v>
      </c>
      <c r="F173" s="3126" t="s">
        <v>7788</v>
      </c>
      <c r="G173" s="3115">
        <v>10.8</v>
      </c>
      <c r="H173" s="3114">
        <v>110.15</v>
      </c>
      <c r="I173" s="3115">
        <v>10.8</v>
      </c>
      <c r="J173" s="3114">
        <v>110.15</v>
      </c>
    </row>
    <row r="174" spans="1:10" ht="15">
      <c r="A174" s="3154">
        <v>170</v>
      </c>
      <c r="B174" s="3115" t="s">
        <v>6579</v>
      </c>
      <c r="C174" s="3115">
        <v>17</v>
      </c>
      <c r="D174" s="3156" t="s">
        <v>6381</v>
      </c>
      <c r="E174" s="3126" t="s">
        <v>7601</v>
      </c>
      <c r="F174" s="3126" t="s">
        <v>7789</v>
      </c>
      <c r="G174" s="3115">
        <v>10.8</v>
      </c>
      <c r="H174" s="3114">
        <v>110.15</v>
      </c>
      <c r="I174" s="3115">
        <v>10.8</v>
      </c>
      <c r="J174" s="3114">
        <v>110.15</v>
      </c>
    </row>
    <row r="175" spans="1:10" ht="15">
      <c r="A175" s="3154">
        <v>171</v>
      </c>
      <c r="B175" s="3115" t="s">
        <v>6580</v>
      </c>
      <c r="C175" s="3115">
        <v>17</v>
      </c>
      <c r="D175" s="3156" t="s">
        <v>6381</v>
      </c>
      <c r="E175" s="3126" t="s">
        <v>7601</v>
      </c>
      <c r="F175" s="3126" t="s">
        <v>7790</v>
      </c>
      <c r="G175" s="3115">
        <v>10.8</v>
      </c>
      <c r="H175" s="3114">
        <v>110.15</v>
      </c>
      <c r="I175" s="3115">
        <v>10.8</v>
      </c>
      <c r="J175" s="3114">
        <v>110.15</v>
      </c>
    </row>
    <row r="176" spans="1:10" ht="15">
      <c r="A176" s="3154">
        <v>172</v>
      </c>
      <c r="B176" s="3115" t="s">
        <v>6581</v>
      </c>
      <c r="C176" s="3115">
        <v>17</v>
      </c>
      <c r="D176" s="3156" t="s">
        <v>6381</v>
      </c>
      <c r="E176" s="3126" t="s">
        <v>7601</v>
      </c>
      <c r="F176" s="3126" t="s">
        <v>7791</v>
      </c>
      <c r="G176" s="3115">
        <v>10.8</v>
      </c>
      <c r="H176" s="3114">
        <v>110.15</v>
      </c>
      <c r="I176" s="3115">
        <v>10.8</v>
      </c>
      <c r="J176" s="3114">
        <v>110.15</v>
      </c>
    </row>
    <row r="177" spans="1:10" ht="15">
      <c r="A177" s="3154">
        <v>173</v>
      </c>
      <c r="B177" s="3115" t="s">
        <v>6582</v>
      </c>
      <c r="C177" s="3115">
        <v>17</v>
      </c>
      <c r="D177" s="3156" t="s">
        <v>6381</v>
      </c>
      <c r="E177" s="3126" t="s">
        <v>7601</v>
      </c>
      <c r="F177" s="3126" t="s">
        <v>7792</v>
      </c>
      <c r="G177" s="3115">
        <v>10.8</v>
      </c>
      <c r="H177" s="3114">
        <v>110.15</v>
      </c>
      <c r="I177" s="3115">
        <v>10.8</v>
      </c>
      <c r="J177" s="3114">
        <v>110.15</v>
      </c>
    </row>
    <row r="178" spans="1:10" ht="15">
      <c r="A178" s="3154">
        <v>174</v>
      </c>
      <c r="B178" s="3115" t="s">
        <v>6583</v>
      </c>
      <c r="C178" s="3115">
        <v>17</v>
      </c>
      <c r="D178" s="3156" t="s">
        <v>6381</v>
      </c>
      <c r="E178" s="3126" t="s">
        <v>7601</v>
      </c>
      <c r="F178" s="3126" t="s">
        <v>7793</v>
      </c>
      <c r="G178" s="3115">
        <v>10.8</v>
      </c>
      <c r="H178" s="3114">
        <v>110.15</v>
      </c>
      <c r="I178" s="3115">
        <v>10.8</v>
      </c>
      <c r="J178" s="3114">
        <v>110.15</v>
      </c>
    </row>
    <row r="179" spans="1:10" ht="15">
      <c r="A179" s="3154">
        <v>175</v>
      </c>
      <c r="B179" s="3115" t="s">
        <v>6584</v>
      </c>
      <c r="C179" s="3115">
        <v>17</v>
      </c>
      <c r="D179" s="3156" t="s">
        <v>6381</v>
      </c>
      <c r="E179" s="3126" t="s">
        <v>7601</v>
      </c>
      <c r="F179" s="3126" t="s">
        <v>7794</v>
      </c>
      <c r="G179" s="3115">
        <v>10.8</v>
      </c>
      <c r="H179" s="3114">
        <v>110.15</v>
      </c>
      <c r="I179" s="3115">
        <v>10.8</v>
      </c>
      <c r="J179" s="3114">
        <v>110.15</v>
      </c>
    </row>
    <row r="180" spans="1:10" ht="15">
      <c r="A180" s="3154">
        <v>176</v>
      </c>
      <c r="B180" s="3115" t="s">
        <v>6585</v>
      </c>
      <c r="C180" s="3115">
        <v>17</v>
      </c>
      <c r="D180" s="3156" t="s">
        <v>6381</v>
      </c>
      <c r="E180" s="3126" t="s">
        <v>7601</v>
      </c>
      <c r="F180" s="3126" t="s">
        <v>7795</v>
      </c>
      <c r="G180" s="3115">
        <v>10.8</v>
      </c>
      <c r="H180" s="3114">
        <v>110.15</v>
      </c>
      <c r="I180" s="3115">
        <v>10.8</v>
      </c>
      <c r="J180" s="3114">
        <v>110.15</v>
      </c>
    </row>
    <row r="181" spans="1:10" ht="15">
      <c r="A181" s="3154">
        <v>177</v>
      </c>
      <c r="B181" s="3115" t="s">
        <v>6586</v>
      </c>
      <c r="C181" s="3115">
        <v>17</v>
      </c>
      <c r="D181" s="3156" t="s">
        <v>6381</v>
      </c>
      <c r="E181" s="3126" t="s">
        <v>7601</v>
      </c>
      <c r="F181" s="3126" t="s">
        <v>7796</v>
      </c>
      <c r="G181" s="3115">
        <v>10.8</v>
      </c>
      <c r="H181" s="3114">
        <v>110.15</v>
      </c>
      <c r="I181" s="3115">
        <v>10.8</v>
      </c>
      <c r="J181" s="3114">
        <v>110.15</v>
      </c>
    </row>
    <row r="182" spans="1:10" ht="15">
      <c r="A182" s="3154">
        <v>178</v>
      </c>
      <c r="B182" s="3115" t="s">
        <v>6587</v>
      </c>
      <c r="C182" s="3115">
        <v>17</v>
      </c>
      <c r="D182" s="3156" t="s">
        <v>6381</v>
      </c>
      <c r="E182" s="3126" t="s">
        <v>7601</v>
      </c>
      <c r="F182" s="3126" t="s">
        <v>7797</v>
      </c>
      <c r="G182" s="3115">
        <v>9.5</v>
      </c>
      <c r="H182" s="3114">
        <v>96.21</v>
      </c>
      <c r="I182" s="3115">
        <v>9.5</v>
      </c>
      <c r="J182" s="3114">
        <v>96.21</v>
      </c>
    </row>
    <row r="183" spans="1:10" s="3125" customFormat="1" ht="15">
      <c r="A183" s="3154">
        <v>179</v>
      </c>
      <c r="B183" s="3116" t="s">
        <v>6588</v>
      </c>
      <c r="C183" s="3116">
        <v>30</v>
      </c>
      <c r="D183" s="3156" t="s">
        <v>6381</v>
      </c>
      <c r="E183" s="3157" t="s">
        <v>6443</v>
      </c>
      <c r="F183" s="3115" t="s">
        <v>7626</v>
      </c>
      <c r="G183" s="3115">
        <v>4.8</v>
      </c>
      <c r="H183" s="3115">
        <v>107.91</v>
      </c>
      <c r="I183" s="3115"/>
      <c r="J183" s="3114">
        <v>107.91</v>
      </c>
    </row>
    <row r="184" spans="1:10" ht="15">
      <c r="A184" s="3154">
        <v>180</v>
      </c>
      <c r="B184" s="3115" t="s">
        <v>6589</v>
      </c>
      <c r="C184" s="3115">
        <v>30</v>
      </c>
      <c r="D184" s="3156" t="s">
        <v>6381</v>
      </c>
      <c r="E184" s="3126" t="s">
        <v>7600</v>
      </c>
      <c r="F184" s="3115" t="s">
        <v>7616</v>
      </c>
      <c r="G184" s="3115">
        <v>5.6</v>
      </c>
      <c r="H184" s="3115">
        <v>127.19</v>
      </c>
      <c r="I184" s="3115"/>
      <c r="J184" s="3114">
        <v>127.19</v>
      </c>
    </row>
    <row r="185" spans="1:10" ht="15">
      <c r="A185" s="3154">
        <v>181</v>
      </c>
      <c r="B185" s="3115" t="s">
        <v>6590</v>
      </c>
      <c r="C185" s="3115">
        <v>30</v>
      </c>
      <c r="D185" s="3156" t="s">
        <v>6381</v>
      </c>
      <c r="E185" s="3126" t="s">
        <v>7600</v>
      </c>
      <c r="F185" s="3115" t="s">
        <v>6591</v>
      </c>
      <c r="G185" s="3115">
        <v>5.6</v>
      </c>
      <c r="H185" s="3115">
        <v>127.19</v>
      </c>
      <c r="I185" s="3115"/>
      <c r="J185" s="3114">
        <v>127.19</v>
      </c>
    </row>
    <row r="186" spans="1:10" ht="15">
      <c r="A186" s="3154">
        <v>182</v>
      </c>
      <c r="B186" s="3115" t="s">
        <v>6592</v>
      </c>
      <c r="C186" s="3115">
        <v>30</v>
      </c>
      <c r="D186" s="3156" t="s">
        <v>6381</v>
      </c>
      <c r="E186" s="3126" t="s">
        <v>7600</v>
      </c>
      <c r="F186" s="3115" t="s">
        <v>6593</v>
      </c>
      <c r="G186" s="3115">
        <v>5.6</v>
      </c>
      <c r="H186" s="3115">
        <v>127.19</v>
      </c>
      <c r="I186" s="3115"/>
      <c r="J186" s="3114">
        <v>127.19</v>
      </c>
    </row>
    <row r="187" spans="1:10" ht="15">
      <c r="A187" s="3154">
        <v>183</v>
      </c>
      <c r="B187" s="3115" t="s">
        <v>6594</v>
      </c>
      <c r="C187" s="3115">
        <v>30</v>
      </c>
      <c r="D187" s="3156" t="s">
        <v>6381</v>
      </c>
      <c r="E187" s="3126" t="s">
        <v>7600</v>
      </c>
      <c r="F187" s="3115" t="s">
        <v>6595</v>
      </c>
      <c r="G187" s="3115">
        <v>5.6</v>
      </c>
      <c r="H187" s="3115">
        <v>127.19</v>
      </c>
      <c r="I187" s="3115"/>
      <c r="J187" s="3114">
        <v>127.19</v>
      </c>
    </row>
    <row r="188" spans="1:10" ht="15">
      <c r="A188" s="3154">
        <v>184</v>
      </c>
      <c r="B188" s="3115" t="s">
        <v>6596</v>
      </c>
      <c r="C188" s="3115">
        <v>30</v>
      </c>
      <c r="D188" s="3156" t="s">
        <v>6381</v>
      </c>
      <c r="E188" s="3126" t="s">
        <v>7600</v>
      </c>
      <c r="F188" s="3115" t="s">
        <v>6597</v>
      </c>
      <c r="G188" s="3115">
        <v>5.6</v>
      </c>
      <c r="H188" s="3115">
        <v>127.19</v>
      </c>
      <c r="I188" s="3115"/>
      <c r="J188" s="3114">
        <v>127.19</v>
      </c>
    </row>
    <row r="189" spans="1:10" ht="15">
      <c r="A189" s="3154">
        <v>185</v>
      </c>
      <c r="B189" s="3115" t="s">
        <v>6598</v>
      </c>
      <c r="C189" s="3115">
        <v>30</v>
      </c>
      <c r="D189" s="3156" t="s">
        <v>6381</v>
      </c>
      <c r="E189" s="3126" t="s">
        <v>7600</v>
      </c>
      <c r="F189" s="3115" t="s">
        <v>6599</v>
      </c>
      <c r="G189" s="3115">
        <v>5.6</v>
      </c>
      <c r="H189" s="3115">
        <v>127.19</v>
      </c>
      <c r="I189" s="3115"/>
      <c r="J189" s="3114">
        <v>127.19</v>
      </c>
    </row>
    <row r="190" spans="1:10" ht="15">
      <c r="A190" s="3154">
        <v>186</v>
      </c>
      <c r="B190" s="3115" t="s">
        <v>6600</v>
      </c>
      <c r="C190" s="3115">
        <v>30</v>
      </c>
      <c r="D190" s="3156" t="s">
        <v>6381</v>
      </c>
      <c r="E190" s="3126" t="s">
        <v>7600</v>
      </c>
      <c r="F190" s="3115" t="s">
        <v>6601</v>
      </c>
      <c r="G190" s="3115">
        <v>5.6</v>
      </c>
      <c r="H190" s="3115">
        <v>127.19</v>
      </c>
      <c r="I190" s="3115"/>
      <c r="J190" s="3114">
        <v>127.19</v>
      </c>
    </row>
    <row r="191" spans="1:10" ht="15">
      <c r="A191" s="3154">
        <v>187</v>
      </c>
      <c r="B191" s="3115" t="s">
        <v>6602</v>
      </c>
      <c r="C191" s="3115">
        <v>30</v>
      </c>
      <c r="D191" s="3156" t="s">
        <v>6381</v>
      </c>
      <c r="E191" s="3126" t="s">
        <v>7600</v>
      </c>
      <c r="F191" s="3115" t="s">
        <v>6603</v>
      </c>
      <c r="G191" s="3115">
        <v>5.6</v>
      </c>
      <c r="H191" s="3115">
        <v>127.19</v>
      </c>
      <c r="I191" s="3115"/>
      <c r="J191" s="3114">
        <v>127.19</v>
      </c>
    </row>
    <row r="192" spans="1:10" ht="15">
      <c r="A192" s="3154">
        <v>188</v>
      </c>
      <c r="B192" s="3115" t="s">
        <v>6604</v>
      </c>
      <c r="C192" s="3115">
        <v>30</v>
      </c>
      <c r="D192" s="3156" t="s">
        <v>6381</v>
      </c>
      <c r="E192" s="3126" t="s">
        <v>7600</v>
      </c>
      <c r="F192" s="3115" t="s">
        <v>6605</v>
      </c>
      <c r="G192" s="3115">
        <v>5.6</v>
      </c>
      <c r="H192" s="3115">
        <v>127.19</v>
      </c>
      <c r="I192" s="3115"/>
      <c r="J192" s="3114">
        <v>127.19</v>
      </c>
    </row>
    <row r="193" spans="1:10" ht="15">
      <c r="A193" s="3154">
        <v>189</v>
      </c>
      <c r="B193" s="3115" t="s">
        <v>6606</v>
      </c>
      <c r="C193" s="3115">
        <v>30</v>
      </c>
      <c r="D193" s="3156" t="s">
        <v>6381</v>
      </c>
      <c r="E193" s="3126" t="s">
        <v>7600</v>
      </c>
      <c r="F193" s="3115" t="s">
        <v>6607</v>
      </c>
      <c r="G193" s="3115">
        <v>5.6</v>
      </c>
      <c r="H193" s="3115">
        <v>127.19</v>
      </c>
      <c r="I193" s="3115"/>
      <c r="J193" s="3114">
        <v>127.19</v>
      </c>
    </row>
    <row r="194" spans="1:10" ht="15">
      <c r="A194" s="3154">
        <v>190</v>
      </c>
      <c r="B194" s="3115" t="s">
        <v>6608</v>
      </c>
      <c r="C194" s="3115">
        <v>30</v>
      </c>
      <c r="D194" s="3156" t="s">
        <v>6381</v>
      </c>
      <c r="E194" s="3126" t="s">
        <v>7600</v>
      </c>
      <c r="F194" s="3115" t="s">
        <v>6609</v>
      </c>
      <c r="G194" s="3115">
        <v>5.6</v>
      </c>
      <c r="H194" s="3115">
        <v>127.19</v>
      </c>
      <c r="I194" s="3115"/>
      <c r="J194" s="3114">
        <v>127.19</v>
      </c>
    </row>
    <row r="195" spans="1:10" ht="15">
      <c r="A195" s="3154">
        <v>191</v>
      </c>
      <c r="B195" s="3115" t="s">
        <v>6610</v>
      </c>
      <c r="C195" s="3115">
        <v>30</v>
      </c>
      <c r="D195" s="3156" t="s">
        <v>6381</v>
      </c>
      <c r="E195" s="3126" t="s">
        <v>7600</v>
      </c>
      <c r="F195" s="3115" t="s">
        <v>6611</v>
      </c>
      <c r="G195" s="3115">
        <v>5.6</v>
      </c>
      <c r="H195" s="3115">
        <v>127.19</v>
      </c>
      <c r="I195" s="3115"/>
      <c r="J195" s="3114">
        <v>127.19</v>
      </c>
    </row>
    <row r="196" spans="1:10" ht="15">
      <c r="A196" s="3154">
        <v>192</v>
      </c>
      <c r="B196" s="3115" t="s">
        <v>6612</v>
      </c>
      <c r="C196" s="3115">
        <v>30</v>
      </c>
      <c r="D196" s="3156" t="s">
        <v>6381</v>
      </c>
      <c r="E196" s="3126" t="s">
        <v>7600</v>
      </c>
      <c r="F196" s="3115" t="s">
        <v>6613</v>
      </c>
      <c r="G196" s="3115">
        <v>5.6</v>
      </c>
      <c r="H196" s="3115">
        <v>127.19</v>
      </c>
      <c r="I196" s="3115"/>
      <c r="J196" s="3114">
        <v>127.19</v>
      </c>
    </row>
    <row r="197" spans="1:10" ht="15">
      <c r="A197" s="3154">
        <v>193</v>
      </c>
      <c r="B197" s="3115" t="s">
        <v>6614</v>
      </c>
      <c r="C197" s="3115">
        <v>30</v>
      </c>
      <c r="D197" s="3156" t="s">
        <v>6381</v>
      </c>
      <c r="E197" s="3126" t="s">
        <v>7600</v>
      </c>
      <c r="F197" s="3115" t="s">
        <v>6615</v>
      </c>
      <c r="G197" s="3115">
        <v>5.6</v>
      </c>
      <c r="H197" s="3115">
        <v>127.19</v>
      </c>
      <c r="I197" s="3115"/>
      <c r="J197" s="3114">
        <v>127.19</v>
      </c>
    </row>
    <row r="198" spans="1:10" ht="15">
      <c r="A198" s="3154">
        <v>194</v>
      </c>
      <c r="B198" s="3115" t="s">
        <v>6616</v>
      </c>
      <c r="C198" s="3115">
        <v>30</v>
      </c>
      <c r="D198" s="3156" t="s">
        <v>6381</v>
      </c>
      <c r="E198" s="3126" t="s">
        <v>7600</v>
      </c>
      <c r="F198" s="3115" t="s">
        <v>6617</v>
      </c>
      <c r="G198" s="3115">
        <v>5.6</v>
      </c>
      <c r="H198" s="3115">
        <v>127.19</v>
      </c>
      <c r="I198" s="3115"/>
      <c r="J198" s="3114">
        <v>127.19</v>
      </c>
    </row>
    <row r="199" spans="1:10" ht="15">
      <c r="A199" s="3154">
        <v>195</v>
      </c>
      <c r="B199" s="3115" t="s">
        <v>6618</v>
      </c>
      <c r="C199" s="3115">
        <v>30</v>
      </c>
      <c r="D199" s="3156" t="s">
        <v>6381</v>
      </c>
      <c r="E199" s="3126" t="s">
        <v>7600</v>
      </c>
      <c r="F199" s="3115" t="s">
        <v>6619</v>
      </c>
      <c r="G199" s="3115">
        <v>5.6</v>
      </c>
      <c r="H199" s="3115">
        <v>127.19</v>
      </c>
      <c r="I199" s="3115"/>
      <c r="J199" s="3114">
        <v>127.19</v>
      </c>
    </row>
    <row r="200" spans="1:10" ht="15">
      <c r="A200" s="3154">
        <v>196</v>
      </c>
      <c r="B200" s="3115" t="s">
        <v>6620</v>
      </c>
      <c r="C200" s="3115">
        <v>30</v>
      </c>
      <c r="D200" s="3156" t="s">
        <v>6381</v>
      </c>
      <c r="E200" s="3126" t="s">
        <v>7600</v>
      </c>
      <c r="F200" s="3115" t="s">
        <v>6621</v>
      </c>
      <c r="G200" s="3115">
        <v>5.6</v>
      </c>
      <c r="H200" s="3115">
        <v>127.19</v>
      </c>
      <c r="I200" s="3115"/>
      <c r="J200" s="3114">
        <v>127.19</v>
      </c>
    </row>
    <row r="201" spans="1:10" ht="15">
      <c r="A201" s="3154">
        <v>197</v>
      </c>
      <c r="B201" s="3115" t="s">
        <v>6622</v>
      </c>
      <c r="C201" s="3115">
        <v>30</v>
      </c>
      <c r="D201" s="3156" t="s">
        <v>6381</v>
      </c>
      <c r="E201" s="3126" t="s">
        <v>7600</v>
      </c>
      <c r="F201" s="3115" t="s">
        <v>6623</v>
      </c>
      <c r="G201" s="3115">
        <v>5.6</v>
      </c>
      <c r="H201" s="3115">
        <v>127.19</v>
      </c>
      <c r="I201" s="3115"/>
      <c r="J201" s="3114">
        <v>127.19</v>
      </c>
    </row>
    <row r="202" spans="1:10" ht="15">
      <c r="A202" s="3154">
        <v>198</v>
      </c>
      <c r="B202" s="3115" t="s">
        <v>6624</v>
      </c>
      <c r="C202" s="3115">
        <v>30</v>
      </c>
      <c r="D202" s="3156" t="s">
        <v>6381</v>
      </c>
      <c r="E202" s="3126" t="s">
        <v>7600</v>
      </c>
      <c r="F202" s="3115" t="s">
        <v>6625</v>
      </c>
      <c r="G202" s="3115">
        <v>5.6</v>
      </c>
      <c r="H202" s="3115">
        <v>127.19</v>
      </c>
      <c r="I202" s="3115"/>
      <c r="J202" s="3114">
        <v>127.19</v>
      </c>
    </row>
    <row r="203" spans="1:10" ht="15">
      <c r="A203" s="3154">
        <v>199</v>
      </c>
      <c r="B203" s="3115" t="s">
        <v>6626</v>
      </c>
      <c r="C203" s="3115">
        <v>30</v>
      </c>
      <c r="D203" s="3156" t="s">
        <v>6381</v>
      </c>
      <c r="E203" s="3126" t="s">
        <v>7600</v>
      </c>
      <c r="F203" s="3115" t="s">
        <v>6627</v>
      </c>
      <c r="G203" s="3115">
        <v>5.6</v>
      </c>
      <c r="H203" s="3115">
        <v>127.19</v>
      </c>
      <c r="I203" s="3115"/>
      <c r="J203" s="3114">
        <v>127.19</v>
      </c>
    </row>
    <row r="204" spans="1:10" ht="15">
      <c r="A204" s="3154">
        <v>200</v>
      </c>
      <c r="B204" s="3115" t="s">
        <v>6628</v>
      </c>
      <c r="C204" s="3115">
        <v>30</v>
      </c>
      <c r="D204" s="3156" t="s">
        <v>6381</v>
      </c>
      <c r="E204" s="3126" t="s">
        <v>7600</v>
      </c>
      <c r="F204" s="3115" t="s">
        <v>6629</v>
      </c>
      <c r="G204" s="3115">
        <v>5.6</v>
      </c>
      <c r="H204" s="3115">
        <v>127.19</v>
      </c>
      <c r="I204" s="3115"/>
      <c r="J204" s="3114">
        <v>127.19</v>
      </c>
    </row>
    <row r="205" spans="1:10" ht="15">
      <c r="A205" s="3154">
        <v>201</v>
      </c>
      <c r="B205" s="3115" t="s">
        <v>6630</v>
      </c>
      <c r="C205" s="3115">
        <v>30</v>
      </c>
      <c r="D205" s="3156" t="s">
        <v>6381</v>
      </c>
      <c r="E205" s="3126" t="s">
        <v>7600</v>
      </c>
      <c r="F205" s="3115" t="s">
        <v>6631</v>
      </c>
      <c r="G205" s="3115">
        <v>5.6</v>
      </c>
      <c r="H205" s="3115">
        <v>127.19</v>
      </c>
      <c r="I205" s="3115"/>
      <c r="J205" s="3114">
        <v>127.19</v>
      </c>
    </row>
    <row r="206" spans="1:10" ht="15">
      <c r="A206" s="3154">
        <v>202</v>
      </c>
      <c r="B206" s="3115" t="s">
        <v>6632</v>
      </c>
      <c r="C206" s="3115">
        <v>30</v>
      </c>
      <c r="D206" s="3156" t="s">
        <v>6381</v>
      </c>
      <c r="E206" s="3126" t="s">
        <v>7600</v>
      </c>
      <c r="F206" s="3115" t="s">
        <v>6633</v>
      </c>
      <c r="G206" s="3115">
        <v>5.6</v>
      </c>
      <c r="H206" s="3115">
        <v>127.19</v>
      </c>
      <c r="I206" s="3115"/>
      <c r="J206" s="3114">
        <v>127.19</v>
      </c>
    </row>
    <row r="207" spans="1:10" ht="15">
      <c r="A207" s="3154">
        <v>203</v>
      </c>
      <c r="B207" s="3115" t="s">
        <v>6634</v>
      </c>
      <c r="C207" s="3115">
        <v>30</v>
      </c>
      <c r="D207" s="3156" t="s">
        <v>6381</v>
      </c>
      <c r="E207" s="3126" t="s">
        <v>7600</v>
      </c>
      <c r="F207" s="3115" t="s">
        <v>6635</v>
      </c>
      <c r="G207" s="3115">
        <v>5.6</v>
      </c>
      <c r="H207" s="3115">
        <v>127.19</v>
      </c>
      <c r="I207" s="3115"/>
      <c r="J207" s="3114">
        <v>127.19</v>
      </c>
    </row>
    <row r="208" spans="1:10" ht="15">
      <c r="A208" s="3154">
        <v>204</v>
      </c>
      <c r="B208" s="3115" t="s">
        <v>6636</v>
      </c>
      <c r="C208" s="3115">
        <v>30</v>
      </c>
      <c r="D208" s="3156" t="s">
        <v>6381</v>
      </c>
      <c r="E208" s="3126" t="s">
        <v>7600</v>
      </c>
      <c r="F208" s="3115" t="s">
        <v>6637</v>
      </c>
      <c r="G208" s="3115">
        <v>5.6</v>
      </c>
      <c r="H208" s="3115">
        <v>127.19</v>
      </c>
      <c r="I208" s="3115"/>
      <c r="J208" s="3114">
        <v>127.19</v>
      </c>
    </row>
    <row r="209" spans="1:10" ht="15">
      <c r="A209" s="3154">
        <v>205</v>
      </c>
      <c r="B209" s="3115" t="s">
        <v>6638</v>
      </c>
      <c r="C209" s="3115">
        <v>30</v>
      </c>
      <c r="D209" s="3156" t="s">
        <v>6381</v>
      </c>
      <c r="E209" s="3126" t="s">
        <v>7600</v>
      </c>
      <c r="F209" s="3115" t="s">
        <v>6639</v>
      </c>
      <c r="G209" s="3115">
        <v>5.6</v>
      </c>
      <c r="H209" s="3115">
        <v>127.19</v>
      </c>
      <c r="I209" s="3115"/>
      <c r="J209" s="3114">
        <v>127.19</v>
      </c>
    </row>
    <row r="210" spans="1:10" ht="15">
      <c r="A210" s="3154">
        <v>206</v>
      </c>
      <c r="B210" s="3115" t="s">
        <v>6640</v>
      </c>
      <c r="C210" s="3115">
        <v>30</v>
      </c>
      <c r="D210" s="3156" t="s">
        <v>6381</v>
      </c>
      <c r="E210" s="3126" t="s">
        <v>7600</v>
      </c>
      <c r="F210" s="3115" t="s">
        <v>6641</v>
      </c>
      <c r="G210" s="3115">
        <v>5.6</v>
      </c>
      <c r="H210" s="3115">
        <v>127.19</v>
      </c>
      <c r="I210" s="3115"/>
      <c r="J210" s="3114">
        <v>127.19</v>
      </c>
    </row>
    <row r="211" spans="1:10" ht="15">
      <c r="A211" s="3154">
        <v>207</v>
      </c>
      <c r="B211" s="3115" t="s">
        <v>6642</v>
      </c>
      <c r="C211" s="3115">
        <v>30</v>
      </c>
      <c r="D211" s="3156" t="s">
        <v>6381</v>
      </c>
      <c r="E211" s="3126" t="s">
        <v>7600</v>
      </c>
      <c r="F211" s="3115" t="s">
        <v>6643</v>
      </c>
      <c r="G211" s="3115">
        <v>5.6</v>
      </c>
      <c r="H211" s="3115">
        <v>127.19</v>
      </c>
      <c r="I211" s="3115"/>
      <c r="J211" s="3114">
        <v>127.19</v>
      </c>
    </row>
    <row r="212" spans="1:10" ht="15">
      <c r="A212" s="3154">
        <v>208</v>
      </c>
      <c r="B212" s="3115" t="s">
        <v>6644</v>
      </c>
      <c r="C212" s="3115">
        <v>30</v>
      </c>
      <c r="D212" s="3156" t="s">
        <v>6381</v>
      </c>
      <c r="E212" s="3126" t="s">
        <v>7600</v>
      </c>
      <c r="F212" s="3115" t="s">
        <v>6645</v>
      </c>
      <c r="G212" s="3115">
        <v>5.0999999999999996</v>
      </c>
      <c r="H212" s="3115">
        <v>114.04</v>
      </c>
      <c r="I212" s="3115"/>
      <c r="J212" s="3114">
        <v>114.04</v>
      </c>
    </row>
    <row r="213" spans="1:10" ht="15">
      <c r="A213" s="3154">
        <v>209</v>
      </c>
      <c r="B213" s="3115" t="s">
        <v>6646</v>
      </c>
      <c r="C213" s="3115">
        <v>30</v>
      </c>
      <c r="D213" s="3156" t="s">
        <v>6381</v>
      </c>
      <c r="E213" s="3126" t="s">
        <v>6443</v>
      </c>
      <c r="F213" s="3115" t="s">
        <v>6647</v>
      </c>
      <c r="G213" s="3115">
        <v>3.9</v>
      </c>
      <c r="H213" s="3115">
        <v>87.98</v>
      </c>
      <c r="I213" s="3115"/>
      <c r="J213" s="3114">
        <v>87.98</v>
      </c>
    </row>
    <row r="214" spans="1:10" s="3125" customFormat="1" ht="15">
      <c r="A214" s="3154">
        <v>210</v>
      </c>
      <c r="B214" s="3115" t="s">
        <v>6648</v>
      </c>
      <c r="C214" s="3115">
        <v>30</v>
      </c>
      <c r="D214" s="3156" t="s">
        <v>6381</v>
      </c>
      <c r="E214" s="3126" t="s">
        <v>6443</v>
      </c>
      <c r="F214" s="3115" t="s">
        <v>6649</v>
      </c>
      <c r="G214" s="3115">
        <v>3.9</v>
      </c>
      <c r="H214" s="3115">
        <v>87.98</v>
      </c>
      <c r="I214" s="3115"/>
      <c r="J214" s="3114">
        <v>87.98</v>
      </c>
    </row>
    <row r="215" spans="1:10" s="3125" customFormat="1" ht="15">
      <c r="A215" s="3154">
        <v>211</v>
      </c>
      <c r="B215" s="3115" t="s">
        <v>6650</v>
      </c>
      <c r="C215" s="3115">
        <v>30</v>
      </c>
      <c r="D215" s="3156" t="s">
        <v>6381</v>
      </c>
      <c r="E215" s="3126" t="s">
        <v>6443</v>
      </c>
      <c r="F215" s="3115" t="s">
        <v>6651</v>
      </c>
      <c r="G215" s="3115">
        <v>3.9</v>
      </c>
      <c r="H215" s="3115">
        <v>87.98</v>
      </c>
      <c r="I215" s="3115"/>
      <c r="J215" s="3114">
        <v>87.98</v>
      </c>
    </row>
    <row r="216" spans="1:10" s="3125" customFormat="1" ht="15">
      <c r="A216" s="3154">
        <v>212</v>
      </c>
      <c r="B216" s="3115" t="s">
        <v>6652</v>
      </c>
      <c r="C216" s="3115">
        <v>30</v>
      </c>
      <c r="D216" s="3156" t="s">
        <v>6381</v>
      </c>
      <c r="E216" s="3126" t="s">
        <v>6443</v>
      </c>
      <c r="F216" s="3115" t="s">
        <v>6653</v>
      </c>
      <c r="G216" s="3115">
        <v>3.9</v>
      </c>
      <c r="H216" s="3115">
        <v>87.98</v>
      </c>
      <c r="I216" s="3115"/>
      <c r="J216" s="3114">
        <v>87.98</v>
      </c>
    </row>
    <row r="217" spans="1:10" s="3125" customFormat="1" ht="15">
      <c r="A217" s="3154">
        <v>213</v>
      </c>
      <c r="B217" s="3115" t="s">
        <v>6654</v>
      </c>
      <c r="C217" s="3115">
        <v>30</v>
      </c>
      <c r="D217" s="3156" t="s">
        <v>6381</v>
      </c>
      <c r="E217" s="3126" t="s">
        <v>6443</v>
      </c>
      <c r="F217" s="3115" t="s">
        <v>6655</v>
      </c>
      <c r="G217" s="3115">
        <v>3.9</v>
      </c>
      <c r="H217" s="3115">
        <v>87.98</v>
      </c>
      <c r="I217" s="3115"/>
      <c r="J217" s="3114">
        <v>87.98</v>
      </c>
    </row>
    <row r="218" spans="1:10" s="3125" customFormat="1" ht="15">
      <c r="A218" s="3154">
        <v>214</v>
      </c>
      <c r="B218" s="3115" t="s">
        <v>6656</v>
      </c>
      <c r="C218" s="3115">
        <v>30</v>
      </c>
      <c r="D218" s="3156" t="s">
        <v>6381</v>
      </c>
      <c r="E218" s="3126" t="s">
        <v>6443</v>
      </c>
      <c r="F218" s="3115" t="s">
        <v>6657</v>
      </c>
      <c r="G218" s="3115">
        <v>3.9</v>
      </c>
      <c r="H218" s="3115">
        <v>87.98</v>
      </c>
      <c r="I218" s="3115"/>
      <c r="J218" s="3114">
        <v>87.98</v>
      </c>
    </row>
    <row r="219" spans="1:10" s="3125" customFormat="1" ht="15">
      <c r="A219" s="3154">
        <v>215</v>
      </c>
      <c r="B219" s="3115" t="s">
        <v>6658</v>
      </c>
      <c r="C219" s="3115">
        <v>30</v>
      </c>
      <c r="D219" s="3156" t="s">
        <v>6381</v>
      </c>
      <c r="E219" s="3126" t="s">
        <v>6443</v>
      </c>
      <c r="F219" s="3115" t="s">
        <v>6659</v>
      </c>
      <c r="G219" s="3115">
        <v>3.9</v>
      </c>
      <c r="H219" s="3115">
        <v>87.98</v>
      </c>
      <c r="I219" s="3115"/>
      <c r="J219" s="3114">
        <v>87.98</v>
      </c>
    </row>
    <row r="220" spans="1:10" s="3125" customFormat="1" ht="15">
      <c r="A220" s="3154">
        <v>216</v>
      </c>
      <c r="B220" s="3115" t="s">
        <v>6660</v>
      </c>
      <c r="C220" s="3115">
        <v>30</v>
      </c>
      <c r="D220" s="3156" t="s">
        <v>6381</v>
      </c>
      <c r="E220" s="3126" t="s">
        <v>6443</v>
      </c>
      <c r="F220" s="3115" t="s">
        <v>6661</v>
      </c>
      <c r="G220" s="3115">
        <v>3.9</v>
      </c>
      <c r="H220" s="3115">
        <v>87.98</v>
      </c>
      <c r="I220" s="3115"/>
      <c r="J220" s="3114">
        <v>87.98</v>
      </c>
    </row>
    <row r="221" spans="1:10" s="3125" customFormat="1" ht="15">
      <c r="A221" s="3154">
        <v>217</v>
      </c>
      <c r="B221" s="3115" t="s">
        <v>6662</v>
      </c>
      <c r="C221" s="3115">
        <v>30</v>
      </c>
      <c r="D221" s="3156" t="s">
        <v>6381</v>
      </c>
      <c r="E221" s="3126" t="s">
        <v>6443</v>
      </c>
      <c r="F221" s="3115" t="s">
        <v>6663</v>
      </c>
      <c r="G221" s="3115">
        <v>3.9</v>
      </c>
      <c r="H221" s="3115">
        <v>87.98</v>
      </c>
      <c r="I221" s="3115"/>
      <c r="J221" s="3114">
        <v>87.98</v>
      </c>
    </row>
    <row r="222" spans="1:10" s="3125" customFormat="1" ht="15">
      <c r="A222" s="3154">
        <v>218</v>
      </c>
      <c r="B222" s="3115" t="s">
        <v>6664</v>
      </c>
      <c r="C222" s="3115">
        <v>30</v>
      </c>
      <c r="D222" s="3156" t="s">
        <v>6381</v>
      </c>
      <c r="E222" s="3126" t="s">
        <v>6443</v>
      </c>
      <c r="F222" s="3115" t="s">
        <v>6665</v>
      </c>
      <c r="G222" s="3115">
        <v>3.9</v>
      </c>
      <c r="H222" s="3115">
        <v>87.98</v>
      </c>
      <c r="I222" s="3115"/>
      <c r="J222" s="3114">
        <v>87.98</v>
      </c>
    </row>
    <row r="223" spans="1:10" s="3125" customFormat="1" ht="15">
      <c r="A223" s="3154">
        <v>219</v>
      </c>
      <c r="B223" s="3115" t="s">
        <v>6666</v>
      </c>
      <c r="C223" s="3115">
        <v>30</v>
      </c>
      <c r="D223" s="3156" t="s">
        <v>6381</v>
      </c>
      <c r="E223" s="3126" t="s">
        <v>6443</v>
      </c>
      <c r="F223" s="3115" t="s">
        <v>6667</v>
      </c>
      <c r="G223" s="3115">
        <v>3.9</v>
      </c>
      <c r="H223" s="3115">
        <v>87.98</v>
      </c>
      <c r="I223" s="3115"/>
      <c r="J223" s="3114">
        <v>87.98</v>
      </c>
    </row>
    <row r="224" spans="1:10" ht="15">
      <c r="A224" s="3154">
        <v>220</v>
      </c>
      <c r="B224" s="3115" t="s">
        <v>6668</v>
      </c>
      <c r="C224" s="3115">
        <v>30</v>
      </c>
      <c r="D224" s="3156" t="s">
        <v>6381</v>
      </c>
      <c r="E224" s="3126" t="s">
        <v>6443</v>
      </c>
      <c r="F224" s="3115" t="s">
        <v>6669</v>
      </c>
      <c r="G224" s="3115">
        <v>3.9</v>
      </c>
      <c r="H224" s="3115">
        <v>87.98</v>
      </c>
      <c r="I224" s="3115"/>
      <c r="J224" s="3114">
        <v>87.98</v>
      </c>
    </row>
    <row r="225" spans="1:10" ht="15">
      <c r="A225" s="3154">
        <v>221</v>
      </c>
      <c r="B225" s="3115" t="s">
        <v>6670</v>
      </c>
      <c r="C225" s="3115">
        <v>30</v>
      </c>
      <c r="D225" s="3156" t="s">
        <v>6381</v>
      </c>
      <c r="E225" s="3126" t="s">
        <v>6443</v>
      </c>
      <c r="F225" s="3115" t="s">
        <v>6671</v>
      </c>
      <c r="G225" s="3115">
        <v>3.9</v>
      </c>
      <c r="H225" s="3115">
        <v>87.98</v>
      </c>
      <c r="I225" s="3115"/>
      <c r="J225" s="3114">
        <v>87.98</v>
      </c>
    </row>
    <row r="226" spans="1:10" ht="15">
      <c r="A226" s="3154">
        <v>222</v>
      </c>
      <c r="B226" s="3115" t="s">
        <v>6672</v>
      </c>
      <c r="C226" s="3115">
        <v>30</v>
      </c>
      <c r="D226" s="3156" t="s">
        <v>6381</v>
      </c>
      <c r="E226" s="3126" t="s">
        <v>6443</v>
      </c>
      <c r="F226" s="3115" t="s">
        <v>6673</v>
      </c>
      <c r="G226" s="3115">
        <v>3.9</v>
      </c>
      <c r="H226" s="3115">
        <v>87.98</v>
      </c>
      <c r="I226" s="3115"/>
      <c r="J226" s="3114">
        <v>87.98</v>
      </c>
    </row>
    <row r="227" spans="1:10" ht="15">
      <c r="A227" s="3154">
        <v>223</v>
      </c>
      <c r="B227" s="3115" t="s">
        <v>6674</v>
      </c>
      <c r="C227" s="3115">
        <v>30</v>
      </c>
      <c r="D227" s="3156" t="s">
        <v>6381</v>
      </c>
      <c r="E227" s="3126" t="s">
        <v>6443</v>
      </c>
      <c r="F227" s="3115" t="s">
        <v>6675</v>
      </c>
      <c r="G227" s="3115">
        <v>3.9</v>
      </c>
      <c r="H227" s="3115">
        <v>87.98</v>
      </c>
      <c r="I227" s="3115"/>
      <c r="J227" s="3114">
        <v>87.98</v>
      </c>
    </row>
    <row r="228" spans="1:10" ht="15">
      <c r="A228" s="3154">
        <v>224</v>
      </c>
      <c r="B228" s="3115" t="s">
        <v>6676</v>
      </c>
      <c r="C228" s="3115">
        <v>30</v>
      </c>
      <c r="D228" s="3156" t="s">
        <v>6381</v>
      </c>
      <c r="E228" s="3126" t="s">
        <v>6443</v>
      </c>
      <c r="F228" s="3115" t="s">
        <v>6677</v>
      </c>
      <c r="G228" s="3115">
        <v>3.9</v>
      </c>
      <c r="H228" s="3115">
        <v>87.98</v>
      </c>
      <c r="I228" s="3115"/>
      <c r="J228" s="3114">
        <v>87.98</v>
      </c>
    </row>
    <row r="229" spans="1:10" ht="15">
      <c r="A229" s="3154">
        <v>225</v>
      </c>
      <c r="B229" s="3115" t="s">
        <v>6678</v>
      </c>
      <c r="C229" s="3115">
        <v>30</v>
      </c>
      <c r="D229" s="3156" t="s">
        <v>6381</v>
      </c>
      <c r="E229" s="3126" t="s">
        <v>6443</v>
      </c>
      <c r="F229" s="3115" t="s">
        <v>6679</v>
      </c>
      <c r="G229" s="3115">
        <v>3.9</v>
      </c>
      <c r="H229" s="3115">
        <v>87.98</v>
      </c>
      <c r="I229" s="3115"/>
      <c r="J229" s="3114">
        <v>87.98</v>
      </c>
    </row>
    <row r="230" spans="1:10" ht="15">
      <c r="A230" s="3154">
        <v>226</v>
      </c>
      <c r="B230" s="3115" t="s">
        <v>6680</v>
      </c>
      <c r="C230" s="3115">
        <v>30</v>
      </c>
      <c r="D230" s="3156" t="s">
        <v>6381</v>
      </c>
      <c r="E230" s="3126" t="s">
        <v>6443</v>
      </c>
      <c r="F230" s="3115" t="s">
        <v>6681</v>
      </c>
      <c r="G230" s="3115">
        <v>3.9</v>
      </c>
      <c r="H230" s="3115">
        <v>87.98</v>
      </c>
      <c r="I230" s="3115"/>
      <c r="J230" s="3114">
        <v>87.98</v>
      </c>
    </row>
    <row r="231" spans="1:10" ht="15">
      <c r="A231" s="3154">
        <v>227</v>
      </c>
      <c r="B231" s="3115" t="s">
        <v>6682</v>
      </c>
      <c r="C231" s="3115">
        <v>30</v>
      </c>
      <c r="D231" s="3156" t="s">
        <v>6381</v>
      </c>
      <c r="E231" s="3126" t="s">
        <v>6443</v>
      </c>
      <c r="F231" s="3115" t="s">
        <v>6683</v>
      </c>
      <c r="G231" s="3115">
        <v>3.9</v>
      </c>
      <c r="H231" s="3115">
        <v>87.98</v>
      </c>
      <c r="I231" s="3115"/>
      <c r="J231" s="3114">
        <v>87.98</v>
      </c>
    </row>
    <row r="232" spans="1:10" ht="15">
      <c r="A232" s="3154">
        <v>228</v>
      </c>
      <c r="B232" s="3115" t="s">
        <v>6684</v>
      </c>
      <c r="C232" s="3115">
        <v>30</v>
      </c>
      <c r="D232" s="3156" t="s">
        <v>6381</v>
      </c>
      <c r="E232" s="3126" t="s">
        <v>6443</v>
      </c>
      <c r="F232" s="3115" t="s">
        <v>6685</v>
      </c>
      <c r="G232" s="3115">
        <v>3.9</v>
      </c>
      <c r="H232" s="3115">
        <v>87.98</v>
      </c>
      <c r="I232" s="3115"/>
      <c r="J232" s="3114">
        <v>87.98</v>
      </c>
    </row>
    <row r="233" spans="1:10" ht="15">
      <c r="A233" s="3154">
        <v>229</v>
      </c>
      <c r="B233" s="3115" t="s">
        <v>6686</v>
      </c>
      <c r="C233" s="3115">
        <v>30</v>
      </c>
      <c r="D233" s="3156" t="s">
        <v>6381</v>
      </c>
      <c r="E233" s="3126" t="s">
        <v>6443</v>
      </c>
      <c r="F233" s="3115" t="s">
        <v>6687</v>
      </c>
      <c r="G233" s="3115">
        <v>3.9</v>
      </c>
      <c r="H233" s="3115">
        <v>87.98</v>
      </c>
      <c r="I233" s="3115"/>
      <c r="J233" s="3114">
        <v>87.98</v>
      </c>
    </row>
    <row r="234" spans="1:10" ht="15">
      <c r="A234" s="3154">
        <v>230</v>
      </c>
      <c r="B234" s="3115" t="s">
        <v>6688</v>
      </c>
      <c r="C234" s="3115">
        <v>30</v>
      </c>
      <c r="D234" s="3156" t="s">
        <v>6381</v>
      </c>
      <c r="E234" s="3126" t="s">
        <v>6443</v>
      </c>
      <c r="F234" s="3115" t="s">
        <v>6689</v>
      </c>
      <c r="G234" s="3115">
        <v>3.9</v>
      </c>
      <c r="H234" s="3115">
        <v>87.98</v>
      </c>
      <c r="I234" s="3115"/>
      <c r="J234" s="3114">
        <v>87.98</v>
      </c>
    </row>
    <row r="235" spans="1:10" ht="15">
      <c r="A235" s="3154">
        <v>231</v>
      </c>
      <c r="B235" s="3115" t="s">
        <v>6690</v>
      </c>
      <c r="C235" s="3115">
        <v>30</v>
      </c>
      <c r="D235" s="3156" t="s">
        <v>6381</v>
      </c>
      <c r="E235" s="3126" t="s">
        <v>6443</v>
      </c>
      <c r="F235" s="3115" t="s">
        <v>6691</v>
      </c>
      <c r="G235" s="3115">
        <v>3.9</v>
      </c>
      <c r="H235" s="3115">
        <v>87.98</v>
      </c>
      <c r="I235" s="3115"/>
      <c r="J235" s="3114">
        <v>87.98</v>
      </c>
    </row>
    <row r="236" spans="1:10" ht="15">
      <c r="A236" s="3154">
        <v>232</v>
      </c>
      <c r="B236" s="3115" t="s">
        <v>6692</v>
      </c>
      <c r="C236" s="3115">
        <v>30</v>
      </c>
      <c r="D236" s="3156" t="s">
        <v>6381</v>
      </c>
      <c r="E236" s="3126" t="s">
        <v>6443</v>
      </c>
      <c r="F236" s="3115" t="s">
        <v>6693</v>
      </c>
      <c r="G236" s="3115">
        <v>3.9</v>
      </c>
      <c r="H236" s="3115">
        <v>87.98</v>
      </c>
      <c r="I236" s="3115"/>
      <c r="J236" s="3114">
        <v>87.98</v>
      </c>
    </row>
    <row r="237" spans="1:10" ht="15">
      <c r="A237" s="3154">
        <v>233</v>
      </c>
      <c r="B237" s="3115" t="s">
        <v>6694</v>
      </c>
      <c r="C237" s="3115">
        <v>30</v>
      </c>
      <c r="D237" s="3156" t="s">
        <v>6381</v>
      </c>
      <c r="E237" s="3126" t="s">
        <v>6443</v>
      </c>
      <c r="F237" s="3115" t="s">
        <v>6695</v>
      </c>
      <c r="G237" s="3115">
        <v>3.9</v>
      </c>
      <c r="H237" s="3115">
        <v>87.98</v>
      </c>
      <c r="I237" s="3115"/>
      <c r="J237" s="3114">
        <v>87.98</v>
      </c>
    </row>
    <row r="238" spans="1:10" ht="15">
      <c r="A238" s="3154">
        <v>234</v>
      </c>
      <c r="B238" s="3115" t="s">
        <v>6696</v>
      </c>
      <c r="C238" s="3115">
        <v>30</v>
      </c>
      <c r="D238" s="3156" t="s">
        <v>6381</v>
      </c>
      <c r="E238" s="3126" t="s">
        <v>6443</v>
      </c>
      <c r="F238" s="3115" t="s">
        <v>6697</v>
      </c>
      <c r="G238" s="3115">
        <v>3.9</v>
      </c>
      <c r="H238" s="3115">
        <v>87.98</v>
      </c>
      <c r="I238" s="3115"/>
      <c r="J238" s="3114">
        <v>87.98</v>
      </c>
    </row>
    <row r="239" spans="1:10" s="3125" customFormat="1" ht="15">
      <c r="A239" s="3154">
        <v>235</v>
      </c>
      <c r="B239" s="3115" t="s">
        <v>6698</v>
      </c>
      <c r="C239" s="3115">
        <v>30</v>
      </c>
      <c r="D239" s="3156" t="s">
        <v>6381</v>
      </c>
      <c r="E239" s="3126" t="s">
        <v>6443</v>
      </c>
      <c r="F239" s="3115" t="s">
        <v>6699</v>
      </c>
      <c r="G239" s="3115">
        <v>3.9</v>
      </c>
      <c r="H239" s="3115">
        <v>87.98</v>
      </c>
      <c r="I239" s="3115"/>
      <c r="J239" s="3114">
        <v>87.98</v>
      </c>
    </row>
    <row r="240" spans="1:10" s="3125" customFormat="1" ht="15">
      <c r="A240" s="3154">
        <v>236</v>
      </c>
      <c r="B240" s="3115" t="s">
        <v>6700</v>
      </c>
      <c r="C240" s="3115">
        <v>30</v>
      </c>
      <c r="D240" s="3156" t="s">
        <v>6381</v>
      </c>
      <c r="E240" s="3126" t="s">
        <v>6443</v>
      </c>
      <c r="F240" s="3115" t="s">
        <v>6701</v>
      </c>
      <c r="G240" s="3115">
        <v>3.9</v>
      </c>
      <c r="H240" s="3115">
        <v>87.98</v>
      </c>
      <c r="I240" s="3115"/>
      <c r="J240" s="3114">
        <v>87.98</v>
      </c>
    </row>
    <row r="241" spans="1:10" s="3125" customFormat="1" ht="15">
      <c r="A241" s="3154">
        <v>237</v>
      </c>
      <c r="B241" s="3115" t="s">
        <v>6702</v>
      </c>
      <c r="C241" s="3115">
        <v>30</v>
      </c>
      <c r="D241" s="3156" t="s">
        <v>6381</v>
      </c>
      <c r="E241" s="3126" t="s">
        <v>6443</v>
      </c>
      <c r="F241" s="3115" t="s">
        <v>6703</v>
      </c>
      <c r="G241" s="3115">
        <v>3.9</v>
      </c>
      <c r="H241" s="3115">
        <v>87.98</v>
      </c>
      <c r="I241" s="3115"/>
      <c r="J241" s="3114">
        <v>87.98</v>
      </c>
    </row>
    <row r="242" spans="1:10" s="3125" customFormat="1" ht="15">
      <c r="A242" s="3154">
        <v>238</v>
      </c>
      <c r="B242" s="3115" t="s">
        <v>6704</v>
      </c>
      <c r="C242" s="3115">
        <v>30</v>
      </c>
      <c r="D242" s="3156" t="s">
        <v>6381</v>
      </c>
      <c r="E242" s="3126" t="s">
        <v>6443</v>
      </c>
      <c r="F242" s="3115" t="s">
        <v>6705</v>
      </c>
      <c r="G242" s="3115">
        <v>3.9</v>
      </c>
      <c r="H242" s="3115">
        <v>88</v>
      </c>
      <c r="I242" s="3115"/>
      <c r="J242" s="3114">
        <v>88</v>
      </c>
    </row>
    <row r="243" spans="1:10" ht="15">
      <c r="A243" s="3154">
        <v>239</v>
      </c>
      <c r="B243" s="3115" t="s">
        <v>6706</v>
      </c>
      <c r="C243" s="3115">
        <v>30</v>
      </c>
      <c r="D243" s="3156" t="s">
        <v>6381</v>
      </c>
      <c r="E243" s="3126" t="s">
        <v>6443</v>
      </c>
      <c r="F243" s="3115" t="s">
        <v>6707</v>
      </c>
      <c r="G243" s="3115">
        <v>3.9</v>
      </c>
      <c r="H243" s="3115">
        <v>88</v>
      </c>
      <c r="I243" s="3115"/>
      <c r="J243" s="3114">
        <v>88</v>
      </c>
    </row>
    <row r="244" spans="1:10" ht="15">
      <c r="A244" s="3154">
        <v>240</v>
      </c>
      <c r="B244" s="3115" t="s">
        <v>6708</v>
      </c>
      <c r="C244" s="3115">
        <v>30</v>
      </c>
      <c r="D244" s="3156" t="s">
        <v>6381</v>
      </c>
      <c r="E244" s="3126" t="s">
        <v>6443</v>
      </c>
      <c r="F244" s="3115" t="s">
        <v>6709</v>
      </c>
      <c r="G244" s="3115">
        <v>3.9</v>
      </c>
      <c r="H244" s="3115">
        <v>88</v>
      </c>
      <c r="I244" s="3115"/>
      <c r="J244" s="3114">
        <v>88</v>
      </c>
    </row>
    <row r="245" spans="1:10" ht="15">
      <c r="A245" s="3154">
        <v>241</v>
      </c>
      <c r="B245" s="3115" t="s">
        <v>6710</v>
      </c>
      <c r="C245" s="3115">
        <v>30</v>
      </c>
      <c r="D245" s="3156" t="s">
        <v>6381</v>
      </c>
      <c r="E245" s="3126" t="s">
        <v>6443</v>
      </c>
      <c r="F245" s="3115" t="s">
        <v>6711</v>
      </c>
      <c r="G245" s="3115">
        <v>3.9</v>
      </c>
      <c r="H245" s="3115">
        <v>88</v>
      </c>
      <c r="I245" s="3115"/>
      <c r="J245" s="3114">
        <v>88</v>
      </c>
    </row>
    <row r="246" spans="1:10" ht="15">
      <c r="A246" s="3154">
        <v>242</v>
      </c>
      <c r="B246" s="3115" t="s">
        <v>6712</v>
      </c>
      <c r="C246" s="3115">
        <v>30</v>
      </c>
      <c r="D246" s="3156" t="s">
        <v>6381</v>
      </c>
      <c r="E246" s="3126" t="s">
        <v>6443</v>
      </c>
      <c r="F246" s="3115" t="s">
        <v>6713</v>
      </c>
      <c r="G246" s="3115">
        <v>3.9</v>
      </c>
      <c r="H246" s="3115">
        <v>88</v>
      </c>
      <c r="I246" s="3115"/>
      <c r="J246" s="3114">
        <v>88</v>
      </c>
    </row>
    <row r="247" spans="1:10" ht="15">
      <c r="A247" s="3154">
        <v>243</v>
      </c>
      <c r="B247" s="3115" t="s">
        <v>6714</v>
      </c>
      <c r="C247" s="3115">
        <v>30</v>
      </c>
      <c r="D247" s="3156" t="s">
        <v>6381</v>
      </c>
      <c r="E247" s="3126" t="s">
        <v>6443</v>
      </c>
      <c r="F247" s="3115" t="s">
        <v>6715</v>
      </c>
      <c r="G247" s="3115">
        <v>3.9</v>
      </c>
      <c r="H247" s="3115">
        <v>88</v>
      </c>
      <c r="I247" s="3115"/>
      <c r="J247" s="3114">
        <v>88</v>
      </c>
    </row>
    <row r="248" spans="1:10" ht="15">
      <c r="A248" s="3154">
        <v>244</v>
      </c>
      <c r="B248" s="3115" t="s">
        <v>6716</v>
      </c>
      <c r="C248" s="3115">
        <v>30</v>
      </c>
      <c r="D248" s="3156" t="s">
        <v>6381</v>
      </c>
      <c r="E248" s="3126" t="s">
        <v>6443</v>
      </c>
      <c r="F248" s="3115" t="s">
        <v>6717</v>
      </c>
      <c r="G248" s="3115">
        <v>3.9</v>
      </c>
      <c r="H248" s="3115">
        <v>88</v>
      </c>
      <c r="I248" s="3115"/>
      <c r="J248" s="3114">
        <v>88</v>
      </c>
    </row>
    <row r="249" spans="1:10" ht="15">
      <c r="A249" s="3154">
        <v>245</v>
      </c>
      <c r="B249" s="3115" t="s">
        <v>6718</v>
      </c>
      <c r="C249" s="3115">
        <v>30</v>
      </c>
      <c r="D249" s="3156" t="s">
        <v>6381</v>
      </c>
      <c r="E249" s="3126" t="s">
        <v>6443</v>
      </c>
      <c r="F249" s="3115" t="s">
        <v>6719</v>
      </c>
      <c r="G249" s="3115">
        <v>3.9</v>
      </c>
      <c r="H249" s="3115">
        <v>88</v>
      </c>
      <c r="I249" s="3115"/>
      <c r="J249" s="3114">
        <v>88</v>
      </c>
    </row>
    <row r="250" spans="1:10" ht="15">
      <c r="A250" s="3154">
        <v>246</v>
      </c>
      <c r="B250" s="3115" t="s">
        <v>6720</v>
      </c>
      <c r="C250" s="3115">
        <v>30</v>
      </c>
      <c r="D250" s="3156" t="s">
        <v>6381</v>
      </c>
      <c r="E250" s="3126" t="s">
        <v>6443</v>
      </c>
      <c r="F250" s="3115" t="s">
        <v>6721</v>
      </c>
      <c r="G250" s="3115">
        <v>3.9</v>
      </c>
      <c r="H250" s="3115">
        <v>88</v>
      </c>
      <c r="I250" s="3115"/>
      <c r="J250" s="3114">
        <v>88</v>
      </c>
    </row>
    <row r="251" spans="1:10" ht="15">
      <c r="A251" s="3154">
        <v>247</v>
      </c>
      <c r="B251" s="3115" t="s">
        <v>6722</v>
      </c>
      <c r="C251" s="3115">
        <v>30</v>
      </c>
      <c r="D251" s="3156" t="s">
        <v>6381</v>
      </c>
      <c r="E251" s="3126" t="s">
        <v>6443</v>
      </c>
      <c r="F251" s="3115" t="s">
        <v>6723</v>
      </c>
      <c r="G251" s="3115">
        <v>3.9</v>
      </c>
      <c r="H251" s="3115">
        <v>88</v>
      </c>
      <c r="I251" s="3115"/>
      <c r="J251" s="3114">
        <v>88</v>
      </c>
    </row>
    <row r="252" spans="1:10" ht="15">
      <c r="A252" s="3154">
        <v>248</v>
      </c>
      <c r="B252" s="3115" t="s">
        <v>6724</v>
      </c>
      <c r="C252" s="3115">
        <v>30</v>
      </c>
      <c r="D252" s="3156" t="s">
        <v>6381</v>
      </c>
      <c r="E252" s="3126" t="s">
        <v>6443</v>
      </c>
      <c r="F252" s="3115" t="s">
        <v>6725</v>
      </c>
      <c r="G252" s="3115">
        <v>3.9</v>
      </c>
      <c r="H252" s="3115">
        <v>88</v>
      </c>
      <c r="I252" s="3115"/>
      <c r="J252" s="3114">
        <v>88</v>
      </c>
    </row>
    <row r="253" spans="1:10" ht="15">
      <c r="A253" s="3154">
        <v>249</v>
      </c>
      <c r="B253" s="3115" t="s">
        <v>6726</v>
      </c>
      <c r="C253" s="3115">
        <v>30</v>
      </c>
      <c r="D253" s="3156" t="s">
        <v>6381</v>
      </c>
      <c r="E253" s="3126" t="s">
        <v>6443</v>
      </c>
      <c r="F253" s="3115" t="s">
        <v>6727</v>
      </c>
      <c r="G253" s="3115">
        <v>3.9</v>
      </c>
      <c r="H253" s="3115">
        <v>88</v>
      </c>
      <c r="I253" s="3115"/>
      <c r="J253" s="3114">
        <v>88</v>
      </c>
    </row>
    <row r="254" spans="1:10" ht="15">
      <c r="A254" s="3154">
        <v>250</v>
      </c>
      <c r="B254" s="3115" t="s">
        <v>6728</v>
      </c>
      <c r="C254" s="3115">
        <v>30</v>
      </c>
      <c r="D254" s="3156" t="s">
        <v>6381</v>
      </c>
      <c r="E254" s="3126" t="s">
        <v>6443</v>
      </c>
      <c r="F254" s="3115" t="s">
        <v>6729</v>
      </c>
      <c r="G254" s="3115">
        <v>3.9</v>
      </c>
      <c r="H254" s="3115">
        <v>88</v>
      </c>
      <c r="I254" s="3115"/>
      <c r="J254" s="3114">
        <v>88</v>
      </c>
    </row>
    <row r="255" spans="1:10" ht="15">
      <c r="A255" s="3154">
        <v>251</v>
      </c>
      <c r="B255" s="3115" t="s">
        <v>6730</v>
      </c>
      <c r="C255" s="3115">
        <v>30</v>
      </c>
      <c r="D255" s="3156" t="s">
        <v>6381</v>
      </c>
      <c r="E255" s="3126" t="s">
        <v>6443</v>
      </c>
      <c r="F255" s="3115" t="s">
        <v>6731</v>
      </c>
      <c r="G255" s="3115">
        <v>3.9</v>
      </c>
      <c r="H255" s="3115">
        <v>88</v>
      </c>
      <c r="I255" s="3115"/>
      <c r="J255" s="3114">
        <v>88</v>
      </c>
    </row>
    <row r="256" spans="1:10" ht="15">
      <c r="A256" s="3154">
        <v>252</v>
      </c>
      <c r="B256" s="3115" t="s">
        <v>6732</v>
      </c>
      <c r="C256" s="3115">
        <v>30</v>
      </c>
      <c r="D256" s="3156" t="s">
        <v>6381</v>
      </c>
      <c r="E256" s="3126" t="s">
        <v>6443</v>
      </c>
      <c r="F256" s="3115" t="s">
        <v>6733</v>
      </c>
      <c r="G256" s="3115">
        <v>3.9</v>
      </c>
      <c r="H256" s="3115">
        <v>88</v>
      </c>
      <c r="I256" s="3115"/>
      <c r="J256" s="3114">
        <v>88</v>
      </c>
    </row>
    <row r="257" spans="1:10" ht="15">
      <c r="A257" s="3154">
        <v>253</v>
      </c>
      <c r="B257" s="3115" t="s">
        <v>6734</v>
      </c>
      <c r="C257" s="3115">
        <v>30</v>
      </c>
      <c r="D257" s="3156" t="s">
        <v>6381</v>
      </c>
      <c r="E257" s="3126" t="s">
        <v>6443</v>
      </c>
      <c r="F257" s="3115" t="s">
        <v>6735</v>
      </c>
      <c r="G257" s="3115">
        <v>3.9</v>
      </c>
      <c r="H257" s="3115">
        <v>88</v>
      </c>
      <c r="I257" s="3115"/>
      <c r="J257" s="3114">
        <v>88</v>
      </c>
    </row>
    <row r="258" spans="1:10" ht="15">
      <c r="A258" s="3154">
        <v>254</v>
      </c>
      <c r="B258" s="3115" t="s">
        <v>6736</v>
      </c>
      <c r="C258" s="3115">
        <v>30</v>
      </c>
      <c r="D258" s="3156" t="s">
        <v>6381</v>
      </c>
      <c r="E258" s="3126" t="s">
        <v>6443</v>
      </c>
      <c r="F258" s="3115" t="s">
        <v>6737</v>
      </c>
      <c r="G258" s="3115">
        <v>3.9</v>
      </c>
      <c r="H258" s="3115">
        <v>88</v>
      </c>
      <c r="I258" s="3115"/>
      <c r="J258" s="3114">
        <v>88</v>
      </c>
    </row>
    <row r="259" spans="1:10" s="3181" customFormat="1" ht="15">
      <c r="A259" s="3177">
        <v>255</v>
      </c>
      <c r="B259" s="3178" t="s">
        <v>6738</v>
      </c>
      <c r="C259" s="3178">
        <v>30</v>
      </c>
      <c r="D259" s="3179" t="s">
        <v>6381</v>
      </c>
      <c r="E259" s="3180" t="s">
        <v>6443</v>
      </c>
      <c r="F259" s="3178" t="s">
        <v>6739</v>
      </c>
      <c r="G259" s="3178">
        <v>3.9</v>
      </c>
      <c r="H259" s="3178">
        <v>88</v>
      </c>
      <c r="I259" s="3178"/>
      <c r="J259" s="3182">
        <v>88</v>
      </c>
    </row>
    <row r="260" spans="1:10" ht="15">
      <c r="A260" s="3154">
        <v>256</v>
      </c>
      <c r="B260" s="3115" t="s">
        <v>6740</v>
      </c>
      <c r="C260" s="3115">
        <v>30</v>
      </c>
      <c r="D260" s="3156" t="s">
        <v>6381</v>
      </c>
      <c r="E260" s="3126" t="s">
        <v>6443</v>
      </c>
      <c r="F260" s="3115" t="s">
        <v>6741</v>
      </c>
      <c r="G260" s="3115">
        <v>3.9</v>
      </c>
      <c r="H260" s="3115">
        <v>88</v>
      </c>
      <c r="I260" s="3115"/>
      <c r="J260" s="3114">
        <v>88</v>
      </c>
    </row>
    <row r="261" spans="1:10" ht="15">
      <c r="A261" s="3154">
        <v>257</v>
      </c>
      <c r="B261" s="3115" t="s">
        <v>6742</v>
      </c>
      <c r="C261" s="3115">
        <v>30</v>
      </c>
      <c r="D261" s="3156" t="s">
        <v>6381</v>
      </c>
      <c r="E261" s="3126" t="s">
        <v>6443</v>
      </c>
      <c r="F261" s="3115" t="s">
        <v>6743</v>
      </c>
      <c r="G261" s="3115">
        <v>3.9</v>
      </c>
      <c r="H261" s="3115">
        <v>88</v>
      </c>
      <c r="I261" s="3115"/>
      <c r="J261" s="3114">
        <v>88</v>
      </c>
    </row>
    <row r="262" spans="1:10" ht="15">
      <c r="A262" s="3154">
        <v>258</v>
      </c>
      <c r="B262" s="3115" t="s">
        <v>6744</v>
      </c>
      <c r="C262" s="3115">
        <v>30</v>
      </c>
      <c r="D262" s="3156" t="s">
        <v>6381</v>
      </c>
      <c r="E262" s="3126" t="s">
        <v>6443</v>
      </c>
      <c r="F262" s="3115" t="s">
        <v>6745</v>
      </c>
      <c r="G262" s="3115">
        <v>3.9</v>
      </c>
      <c r="H262" s="3115">
        <v>88</v>
      </c>
      <c r="I262" s="3115"/>
      <c r="J262" s="3114">
        <v>88</v>
      </c>
    </row>
    <row r="263" spans="1:10" ht="15">
      <c r="A263" s="3154">
        <v>259</v>
      </c>
      <c r="B263" s="3115" t="s">
        <v>6746</v>
      </c>
      <c r="C263" s="3115">
        <v>30</v>
      </c>
      <c r="D263" s="3156" t="s">
        <v>6381</v>
      </c>
      <c r="E263" s="3126" t="s">
        <v>6443</v>
      </c>
      <c r="F263" s="3115" t="s">
        <v>6747</v>
      </c>
      <c r="G263" s="3115">
        <v>3.9</v>
      </c>
      <c r="H263" s="3115">
        <v>88</v>
      </c>
      <c r="I263" s="3115"/>
      <c r="J263" s="3114">
        <v>88</v>
      </c>
    </row>
    <row r="264" spans="1:10" ht="15">
      <c r="A264" s="3154">
        <v>260</v>
      </c>
      <c r="B264" s="3115" t="s">
        <v>6748</v>
      </c>
      <c r="C264" s="3115">
        <v>30</v>
      </c>
      <c r="D264" s="3156" t="s">
        <v>6381</v>
      </c>
      <c r="E264" s="3126" t="s">
        <v>6443</v>
      </c>
      <c r="F264" s="3115" t="s">
        <v>6749</v>
      </c>
      <c r="G264" s="3115">
        <v>3.9</v>
      </c>
      <c r="H264" s="3115">
        <v>88</v>
      </c>
      <c r="I264" s="3115"/>
      <c r="J264" s="3114">
        <v>88</v>
      </c>
    </row>
    <row r="265" spans="1:10" ht="15">
      <c r="A265" s="3154">
        <v>261</v>
      </c>
      <c r="B265" s="3115" t="s">
        <v>6750</v>
      </c>
      <c r="C265" s="3115">
        <v>30</v>
      </c>
      <c r="D265" s="3156" t="s">
        <v>6381</v>
      </c>
      <c r="E265" s="3126" t="s">
        <v>6443</v>
      </c>
      <c r="F265" s="3115" t="s">
        <v>6751</v>
      </c>
      <c r="G265" s="3115">
        <v>3.9</v>
      </c>
      <c r="H265" s="3115">
        <v>88</v>
      </c>
      <c r="I265" s="3115"/>
      <c r="J265" s="3114">
        <v>88</v>
      </c>
    </row>
    <row r="266" spans="1:10" ht="15">
      <c r="A266" s="3154">
        <v>262</v>
      </c>
      <c r="B266" s="3115" t="s">
        <v>6752</v>
      </c>
      <c r="C266" s="3115">
        <v>30</v>
      </c>
      <c r="D266" s="3156" t="s">
        <v>6381</v>
      </c>
      <c r="E266" s="3126" t="s">
        <v>6443</v>
      </c>
      <c r="F266" s="3115" t="s">
        <v>6753</v>
      </c>
      <c r="G266" s="3115">
        <v>3.9</v>
      </c>
      <c r="H266" s="3115">
        <v>88</v>
      </c>
      <c r="I266" s="3115"/>
      <c r="J266" s="3114">
        <v>88</v>
      </c>
    </row>
    <row r="267" spans="1:10" ht="15">
      <c r="A267" s="3154">
        <v>263</v>
      </c>
      <c r="B267" s="3115" t="s">
        <v>6754</v>
      </c>
      <c r="C267" s="3115">
        <v>30</v>
      </c>
      <c r="D267" s="3156" t="s">
        <v>6381</v>
      </c>
      <c r="E267" s="3126" t="s">
        <v>6443</v>
      </c>
      <c r="F267" s="3115" t="s">
        <v>6755</v>
      </c>
      <c r="G267" s="3115">
        <v>3.9</v>
      </c>
      <c r="H267" s="3115">
        <v>88</v>
      </c>
      <c r="I267" s="3115"/>
      <c r="J267" s="3114">
        <v>88</v>
      </c>
    </row>
    <row r="268" spans="1:10" ht="15">
      <c r="A268" s="3154">
        <v>264</v>
      </c>
      <c r="B268" s="3115" t="s">
        <v>6756</v>
      </c>
      <c r="C268" s="3115">
        <v>30</v>
      </c>
      <c r="D268" s="3156" t="s">
        <v>6381</v>
      </c>
      <c r="E268" s="3126" t="s">
        <v>6443</v>
      </c>
      <c r="F268" s="3115" t="s">
        <v>6757</v>
      </c>
      <c r="G268" s="3115">
        <v>3.9</v>
      </c>
      <c r="H268" s="3115">
        <v>88</v>
      </c>
      <c r="I268" s="3115"/>
      <c r="J268" s="3114">
        <v>88</v>
      </c>
    </row>
    <row r="269" spans="1:10" ht="15">
      <c r="A269" s="3154">
        <v>265</v>
      </c>
      <c r="B269" s="3115" t="s">
        <v>6758</v>
      </c>
      <c r="C269" s="3115">
        <v>30</v>
      </c>
      <c r="D269" s="3156" t="s">
        <v>6381</v>
      </c>
      <c r="E269" s="3126" t="s">
        <v>6443</v>
      </c>
      <c r="F269" s="3115" t="s">
        <v>6759</v>
      </c>
      <c r="G269" s="3115">
        <v>3.9</v>
      </c>
      <c r="H269" s="3115">
        <v>88</v>
      </c>
      <c r="I269" s="3115"/>
      <c r="J269" s="3114">
        <v>88</v>
      </c>
    </row>
    <row r="270" spans="1:10" ht="15">
      <c r="A270" s="3154">
        <v>266</v>
      </c>
      <c r="B270" s="3115" t="s">
        <v>6760</v>
      </c>
      <c r="C270" s="3115">
        <v>30</v>
      </c>
      <c r="D270" s="3156" t="s">
        <v>6381</v>
      </c>
      <c r="E270" s="3126" t="s">
        <v>6443</v>
      </c>
      <c r="F270" s="3115" t="s">
        <v>6761</v>
      </c>
      <c r="G270" s="3115">
        <v>3.9</v>
      </c>
      <c r="H270" s="3115">
        <v>88.11</v>
      </c>
      <c r="I270" s="3115"/>
      <c r="J270" s="3114">
        <v>88.11</v>
      </c>
    </row>
    <row r="271" spans="1:10" ht="15">
      <c r="A271" s="3154">
        <v>267</v>
      </c>
      <c r="B271" s="3115" t="s">
        <v>7611</v>
      </c>
      <c r="C271" s="3115">
        <v>30</v>
      </c>
      <c r="D271" s="3156" t="s">
        <v>6381</v>
      </c>
      <c r="E271" s="3126" t="s">
        <v>6443</v>
      </c>
      <c r="F271" s="3115" t="s">
        <v>6762</v>
      </c>
      <c r="G271" s="3115">
        <v>4.8</v>
      </c>
      <c r="H271" s="3115">
        <v>107.91</v>
      </c>
      <c r="I271" s="3115"/>
      <c r="J271" s="3114">
        <v>107.91</v>
      </c>
    </row>
    <row r="272" spans="1:10" ht="15">
      <c r="A272" s="3154">
        <v>268</v>
      </c>
      <c r="B272" s="3115" t="s">
        <v>6763</v>
      </c>
      <c r="C272" s="3115">
        <v>30</v>
      </c>
      <c r="D272" s="3156" t="s">
        <v>6381</v>
      </c>
      <c r="E272" s="3126" t="s">
        <v>6443</v>
      </c>
      <c r="F272" s="3115" t="s">
        <v>6764</v>
      </c>
      <c r="G272" s="3115">
        <v>4.8</v>
      </c>
      <c r="H272" s="3115">
        <v>107.91</v>
      </c>
      <c r="I272" s="3115"/>
      <c r="J272" s="3114">
        <v>107.91</v>
      </c>
    </row>
    <row r="273" spans="1:10" ht="15">
      <c r="A273" s="3154">
        <v>269</v>
      </c>
      <c r="B273" s="3115" t="s">
        <v>6765</v>
      </c>
      <c r="C273" s="3115">
        <v>30</v>
      </c>
      <c r="D273" s="3156" t="s">
        <v>6381</v>
      </c>
      <c r="E273" s="3126" t="s">
        <v>6443</v>
      </c>
      <c r="F273" s="3115" t="s">
        <v>6766</v>
      </c>
      <c r="G273" s="3115">
        <v>4.8</v>
      </c>
      <c r="H273" s="3115">
        <v>107.91</v>
      </c>
      <c r="I273" s="3115"/>
      <c r="J273" s="3114">
        <v>107.91</v>
      </c>
    </row>
    <row r="274" spans="1:10" ht="15">
      <c r="A274" s="3154">
        <v>270</v>
      </c>
      <c r="B274" s="3115" t="s">
        <v>6767</v>
      </c>
      <c r="C274" s="3115">
        <v>30</v>
      </c>
      <c r="D274" s="3156" t="s">
        <v>6381</v>
      </c>
      <c r="E274" s="3126" t="s">
        <v>6443</v>
      </c>
      <c r="F274" s="3115" t="s">
        <v>6768</v>
      </c>
      <c r="G274" s="3115">
        <v>4.8</v>
      </c>
      <c r="H274" s="3115">
        <v>107.91</v>
      </c>
      <c r="I274" s="3115"/>
      <c r="J274" s="3114">
        <v>107.91</v>
      </c>
    </row>
    <row r="275" spans="1:10" ht="15">
      <c r="A275" s="3154">
        <v>271</v>
      </c>
      <c r="B275" s="3115" t="s">
        <v>6769</v>
      </c>
      <c r="C275" s="3115">
        <v>30</v>
      </c>
      <c r="D275" s="3156" t="s">
        <v>6381</v>
      </c>
      <c r="E275" s="3126" t="s">
        <v>6443</v>
      </c>
      <c r="F275" s="3115" t="s">
        <v>6770</v>
      </c>
      <c r="G275" s="3115">
        <v>4.8</v>
      </c>
      <c r="H275" s="3115">
        <v>107.91</v>
      </c>
      <c r="I275" s="3115"/>
      <c r="J275" s="3114">
        <v>107.91</v>
      </c>
    </row>
    <row r="276" spans="1:10" s="3125" customFormat="1" ht="15">
      <c r="A276" s="3154">
        <v>272</v>
      </c>
      <c r="B276" s="3115" t="s">
        <v>6771</v>
      </c>
      <c r="C276" s="3115">
        <v>30</v>
      </c>
      <c r="D276" s="3156" t="s">
        <v>6381</v>
      </c>
      <c r="E276" s="3126" t="s">
        <v>6443</v>
      </c>
      <c r="F276" s="3115" t="s">
        <v>6772</v>
      </c>
      <c r="G276" s="3115">
        <v>4.8</v>
      </c>
      <c r="H276" s="3115">
        <v>107.91</v>
      </c>
      <c r="I276" s="3115"/>
      <c r="J276" s="3114">
        <v>107.91</v>
      </c>
    </row>
    <row r="277" spans="1:10" s="3125" customFormat="1" ht="15">
      <c r="A277" s="3154">
        <v>273</v>
      </c>
      <c r="B277" s="3115" t="s">
        <v>6773</v>
      </c>
      <c r="C277" s="3115">
        <v>30</v>
      </c>
      <c r="D277" s="3156" t="s">
        <v>6381</v>
      </c>
      <c r="E277" s="3126" t="s">
        <v>6443</v>
      </c>
      <c r="F277" s="3115" t="s">
        <v>6774</v>
      </c>
      <c r="G277" s="3115">
        <v>4.8</v>
      </c>
      <c r="H277" s="3115">
        <v>107.91</v>
      </c>
      <c r="I277" s="3115"/>
      <c r="J277" s="3114">
        <v>107.91</v>
      </c>
    </row>
    <row r="278" spans="1:10" s="3125" customFormat="1" ht="15">
      <c r="A278" s="3154">
        <v>274</v>
      </c>
      <c r="B278" s="3115" t="s">
        <v>6775</v>
      </c>
      <c r="C278" s="3115">
        <v>30</v>
      </c>
      <c r="D278" s="3156" t="s">
        <v>6381</v>
      </c>
      <c r="E278" s="3126" t="s">
        <v>6443</v>
      </c>
      <c r="F278" s="3115" t="s">
        <v>6776</v>
      </c>
      <c r="G278" s="3115">
        <v>4.8</v>
      </c>
      <c r="H278" s="3115">
        <v>107.91</v>
      </c>
      <c r="I278" s="3115"/>
      <c r="J278" s="3114">
        <v>107.91</v>
      </c>
    </row>
    <row r="279" spans="1:10" s="3125" customFormat="1" ht="15">
      <c r="A279" s="3154">
        <v>275</v>
      </c>
      <c r="B279" s="3115" t="s">
        <v>6777</v>
      </c>
      <c r="C279" s="3115">
        <v>30</v>
      </c>
      <c r="D279" s="3156" t="s">
        <v>6381</v>
      </c>
      <c r="E279" s="3126" t="s">
        <v>6443</v>
      </c>
      <c r="F279" s="3115" t="s">
        <v>6778</v>
      </c>
      <c r="G279" s="3115">
        <v>4.8</v>
      </c>
      <c r="H279" s="3115">
        <v>107.91</v>
      </c>
      <c r="I279" s="3115"/>
      <c r="J279" s="3114">
        <v>107.91</v>
      </c>
    </row>
    <row r="280" spans="1:10" ht="15">
      <c r="A280" s="3154">
        <v>276</v>
      </c>
      <c r="B280" s="3115" t="s">
        <v>6779</v>
      </c>
      <c r="C280" s="3115">
        <v>30</v>
      </c>
      <c r="D280" s="3156" t="s">
        <v>6381</v>
      </c>
      <c r="E280" s="3126" t="s">
        <v>6443</v>
      </c>
      <c r="F280" s="3115" t="s">
        <v>6780</v>
      </c>
      <c r="G280" s="3115">
        <v>4.8</v>
      </c>
      <c r="H280" s="3115">
        <v>107.91</v>
      </c>
      <c r="I280" s="3115"/>
      <c r="J280" s="3114">
        <v>107.91</v>
      </c>
    </row>
    <row r="281" spans="1:10" ht="15">
      <c r="A281" s="3154">
        <v>277</v>
      </c>
      <c r="B281" s="3115" t="s">
        <v>6781</v>
      </c>
      <c r="C281" s="3115">
        <v>30</v>
      </c>
      <c r="D281" s="3156" t="s">
        <v>6381</v>
      </c>
      <c r="E281" s="3126" t="s">
        <v>6443</v>
      </c>
      <c r="F281" s="3115" t="s">
        <v>6782</v>
      </c>
      <c r="G281" s="3115">
        <v>4.8</v>
      </c>
      <c r="H281" s="3115">
        <v>107.91</v>
      </c>
      <c r="I281" s="3115"/>
      <c r="J281" s="3114">
        <v>107.91</v>
      </c>
    </row>
    <row r="282" spans="1:10" ht="15">
      <c r="A282" s="3154">
        <v>278</v>
      </c>
      <c r="B282" s="3115" t="s">
        <v>6783</v>
      </c>
      <c r="C282" s="3115">
        <v>30</v>
      </c>
      <c r="D282" s="3156" t="s">
        <v>6381</v>
      </c>
      <c r="E282" s="3126" t="s">
        <v>6443</v>
      </c>
      <c r="F282" s="3115" t="s">
        <v>6784</v>
      </c>
      <c r="G282" s="3115">
        <v>4.8</v>
      </c>
      <c r="H282" s="3115">
        <v>107.91</v>
      </c>
      <c r="I282" s="3115"/>
      <c r="J282" s="3114">
        <v>107.91</v>
      </c>
    </row>
    <row r="283" spans="1:10" ht="15">
      <c r="A283" s="3154">
        <v>279</v>
      </c>
      <c r="B283" s="3115" t="s">
        <v>6785</v>
      </c>
      <c r="C283" s="3115">
        <v>30</v>
      </c>
      <c r="D283" s="3156" t="s">
        <v>6381</v>
      </c>
      <c r="E283" s="3126" t="s">
        <v>6443</v>
      </c>
      <c r="F283" s="3115" t="s">
        <v>6786</v>
      </c>
      <c r="G283" s="3115">
        <v>4.8</v>
      </c>
      <c r="H283" s="3115">
        <v>107.91</v>
      </c>
      <c r="I283" s="3115"/>
      <c r="J283" s="3114">
        <v>107.91</v>
      </c>
    </row>
    <row r="284" spans="1:10" ht="15">
      <c r="A284" s="3154">
        <v>280</v>
      </c>
      <c r="B284" s="3115" t="s">
        <v>6787</v>
      </c>
      <c r="C284" s="3115">
        <v>30</v>
      </c>
      <c r="D284" s="3156" t="s">
        <v>6381</v>
      </c>
      <c r="E284" s="3126" t="s">
        <v>6443</v>
      </c>
      <c r="F284" s="3115" t="s">
        <v>6788</v>
      </c>
      <c r="G284" s="3115">
        <v>4.8</v>
      </c>
      <c r="H284" s="3115">
        <v>107.91</v>
      </c>
      <c r="I284" s="3115"/>
      <c r="J284" s="3114">
        <v>107.91</v>
      </c>
    </row>
    <row r="285" spans="1:10" ht="15">
      <c r="A285" s="3154">
        <v>281</v>
      </c>
      <c r="B285" s="3115" t="s">
        <v>6789</v>
      </c>
      <c r="C285" s="3115">
        <v>30</v>
      </c>
      <c r="D285" s="3156" t="s">
        <v>6381</v>
      </c>
      <c r="E285" s="3126" t="s">
        <v>6443</v>
      </c>
      <c r="F285" s="3115" t="s">
        <v>6790</v>
      </c>
      <c r="G285" s="3115">
        <v>4.8</v>
      </c>
      <c r="H285" s="3115">
        <v>107.91</v>
      </c>
      <c r="I285" s="3115"/>
      <c r="J285" s="3114">
        <v>107.91</v>
      </c>
    </row>
    <row r="286" spans="1:10" ht="15">
      <c r="A286" s="3154">
        <v>282</v>
      </c>
      <c r="B286" s="3115" t="s">
        <v>6791</v>
      </c>
      <c r="C286" s="3115">
        <v>30</v>
      </c>
      <c r="D286" s="3156" t="s">
        <v>6381</v>
      </c>
      <c r="E286" s="3126" t="s">
        <v>6443</v>
      </c>
      <c r="F286" s="3115" t="s">
        <v>6792</v>
      </c>
      <c r="G286" s="3115">
        <v>4.8</v>
      </c>
      <c r="H286" s="3115">
        <v>107.91</v>
      </c>
      <c r="I286" s="3115"/>
      <c r="J286" s="3114">
        <v>107.91</v>
      </c>
    </row>
    <row r="287" spans="1:10" ht="15">
      <c r="A287" s="3154">
        <v>283</v>
      </c>
      <c r="B287" s="3115" t="s">
        <v>6793</v>
      </c>
      <c r="C287" s="3115">
        <v>30</v>
      </c>
      <c r="D287" s="3156" t="s">
        <v>6381</v>
      </c>
      <c r="E287" s="3126" t="s">
        <v>6443</v>
      </c>
      <c r="F287" s="3115" t="s">
        <v>6794</v>
      </c>
      <c r="G287" s="3115">
        <v>4.8</v>
      </c>
      <c r="H287" s="3115">
        <v>107.91</v>
      </c>
      <c r="I287" s="3115"/>
      <c r="J287" s="3114">
        <v>107.91</v>
      </c>
    </row>
    <row r="288" spans="1:10" ht="15">
      <c r="A288" s="3154">
        <v>284</v>
      </c>
      <c r="B288" s="3115" t="s">
        <v>6795</v>
      </c>
      <c r="C288" s="3115">
        <v>30</v>
      </c>
      <c r="D288" s="3156" t="s">
        <v>6381</v>
      </c>
      <c r="E288" s="3126" t="s">
        <v>6443</v>
      </c>
      <c r="F288" s="3115" t="s">
        <v>6796</v>
      </c>
      <c r="G288" s="3115">
        <v>4.8</v>
      </c>
      <c r="H288" s="3115">
        <v>107.91</v>
      </c>
      <c r="I288" s="3115"/>
      <c r="J288" s="3114">
        <v>107.91</v>
      </c>
    </row>
    <row r="289" spans="1:10" ht="15">
      <c r="A289" s="3154">
        <v>285</v>
      </c>
      <c r="B289" s="3115" t="s">
        <v>6797</v>
      </c>
      <c r="C289" s="3115">
        <v>30</v>
      </c>
      <c r="D289" s="3156" t="s">
        <v>6381</v>
      </c>
      <c r="E289" s="3126" t="s">
        <v>6443</v>
      </c>
      <c r="F289" s="3115" t="s">
        <v>6798</v>
      </c>
      <c r="G289" s="3115">
        <v>4.8</v>
      </c>
      <c r="H289" s="3115">
        <v>107.91</v>
      </c>
      <c r="I289" s="3115"/>
      <c r="J289" s="3114">
        <v>107.91</v>
      </c>
    </row>
    <row r="290" spans="1:10" ht="15">
      <c r="A290" s="3154">
        <v>286</v>
      </c>
      <c r="B290" s="3115" t="s">
        <v>6799</v>
      </c>
      <c r="C290" s="3115">
        <v>30</v>
      </c>
      <c r="D290" s="3156" t="s">
        <v>6381</v>
      </c>
      <c r="E290" s="3126" t="s">
        <v>6443</v>
      </c>
      <c r="F290" s="3115" t="s">
        <v>6800</v>
      </c>
      <c r="G290" s="3115">
        <v>4.8</v>
      </c>
      <c r="H290" s="3115">
        <v>107.91</v>
      </c>
      <c r="I290" s="3115"/>
      <c r="J290" s="3114">
        <v>107.91</v>
      </c>
    </row>
    <row r="291" spans="1:10" ht="15">
      <c r="A291" s="3154">
        <v>287</v>
      </c>
      <c r="B291" s="3115" t="s">
        <v>6801</v>
      </c>
      <c r="C291" s="3115">
        <v>30</v>
      </c>
      <c r="D291" s="3156" t="s">
        <v>6381</v>
      </c>
      <c r="E291" s="3126" t="s">
        <v>6443</v>
      </c>
      <c r="F291" s="3115" t="s">
        <v>6802</v>
      </c>
      <c r="G291" s="3115">
        <v>4.8</v>
      </c>
      <c r="H291" s="3115">
        <v>107.91</v>
      </c>
      <c r="I291" s="3115"/>
      <c r="J291" s="3114">
        <v>107.91</v>
      </c>
    </row>
    <row r="292" spans="1:10" ht="15">
      <c r="A292" s="3154">
        <v>288</v>
      </c>
      <c r="B292" s="3115" t="s">
        <v>6803</v>
      </c>
      <c r="C292" s="3115">
        <v>30</v>
      </c>
      <c r="D292" s="3156" t="s">
        <v>6381</v>
      </c>
      <c r="E292" s="3126" t="s">
        <v>6443</v>
      </c>
      <c r="F292" s="3115" t="s">
        <v>6804</v>
      </c>
      <c r="G292" s="3115">
        <v>4.8</v>
      </c>
      <c r="H292" s="3115">
        <v>107.91</v>
      </c>
      <c r="I292" s="3115"/>
      <c r="J292" s="3114">
        <v>107.91</v>
      </c>
    </row>
    <row r="293" spans="1:10" ht="15">
      <c r="A293" s="3154">
        <v>289</v>
      </c>
      <c r="B293" s="3115" t="s">
        <v>6805</v>
      </c>
      <c r="C293" s="3115">
        <v>30</v>
      </c>
      <c r="D293" s="3156" t="s">
        <v>6381</v>
      </c>
      <c r="E293" s="3126" t="s">
        <v>6443</v>
      </c>
      <c r="F293" s="3115" t="s">
        <v>6806</v>
      </c>
      <c r="G293" s="3115">
        <v>4.8</v>
      </c>
      <c r="H293" s="3115">
        <v>107.91</v>
      </c>
      <c r="I293" s="3115"/>
      <c r="J293" s="3114">
        <v>107.91</v>
      </c>
    </row>
    <row r="294" spans="1:10" ht="15">
      <c r="A294" s="3154">
        <v>290</v>
      </c>
      <c r="B294" s="3115" t="s">
        <v>6807</v>
      </c>
      <c r="C294" s="3115">
        <v>30</v>
      </c>
      <c r="D294" s="3156" t="s">
        <v>6381</v>
      </c>
      <c r="E294" s="3126" t="s">
        <v>6443</v>
      </c>
      <c r="F294" s="3115" t="s">
        <v>6808</v>
      </c>
      <c r="G294" s="3115">
        <v>4.8</v>
      </c>
      <c r="H294" s="3115">
        <v>107.91</v>
      </c>
      <c r="I294" s="3115"/>
      <c r="J294" s="3114">
        <v>107.91</v>
      </c>
    </row>
    <row r="295" spans="1:10" ht="15">
      <c r="A295" s="3154">
        <v>291</v>
      </c>
      <c r="B295" s="3115" t="s">
        <v>6809</v>
      </c>
      <c r="C295" s="3115">
        <v>30</v>
      </c>
      <c r="D295" s="3156" t="s">
        <v>6381</v>
      </c>
      <c r="E295" s="3126" t="s">
        <v>6443</v>
      </c>
      <c r="F295" s="3115" t="s">
        <v>6810</v>
      </c>
      <c r="G295" s="3115">
        <v>4.8</v>
      </c>
      <c r="H295" s="3115">
        <v>107.91</v>
      </c>
      <c r="I295" s="3115"/>
      <c r="J295" s="3114">
        <v>107.91</v>
      </c>
    </row>
    <row r="296" spans="1:10" ht="15">
      <c r="A296" s="3154">
        <v>292</v>
      </c>
      <c r="B296" s="3115" t="s">
        <v>6811</v>
      </c>
      <c r="C296" s="3115">
        <v>30</v>
      </c>
      <c r="D296" s="3156" t="s">
        <v>6381</v>
      </c>
      <c r="E296" s="3126" t="s">
        <v>6443</v>
      </c>
      <c r="F296" s="3115" t="s">
        <v>6812</v>
      </c>
      <c r="G296" s="3115">
        <v>4.8</v>
      </c>
      <c r="H296" s="3115">
        <v>107.91</v>
      </c>
      <c r="I296" s="3115"/>
      <c r="J296" s="3114">
        <v>107.91</v>
      </c>
    </row>
    <row r="297" spans="1:10" ht="15">
      <c r="A297" s="3154">
        <v>293</v>
      </c>
      <c r="B297" s="3115" t="s">
        <v>6813</v>
      </c>
      <c r="C297" s="3115">
        <v>30</v>
      </c>
      <c r="D297" s="3156" t="s">
        <v>6381</v>
      </c>
      <c r="E297" s="3126" t="s">
        <v>6443</v>
      </c>
      <c r="F297" s="3115" t="s">
        <v>6814</v>
      </c>
      <c r="G297" s="3115">
        <v>4.8</v>
      </c>
      <c r="H297" s="3115">
        <v>107.91</v>
      </c>
      <c r="I297" s="3115"/>
      <c r="J297" s="3114">
        <v>107.91</v>
      </c>
    </row>
    <row r="298" spans="1:10" ht="15">
      <c r="A298" s="3154">
        <v>294</v>
      </c>
      <c r="B298" s="3115" t="s">
        <v>6815</v>
      </c>
      <c r="C298" s="3115">
        <v>30</v>
      </c>
      <c r="D298" s="3156" t="s">
        <v>6381</v>
      </c>
      <c r="E298" s="3126" t="s">
        <v>6443</v>
      </c>
      <c r="F298" s="3115" t="s">
        <v>6816</v>
      </c>
      <c r="G298" s="3115">
        <v>4.8</v>
      </c>
      <c r="H298" s="3115">
        <v>107.91</v>
      </c>
      <c r="I298" s="3115"/>
      <c r="J298" s="3114">
        <v>107.91</v>
      </c>
    </row>
    <row r="299" spans="1:10" ht="15">
      <c r="A299" s="3154">
        <v>295</v>
      </c>
      <c r="B299" s="3115" t="s">
        <v>6817</v>
      </c>
      <c r="C299" s="3115">
        <v>30</v>
      </c>
      <c r="D299" s="3156" t="s">
        <v>6381</v>
      </c>
      <c r="E299" s="3126" t="s">
        <v>6443</v>
      </c>
      <c r="F299" s="3115" t="s">
        <v>6818</v>
      </c>
      <c r="G299" s="3115">
        <v>4.2</v>
      </c>
      <c r="H299" s="3115">
        <v>93.87</v>
      </c>
      <c r="I299" s="3115"/>
      <c r="J299" s="3114">
        <v>93.87</v>
      </c>
    </row>
    <row r="300" spans="1:10" ht="15">
      <c r="A300" s="3154">
        <v>296</v>
      </c>
      <c r="B300" s="3115" t="s">
        <v>6819</v>
      </c>
      <c r="C300" s="3115">
        <v>30</v>
      </c>
      <c r="D300" s="3156" t="s">
        <v>6381</v>
      </c>
      <c r="E300" s="3126" t="s">
        <v>6443</v>
      </c>
      <c r="F300" s="3115" t="s">
        <v>6820</v>
      </c>
      <c r="G300" s="3115">
        <v>4.8</v>
      </c>
      <c r="H300" s="3115">
        <v>107.91</v>
      </c>
      <c r="I300" s="3115"/>
      <c r="J300" s="3114">
        <v>107.91</v>
      </c>
    </row>
    <row r="301" spans="1:10" ht="15">
      <c r="A301" s="3154">
        <v>297</v>
      </c>
      <c r="B301" s="3115" t="s">
        <v>6821</v>
      </c>
      <c r="C301" s="3115">
        <v>30</v>
      </c>
      <c r="D301" s="3156" t="s">
        <v>6381</v>
      </c>
      <c r="E301" s="3126" t="s">
        <v>6443</v>
      </c>
      <c r="F301" s="3115" t="s">
        <v>6822</v>
      </c>
      <c r="G301" s="3115">
        <v>4.8</v>
      </c>
      <c r="H301" s="3115">
        <v>107.91</v>
      </c>
      <c r="I301" s="3115"/>
      <c r="J301" s="3114">
        <v>107.91</v>
      </c>
    </row>
    <row r="302" spans="1:10" ht="15">
      <c r="A302" s="3154">
        <v>298</v>
      </c>
      <c r="B302" s="3115" t="s">
        <v>6823</v>
      </c>
      <c r="C302" s="3115">
        <v>30</v>
      </c>
      <c r="D302" s="3156" t="s">
        <v>6381</v>
      </c>
      <c r="E302" s="3126" t="s">
        <v>6443</v>
      </c>
      <c r="F302" s="3115" t="s">
        <v>6824</v>
      </c>
      <c r="G302" s="3115">
        <v>4.8</v>
      </c>
      <c r="H302" s="3115">
        <v>107.91</v>
      </c>
      <c r="I302" s="3115"/>
      <c r="J302" s="3114">
        <v>107.91</v>
      </c>
    </row>
    <row r="303" spans="1:10" ht="15">
      <c r="A303" s="3154">
        <v>299</v>
      </c>
      <c r="B303" s="3115" t="s">
        <v>6825</v>
      </c>
      <c r="C303" s="3115">
        <v>30</v>
      </c>
      <c r="D303" s="3156" t="s">
        <v>6381</v>
      </c>
      <c r="E303" s="3126" t="s">
        <v>6443</v>
      </c>
      <c r="F303" s="3115" t="s">
        <v>6826</v>
      </c>
      <c r="G303" s="3115">
        <v>4.8</v>
      </c>
      <c r="H303" s="3115">
        <v>107.91</v>
      </c>
      <c r="I303" s="3115"/>
      <c r="J303" s="3114">
        <v>107.91</v>
      </c>
    </row>
    <row r="304" spans="1:10" ht="15">
      <c r="A304" s="3154">
        <v>300</v>
      </c>
      <c r="B304" s="3115" t="s">
        <v>6827</v>
      </c>
      <c r="C304" s="3115">
        <v>30</v>
      </c>
      <c r="D304" s="3156" t="s">
        <v>6381</v>
      </c>
      <c r="E304" s="3126" t="s">
        <v>6443</v>
      </c>
      <c r="F304" s="3115" t="s">
        <v>6828</v>
      </c>
      <c r="G304" s="3115">
        <v>4.8</v>
      </c>
      <c r="H304" s="3115">
        <v>107.91</v>
      </c>
      <c r="I304" s="3115"/>
      <c r="J304" s="3114">
        <v>107.91</v>
      </c>
    </row>
    <row r="305" spans="1:10" ht="15">
      <c r="A305" s="3154">
        <v>301</v>
      </c>
      <c r="B305" s="3115" t="s">
        <v>6829</v>
      </c>
      <c r="C305" s="3115">
        <v>30</v>
      </c>
      <c r="D305" s="3156" t="s">
        <v>6381</v>
      </c>
      <c r="E305" s="3126" t="s">
        <v>6443</v>
      </c>
      <c r="F305" s="3115" t="s">
        <v>6830</v>
      </c>
      <c r="G305" s="3115">
        <v>4.8</v>
      </c>
      <c r="H305" s="3115">
        <v>107.91</v>
      </c>
      <c r="I305" s="3115"/>
      <c r="J305" s="3114">
        <v>107.91</v>
      </c>
    </row>
    <row r="306" spans="1:10" ht="15">
      <c r="A306" s="3154">
        <v>302</v>
      </c>
      <c r="B306" s="3115" t="s">
        <v>6831</v>
      </c>
      <c r="C306" s="3115">
        <v>30</v>
      </c>
      <c r="D306" s="3156" t="s">
        <v>6381</v>
      </c>
      <c r="E306" s="3126" t="s">
        <v>6443</v>
      </c>
      <c r="F306" s="3115" t="s">
        <v>6832</v>
      </c>
      <c r="G306" s="3115">
        <v>4.8</v>
      </c>
      <c r="H306" s="3115">
        <v>107.91</v>
      </c>
      <c r="I306" s="3115"/>
      <c r="J306" s="3114">
        <v>107.91</v>
      </c>
    </row>
    <row r="307" spans="1:10" ht="15">
      <c r="A307" s="3154">
        <v>303</v>
      </c>
      <c r="B307" s="3115" t="s">
        <v>6833</v>
      </c>
      <c r="C307" s="3115">
        <v>30</v>
      </c>
      <c r="D307" s="3156" t="s">
        <v>6381</v>
      </c>
      <c r="E307" s="3126" t="s">
        <v>6443</v>
      </c>
      <c r="F307" s="3115" t="s">
        <v>6834</v>
      </c>
      <c r="G307" s="3115">
        <v>4.8</v>
      </c>
      <c r="H307" s="3115">
        <v>107.91</v>
      </c>
      <c r="I307" s="3115"/>
      <c r="J307" s="3114">
        <v>107.91</v>
      </c>
    </row>
    <row r="308" spans="1:10" ht="15">
      <c r="A308" s="3154">
        <v>304</v>
      </c>
      <c r="B308" s="3115" t="s">
        <v>6835</v>
      </c>
      <c r="C308" s="3115">
        <v>30</v>
      </c>
      <c r="D308" s="3156" t="s">
        <v>6381</v>
      </c>
      <c r="E308" s="3126" t="s">
        <v>6443</v>
      </c>
      <c r="F308" s="3115" t="s">
        <v>6836</v>
      </c>
      <c r="G308" s="3115">
        <v>4.8</v>
      </c>
      <c r="H308" s="3115">
        <v>107.91</v>
      </c>
      <c r="I308" s="3115"/>
      <c r="J308" s="3114">
        <v>107.91</v>
      </c>
    </row>
    <row r="309" spans="1:10" ht="15">
      <c r="A309" s="3154">
        <v>305</v>
      </c>
      <c r="B309" s="3115" t="s">
        <v>6837</v>
      </c>
      <c r="C309" s="3115">
        <v>30</v>
      </c>
      <c r="D309" s="3156" t="s">
        <v>6381</v>
      </c>
      <c r="E309" s="3126" t="s">
        <v>6443</v>
      </c>
      <c r="F309" s="3115" t="s">
        <v>6838</v>
      </c>
      <c r="G309" s="3115">
        <v>4.8</v>
      </c>
      <c r="H309" s="3115">
        <v>107.91</v>
      </c>
      <c r="I309" s="3115"/>
      <c r="J309" s="3114">
        <v>107.91</v>
      </c>
    </row>
    <row r="310" spans="1:10" ht="15">
      <c r="A310" s="3154">
        <v>306</v>
      </c>
      <c r="B310" s="3115" t="s">
        <v>6839</v>
      </c>
      <c r="C310" s="3115">
        <v>30</v>
      </c>
      <c r="D310" s="3156" t="s">
        <v>6381</v>
      </c>
      <c r="E310" s="3126" t="s">
        <v>6443</v>
      </c>
      <c r="F310" s="3115" t="s">
        <v>6840</v>
      </c>
      <c r="G310" s="3115">
        <v>4.8</v>
      </c>
      <c r="H310" s="3115">
        <v>107.91</v>
      </c>
      <c r="I310" s="3115"/>
      <c r="J310" s="3114">
        <v>107.91</v>
      </c>
    </row>
    <row r="311" spans="1:10" ht="15">
      <c r="A311" s="3154">
        <v>307</v>
      </c>
      <c r="B311" s="3115" t="s">
        <v>6841</v>
      </c>
      <c r="C311" s="3115">
        <v>30</v>
      </c>
      <c r="D311" s="3156" t="s">
        <v>6381</v>
      </c>
      <c r="E311" s="3126" t="s">
        <v>6443</v>
      </c>
      <c r="F311" s="3115" t="s">
        <v>6842</v>
      </c>
      <c r="G311" s="3115">
        <v>4.8</v>
      </c>
      <c r="H311" s="3115">
        <v>107.91</v>
      </c>
      <c r="I311" s="3115"/>
      <c r="J311" s="3114">
        <v>107.91</v>
      </c>
    </row>
    <row r="312" spans="1:10" ht="15">
      <c r="A312" s="3154">
        <v>308</v>
      </c>
      <c r="B312" s="3115" t="s">
        <v>6843</v>
      </c>
      <c r="C312" s="3115">
        <v>30</v>
      </c>
      <c r="D312" s="3156" t="s">
        <v>6381</v>
      </c>
      <c r="E312" s="3126" t="s">
        <v>6443</v>
      </c>
      <c r="F312" s="3115" t="s">
        <v>6844</v>
      </c>
      <c r="G312" s="3115">
        <v>4.8</v>
      </c>
      <c r="H312" s="3115">
        <v>107.91</v>
      </c>
      <c r="I312" s="3115"/>
      <c r="J312" s="3114">
        <v>107.91</v>
      </c>
    </row>
    <row r="313" spans="1:10" ht="15">
      <c r="A313" s="3154">
        <v>309</v>
      </c>
      <c r="B313" s="3115" t="s">
        <v>6845</v>
      </c>
      <c r="C313" s="3115">
        <v>30</v>
      </c>
      <c r="D313" s="3156" t="s">
        <v>6381</v>
      </c>
      <c r="E313" s="3126" t="s">
        <v>6443</v>
      </c>
      <c r="F313" s="3115" t="s">
        <v>6846</v>
      </c>
      <c r="G313" s="3115">
        <v>4.8</v>
      </c>
      <c r="H313" s="3115">
        <v>107.91</v>
      </c>
      <c r="I313" s="3115"/>
      <c r="J313" s="3114">
        <v>107.91</v>
      </c>
    </row>
    <row r="314" spans="1:10" s="3125" customFormat="1" ht="15">
      <c r="A314" s="3154">
        <v>310</v>
      </c>
      <c r="B314" s="3115" t="s">
        <v>6847</v>
      </c>
      <c r="C314" s="3115">
        <v>30</v>
      </c>
      <c r="D314" s="3156" t="s">
        <v>6381</v>
      </c>
      <c r="E314" s="3126" t="s">
        <v>6443</v>
      </c>
      <c r="F314" s="3115" t="s">
        <v>6848</v>
      </c>
      <c r="G314" s="3115">
        <v>4.8</v>
      </c>
      <c r="H314" s="3115">
        <v>107.91</v>
      </c>
      <c r="I314" s="3115"/>
      <c r="J314" s="3114">
        <v>107.91</v>
      </c>
    </row>
    <row r="315" spans="1:10" s="3125" customFormat="1" ht="15">
      <c r="A315" s="3154">
        <v>311</v>
      </c>
      <c r="B315" s="3115" t="s">
        <v>6849</v>
      </c>
      <c r="C315" s="3115">
        <v>30</v>
      </c>
      <c r="D315" s="3156" t="s">
        <v>6381</v>
      </c>
      <c r="E315" s="3126" t="s">
        <v>6443</v>
      </c>
      <c r="F315" s="3115" t="s">
        <v>6850</v>
      </c>
      <c r="G315" s="3115">
        <v>4.8</v>
      </c>
      <c r="H315" s="3115">
        <v>107.91</v>
      </c>
      <c r="I315" s="3115"/>
      <c r="J315" s="3114">
        <v>107.91</v>
      </c>
    </row>
    <row r="316" spans="1:10" s="3125" customFormat="1" ht="15">
      <c r="A316" s="3154">
        <v>312</v>
      </c>
      <c r="B316" s="3115" t="s">
        <v>6851</v>
      </c>
      <c r="C316" s="3115">
        <v>30</v>
      </c>
      <c r="D316" s="3156" t="s">
        <v>6381</v>
      </c>
      <c r="E316" s="3126" t="s">
        <v>6443</v>
      </c>
      <c r="F316" s="3115" t="s">
        <v>6852</v>
      </c>
      <c r="G316" s="3115">
        <v>4.8</v>
      </c>
      <c r="H316" s="3115">
        <v>107.91</v>
      </c>
      <c r="I316" s="3115"/>
      <c r="J316" s="3114">
        <v>107.91</v>
      </c>
    </row>
    <row r="317" spans="1:10" s="3125" customFormat="1" ht="15">
      <c r="A317" s="3154">
        <v>313</v>
      </c>
      <c r="B317" s="3115" t="s">
        <v>6853</v>
      </c>
      <c r="C317" s="3115">
        <v>30</v>
      </c>
      <c r="D317" s="3156" t="s">
        <v>6381</v>
      </c>
      <c r="E317" s="3126" t="s">
        <v>6443</v>
      </c>
      <c r="F317" s="3115" t="s">
        <v>6854</v>
      </c>
      <c r="G317" s="3115">
        <v>4.8</v>
      </c>
      <c r="H317" s="3115">
        <v>107.91</v>
      </c>
      <c r="I317" s="3115"/>
      <c r="J317" s="3114">
        <v>107.91</v>
      </c>
    </row>
    <row r="318" spans="1:10" s="3125" customFormat="1" ht="15">
      <c r="A318" s="3154">
        <v>314</v>
      </c>
      <c r="B318" s="3115" t="s">
        <v>6855</v>
      </c>
      <c r="C318" s="3115">
        <v>30</v>
      </c>
      <c r="D318" s="3156" t="s">
        <v>6381</v>
      </c>
      <c r="E318" s="3126" t="s">
        <v>6443</v>
      </c>
      <c r="F318" s="3115" t="s">
        <v>6856</v>
      </c>
      <c r="G318" s="3115">
        <v>4.8</v>
      </c>
      <c r="H318" s="3115">
        <v>107.91</v>
      </c>
      <c r="I318" s="3115"/>
      <c r="J318" s="3114">
        <v>107.91</v>
      </c>
    </row>
    <row r="319" spans="1:10" ht="15">
      <c r="A319" s="3154">
        <v>315</v>
      </c>
      <c r="B319" s="3115" t="s">
        <v>6857</v>
      </c>
      <c r="C319" s="3115">
        <v>30</v>
      </c>
      <c r="D319" s="3156" t="s">
        <v>6381</v>
      </c>
      <c r="E319" s="3126" t="s">
        <v>6443</v>
      </c>
      <c r="F319" s="3115" t="s">
        <v>6858</v>
      </c>
      <c r="G319" s="3115">
        <v>4.8</v>
      </c>
      <c r="H319" s="3115">
        <v>107.91</v>
      </c>
      <c r="I319" s="3115"/>
      <c r="J319" s="3114">
        <v>107.91</v>
      </c>
    </row>
    <row r="320" spans="1:10" ht="15">
      <c r="A320" s="3154">
        <v>316</v>
      </c>
      <c r="B320" s="3115" t="s">
        <v>6859</v>
      </c>
      <c r="C320" s="3115">
        <v>30</v>
      </c>
      <c r="D320" s="3156" t="s">
        <v>6381</v>
      </c>
      <c r="E320" s="3126" t="s">
        <v>6443</v>
      </c>
      <c r="F320" s="3115" t="s">
        <v>6860</v>
      </c>
      <c r="G320" s="3115">
        <v>4.8</v>
      </c>
      <c r="H320" s="3115">
        <v>107.91</v>
      </c>
      <c r="I320" s="3115"/>
      <c r="J320" s="3114">
        <v>107.91</v>
      </c>
    </row>
    <row r="321" spans="1:10" ht="15">
      <c r="A321" s="3154">
        <v>317</v>
      </c>
      <c r="B321" s="3115" t="s">
        <v>6861</v>
      </c>
      <c r="C321" s="3115">
        <v>30</v>
      </c>
      <c r="D321" s="3156" t="s">
        <v>6381</v>
      </c>
      <c r="E321" s="3126" t="s">
        <v>6443</v>
      </c>
      <c r="F321" s="3115" t="s">
        <v>6862</v>
      </c>
      <c r="G321" s="3115">
        <v>4.8</v>
      </c>
      <c r="H321" s="3115">
        <v>107.91</v>
      </c>
      <c r="I321" s="3115"/>
      <c r="J321" s="3114">
        <v>107.91</v>
      </c>
    </row>
    <row r="322" spans="1:10" ht="15">
      <c r="A322" s="3154">
        <v>318</v>
      </c>
      <c r="B322" s="3115" t="s">
        <v>6863</v>
      </c>
      <c r="C322" s="3115">
        <v>30</v>
      </c>
      <c r="D322" s="3156" t="s">
        <v>6381</v>
      </c>
      <c r="E322" s="3126" t="s">
        <v>6443</v>
      </c>
      <c r="F322" s="3115" t="s">
        <v>6864</v>
      </c>
      <c r="G322" s="3115">
        <v>4.8</v>
      </c>
      <c r="H322" s="3115">
        <v>107.91</v>
      </c>
      <c r="I322" s="3115"/>
      <c r="J322" s="3114">
        <v>107.91</v>
      </c>
    </row>
    <row r="323" spans="1:10" ht="15">
      <c r="A323" s="3154">
        <v>319</v>
      </c>
      <c r="B323" s="3115" t="s">
        <v>6865</v>
      </c>
      <c r="C323" s="3115">
        <v>30</v>
      </c>
      <c r="D323" s="3156" t="s">
        <v>6381</v>
      </c>
      <c r="E323" s="3126" t="s">
        <v>6443</v>
      </c>
      <c r="F323" s="3115" t="s">
        <v>6866</v>
      </c>
      <c r="G323" s="3115">
        <v>4.8</v>
      </c>
      <c r="H323" s="3115">
        <v>107.91</v>
      </c>
      <c r="I323" s="3115"/>
      <c r="J323" s="3114">
        <v>107.91</v>
      </c>
    </row>
    <row r="324" spans="1:10" ht="15">
      <c r="A324" s="3154">
        <v>320</v>
      </c>
      <c r="B324" s="3115" t="s">
        <v>6867</v>
      </c>
      <c r="C324" s="3115">
        <v>30</v>
      </c>
      <c r="D324" s="3156" t="s">
        <v>6381</v>
      </c>
      <c r="E324" s="3126" t="s">
        <v>6443</v>
      </c>
      <c r="F324" s="3115" t="s">
        <v>6868</v>
      </c>
      <c r="G324" s="3115">
        <v>4.8</v>
      </c>
      <c r="H324" s="3115">
        <v>107.91</v>
      </c>
      <c r="I324" s="3115"/>
      <c r="J324" s="3114">
        <v>107.91</v>
      </c>
    </row>
    <row r="325" spans="1:10" ht="15">
      <c r="A325" s="3154">
        <v>321</v>
      </c>
      <c r="B325" s="3115" t="s">
        <v>6869</v>
      </c>
      <c r="C325" s="3115">
        <v>30</v>
      </c>
      <c r="D325" s="3156" t="s">
        <v>6381</v>
      </c>
      <c r="E325" s="3126" t="s">
        <v>6443</v>
      </c>
      <c r="F325" s="3115" t="s">
        <v>6870</v>
      </c>
      <c r="G325" s="3115">
        <v>4.8</v>
      </c>
      <c r="H325" s="3115">
        <v>107.91</v>
      </c>
      <c r="I325" s="3115"/>
      <c r="J325" s="3114">
        <v>107.91</v>
      </c>
    </row>
    <row r="326" spans="1:10" ht="15">
      <c r="A326" s="3154">
        <v>322</v>
      </c>
      <c r="B326" s="3115" t="s">
        <v>6871</v>
      </c>
      <c r="C326" s="3115">
        <v>30</v>
      </c>
      <c r="D326" s="3156" t="s">
        <v>6381</v>
      </c>
      <c r="E326" s="3126" t="s">
        <v>6443</v>
      </c>
      <c r="F326" s="3115" t="s">
        <v>6872</v>
      </c>
      <c r="G326" s="3115">
        <v>4.8</v>
      </c>
      <c r="H326" s="3115">
        <v>107.91</v>
      </c>
      <c r="I326" s="3115"/>
      <c r="J326" s="3114">
        <v>107.91</v>
      </c>
    </row>
    <row r="327" spans="1:10" ht="15">
      <c r="A327" s="3154">
        <v>323</v>
      </c>
      <c r="B327" s="3115" t="s">
        <v>6873</v>
      </c>
      <c r="C327" s="3115">
        <v>30</v>
      </c>
      <c r="D327" s="3156" t="s">
        <v>6381</v>
      </c>
      <c r="E327" s="3126" t="s">
        <v>6443</v>
      </c>
      <c r="F327" s="3115" t="s">
        <v>6874</v>
      </c>
      <c r="G327" s="3115">
        <v>4.8</v>
      </c>
      <c r="H327" s="3115">
        <v>107.91</v>
      </c>
      <c r="I327" s="3115"/>
      <c r="J327" s="3114">
        <v>107.91</v>
      </c>
    </row>
    <row r="328" spans="1:10" ht="15">
      <c r="A328" s="3154">
        <v>324</v>
      </c>
      <c r="B328" s="3115" t="s">
        <v>6875</v>
      </c>
      <c r="C328" s="3115">
        <v>30</v>
      </c>
      <c r="D328" s="3156" t="s">
        <v>6381</v>
      </c>
      <c r="E328" s="3126" t="s">
        <v>6443</v>
      </c>
      <c r="F328" s="3115" t="s">
        <v>6876</v>
      </c>
      <c r="G328" s="3115">
        <v>4.2</v>
      </c>
      <c r="H328" s="3115">
        <v>93.87</v>
      </c>
      <c r="I328" s="3115"/>
      <c r="J328" s="3114">
        <v>93.87</v>
      </c>
    </row>
    <row r="329" spans="1:10" ht="15">
      <c r="A329" s="3154">
        <v>325</v>
      </c>
      <c r="B329" s="3115" t="s">
        <v>6877</v>
      </c>
      <c r="C329" s="3115">
        <v>30</v>
      </c>
      <c r="D329" s="3156" t="s">
        <v>6381</v>
      </c>
      <c r="E329" s="3126" t="s">
        <v>6443</v>
      </c>
      <c r="F329" s="3115" t="s">
        <v>6878</v>
      </c>
      <c r="G329" s="3115">
        <v>3.9</v>
      </c>
      <c r="H329" s="3115">
        <v>87.87</v>
      </c>
      <c r="I329" s="3115"/>
      <c r="J329" s="3114">
        <v>87.87</v>
      </c>
    </row>
    <row r="330" spans="1:10" ht="15">
      <c r="A330" s="3154">
        <v>326</v>
      </c>
      <c r="B330" s="3115" t="s">
        <v>6879</v>
      </c>
      <c r="C330" s="3115">
        <v>30</v>
      </c>
      <c r="D330" s="3156" t="s">
        <v>6381</v>
      </c>
      <c r="E330" s="3126" t="s">
        <v>6443</v>
      </c>
      <c r="F330" s="3115" t="s">
        <v>6880</v>
      </c>
      <c r="G330" s="3115">
        <v>3.9</v>
      </c>
      <c r="H330" s="3115">
        <v>87.87</v>
      </c>
      <c r="I330" s="3115"/>
      <c r="J330" s="3114">
        <v>87.87</v>
      </c>
    </row>
    <row r="331" spans="1:10" ht="15">
      <c r="A331" s="3154">
        <v>327</v>
      </c>
      <c r="B331" s="3115" t="s">
        <v>6881</v>
      </c>
      <c r="C331" s="3115">
        <v>30</v>
      </c>
      <c r="D331" s="3156" t="s">
        <v>6381</v>
      </c>
      <c r="E331" s="3126" t="s">
        <v>6443</v>
      </c>
      <c r="F331" s="3115" t="s">
        <v>6882</v>
      </c>
      <c r="G331" s="3115">
        <v>3.9</v>
      </c>
      <c r="H331" s="3115">
        <v>87.87</v>
      </c>
      <c r="I331" s="3115"/>
      <c r="J331" s="3114">
        <v>87.87</v>
      </c>
    </row>
    <row r="332" spans="1:10" ht="15">
      <c r="A332" s="3154">
        <v>328</v>
      </c>
      <c r="B332" s="3115" t="s">
        <v>6883</v>
      </c>
      <c r="C332" s="3115">
        <v>30</v>
      </c>
      <c r="D332" s="3156" t="s">
        <v>6381</v>
      </c>
      <c r="E332" s="3126" t="s">
        <v>6443</v>
      </c>
      <c r="F332" s="3115" t="s">
        <v>6884</v>
      </c>
      <c r="G332" s="3115">
        <v>3.9</v>
      </c>
      <c r="H332" s="3115">
        <v>87.87</v>
      </c>
      <c r="I332" s="3115"/>
      <c r="J332" s="3114">
        <v>87.87</v>
      </c>
    </row>
    <row r="333" spans="1:10" ht="15">
      <c r="A333" s="3154">
        <v>329</v>
      </c>
      <c r="B333" s="3115" t="s">
        <v>6885</v>
      </c>
      <c r="C333" s="3115">
        <v>30</v>
      </c>
      <c r="D333" s="3156" t="s">
        <v>6381</v>
      </c>
      <c r="E333" s="3126" t="s">
        <v>6443</v>
      </c>
      <c r="F333" s="3115" t="s">
        <v>6886</v>
      </c>
      <c r="G333" s="3115">
        <v>3.9</v>
      </c>
      <c r="H333" s="3115">
        <v>87.87</v>
      </c>
      <c r="I333" s="3115"/>
      <c r="J333" s="3114">
        <v>87.87</v>
      </c>
    </row>
    <row r="334" spans="1:10" ht="15">
      <c r="A334" s="3154">
        <v>330</v>
      </c>
      <c r="B334" s="3115" t="s">
        <v>6887</v>
      </c>
      <c r="C334" s="3115">
        <v>30</v>
      </c>
      <c r="D334" s="3156" t="s">
        <v>6381</v>
      </c>
      <c r="E334" s="3126" t="s">
        <v>6443</v>
      </c>
      <c r="F334" s="3115" t="s">
        <v>6888</v>
      </c>
      <c r="G334" s="3115">
        <v>3.9</v>
      </c>
      <c r="H334" s="3115">
        <v>87.87</v>
      </c>
      <c r="I334" s="3115"/>
      <c r="J334" s="3114">
        <v>87.87</v>
      </c>
    </row>
    <row r="335" spans="1:10" ht="15">
      <c r="A335" s="3154">
        <v>331</v>
      </c>
      <c r="B335" s="3115" t="s">
        <v>6889</v>
      </c>
      <c r="C335" s="3115">
        <v>30</v>
      </c>
      <c r="D335" s="3156" t="s">
        <v>6381</v>
      </c>
      <c r="E335" s="3126" t="s">
        <v>6443</v>
      </c>
      <c r="F335" s="3115" t="s">
        <v>6890</v>
      </c>
      <c r="G335" s="3115">
        <v>3.9</v>
      </c>
      <c r="H335" s="3115">
        <v>87.87</v>
      </c>
      <c r="I335" s="3115"/>
      <c r="J335" s="3114">
        <v>87.87</v>
      </c>
    </row>
    <row r="336" spans="1:10" ht="15">
      <c r="A336" s="3154">
        <v>332</v>
      </c>
      <c r="B336" s="3115" t="s">
        <v>6891</v>
      </c>
      <c r="C336" s="3115">
        <v>30</v>
      </c>
      <c r="D336" s="3156" t="s">
        <v>6381</v>
      </c>
      <c r="E336" s="3126" t="s">
        <v>6443</v>
      </c>
      <c r="F336" s="3115" t="s">
        <v>6892</v>
      </c>
      <c r="G336" s="3115">
        <v>3.9</v>
      </c>
      <c r="H336" s="3115">
        <v>87.87</v>
      </c>
      <c r="I336" s="3115"/>
      <c r="J336" s="3114">
        <v>87.87</v>
      </c>
    </row>
    <row r="337" spans="1:10" ht="15">
      <c r="A337" s="3154">
        <v>333</v>
      </c>
      <c r="B337" s="3115" t="s">
        <v>6893</v>
      </c>
      <c r="C337" s="3115">
        <v>30</v>
      </c>
      <c r="D337" s="3156" t="s">
        <v>6381</v>
      </c>
      <c r="E337" s="3126" t="s">
        <v>6443</v>
      </c>
      <c r="F337" s="3115" t="s">
        <v>6894</v>
      </c>
      <c r="G337" s="3115">
        <v>3.9</v>
      </c>
      <c r="H337" s="3115">
        <v>87.87</v>
      </c>
      <c r="I337" s="3115"/>
      <c r="J337" s="3114">
        <v>87.87</v>
      </c>
    </row>
    <row r="338" spans="1:10" ht="15">
      <c r="A338" s="3154">
        <v>334</v>
      </c>
      <c r="B338" s="3115" t="s">
        <v>6895</v>
      </c>
      <c r="C338" s="3115">
        <v>30</v>
      </c>
      <c r="D338" s="3156" t="s">
        <v>6381</v>
      </c>
      <c r="E338" s="3126" t="s">
        <v>6443</v>
      </c>
      <c r="F338" s="3115" t="s">
        <v>6896</v>
      </c>
      <c r="G338" s="3115">
        <v>3.9</v>
      </c>
      <c r="H338" s="3115">
        <v>87.87</v>
      </c>
      <c r="I338" s="3115"/>
      <c r="J338" s="3114">
        <v>87.87</v>
      </c>
    </row>
    <row r="339" spans="1:10" ht="15">
      <c r="A339" s="3154">
        <v>335</v>
      </c>
      <c r="B339" s="3115" t="s">
        <v>6897</v>
      </c>
      <c r="C339" s="3115">
        <v>30</v>
      </c>
      <c r="D339" s="3156" t="s">
        <v>6381</v>
      </c>
      <c r="E339" s="3126" t="s">
        <v>6443</v>
      </c>
      <c r="F339" s="3115" t="s">
        <v>6898</v>
      </c>
      <c r="G339" s="3115">
        <v>3.9</v>
      </c>
      <c r="H339" s="3115">
        <v>87.87</v>
      </c>
      <c r="I339" s="3115"/>
      <c r="J339" s="3114">
        <v>87.87</v>
      </c>
    </row>
    <row r="340" spans="1:10" ht="15">
      <c r="A340" s="3154">
        <v>336</v>
      </c>
      <c r="B340" s="3115" t="s">
        <v>6899</v>
      </c>
      <c r="C340" s="3115">
        <v>30</v>
      </c>
      <c r="D340" s="3156" t="s">
        <v>6381</v>
      </c>
      <c r="E340" s="3126" t="s">
        <v>6443</v>
      </c>
      <c r="F340" s="3115" t="s">
        <v>6900</v>
      </c>
      <c r="G340" s="3115">
        <v>3.9</v>
      </c>
      <c r="H340" s="3115">
        <v>87.87</v>
      </c>
      <c r="I340" s="3115"/>
      <c r="J340" s="3114">
        <v>87.87</v>
      </c>
    </row>
    <row r="341" spans="1:10" ht="15">
      <c r="A341" s="3154">
        <v>337</v>
      </c>
      <c r="B341" s="3115" t="s">
        <v>6901</v>
      </c>
      <c r="C341" s="3115">
        <v>30</v>
      </c>
      <c r="D341" s="3156" t="s">
        <v>6381</v>
      </c>
      <c r="E341" s="3126" t="s">
        <v>6443</v>
      </c>
      <c r="F341" s="3115" t="s">
        <v>6902</v>
      </c>
      <c r="G341" s="3115">
        <v>3.9</v>
      </c>
      <c r="H341" s="3115">
        <v>87.87</v>
      </c>
      <c r="I341" s="3115"/>
      <c r="J341" s="3114">
        <v>87.87</v>
      </c>
    </row>
    <row r="342" spans="1:10" ht="15">
      <c r="A342" s="3154">
        <v>338</v>
      </c>
      <c r="B342" s="3115" t="s">
        <v>6903</v>
      </c>
      <c r="C342" s="3115">
        <v>30</v>
      </c>
      <c r="D342" s="3156" t="s">
        <v>6381</v>
      </c>
      <c r="E342" s="3126" t="s">
        <v>6443</v>
      </c>
      <c r="F342" s="3115" t="s">
        <v>6904</v>
      </c>
      <c r="G342" s="3115">
        <v>3.9</v>
      </c>
      <c r="H342" s="3115">
        <v>87.87</v>
      </c>
      <c r="I342" s="3115"/>
      <c r="J342" s="3114">
        <v>87.87</v>
      </c>
    </row>
    <row r="343" spans="1:10" ht="15">
      <c r="A343" s="3154">
        <v>339</v>
      </c>
      <c r="B343" s="3115" t="s">
        <v>6905</v>
      </c>
      <c r="C343" s="3115">
        <v>30</v>
      </c>
      <c r="D343" s="3156" t="s">
        <v>6381</v>
      </c>
      <c r="E343" s="3126" t="s">
        <v>6443</v>
      </c>
      <c r="F343" s="3115" t="s">
        <v>6906</v>
      </c>
      <c r="G343" s="3115">
        <v>3.9</v>
      </c>
      <c r="H343" s="3115">
        <v>87.87</v>
      </c>
      <c r="I343" s="3115"/>
      <c r="J343" s="3114">
        <v>87.87</v>
      </c>
    </row>
    <row r="344" spans="1:10" ht="15">
      <c r="A344" s="3154">
        <v>340</v>
      </c>
      <c r="B344" s="3115" t="s">
        <v>6907</v>
      </c>
      <c r="C344" s="3115">
        <v>30</v>
      </c>
      <c r="D344" s="3156" t="s">
        <v>6381</v>
      </c>
      <c r="E344" s="3126" t="s">
        <v>6443</v>
      </c>
      <c r="F344" s="3115" t="s">
        <v>6908</v>
      </c>
      <c r="G344" s="3115">
        <v>3.9</v>
      </c>
      <c r="H344" s="3115">
        <v>87.87</v>
      </c>
      <c r="I344" s="3115"/>
      <c r="J344" s="3114">
        <v>87.87</v>
      </c>
    </row>
    <row r="345" spans="1:10" ht="15">
      <c r="A345" s="3154">
        <v>341</v>
      </c>
      <c r="B345" s="3115" t="s">
        <v>6909</v>
      </c>
      <c r="C345" s="3115">
        <v>30</v>
      </c>
      <c r="D345" s="3156" t="s">
        <v>6381</v>
      </c>
      <c r="E345" s="3126" t="s">
        <v>6443</v>
      </c>
      <c r="F345" s="3115" t="s">
        <v>6910</v>
      </c>
      <c r="G345" s="3115">
        <v>3.9</v>
      </c>
      <c r="H345" s="3115">
        <v>87.87</v>
      </c>
      <c r="I345" s="3115"/>
      <c r="J345" s="3114">
        <v>87.87</v>
      </c>
    </row>
    <row r="346" spans="1:10" ht="15">
      <c r="A346" s="3154">
        <v>342</v>
      </c>
      <c r="B346" s="3115" t="s">
        <v>6911</v>
      </c>
      <c r="C346" s="3115">
        <v>30</v>
      </c>
      <c r="D346" s="3156" t="s">
        <v>6381</v>
      </c>
      <c r="E346" s="3126" t="s">
        <v>6443</v>
      </c>
      <c r="F346" s="3115" t="s">
        <v>6912</v>
      </c>
      <c r="G346" s="3115">
        <v>3.9</v>
      </c>
      <c r="H346" s="3115">
        <v>87.87</v>
      </c>
      <c r="I346" s="3115"/>
      <c r="J346" s="3114">
        <v>87.87</v>
      </c>
    </row>
    <row r="347" spans="1:10" ht="15">
      <c r="A347" s="3154">
        <v>343</v>
      </c>
      <c r="B347" s="3115" t="s">
        <v>6913</v>
      </c>
      <c r="C347" s="3115">
        <v>30</v>
      </c>
      <c r="D347" s="3156" t="s">
        <v>6381</v>
      </c>
      <c r="E347" s="3126" t="s">
        <v>6443</v>
      </c>
      <c r="F347" s="3115" t="s">
        <v>6914</v>
      </c>
      <c r="G347" s="3115">
        <v>3.9</v>
      </c>
      <c r="H347" s="3115">
        <v>87.87</v>
      </c>
      <c r="I347" s="3115"/>
      <c r="J347" s="3114">
        <v>87.87</v>
      </c>
    </row>
    <row r="348" spans="1:10" ht="15">
      <c r="A348" s="3154">
        <v>344</v>
      </c>
      <c r="B348" s="3115" t="s">
        <v>6915</v>
      </c>
      <c r="C348" s="3115">
        <v>30</v>
      </c>
      <c r="D348" s="3156" t="s">
        <v>6381</v>
      </c>
      <c r="E348" s="3126" t="s">
        <v>6443</v>
      </c>
      <c r="F348" s="3115" t="s">
        <v>6916</v>
      </c>
      <c r="G348" s="3115">
        <v>3.9</v>
      </c>
      <c r="H348" s="3115">
        <v>87.87</v>
      </c>
      <c r="I348" s="3115"/>
      <c r="J348" s="3114">
        <v>87.87</v>
      </c>
    </row>
    <row r="349" spans="1:10" ht="15">
      <c r="A349" s="3154">
        <v>345</v>
      </c>
      <c r="B349" s="3115" t="s">
        <v>6917</v>
      </c>
      <c r="C349" s="3115">
        <v>30</v>
      </c>
      <c r="D349" s="3156" t="s">
        <v>6381</v>
      </c>
      <c r="E349" s="3126" t="s">
        <v>6443</v>
      </c>
      <c r="F349" s="3115" t="s">
        <v>6918</v>
      </c>
      <c r="G349" s="3115">
        <v>3.9</v>
      </c>
      <c r="H349" s="3115">
        <v>87.87</v>
      </c>
      <c r="I349" s="3115"/>
      <c r="J349" s="3114">
        <v>87.87</v>
      </c>
    </row>
    <row r="350" spans="1:10" ht="15">
      <c r="A350" s="3154">
        <v>346</v>
      </c>
      <c r="B350" s="3115" t="s">
        <v>6919</v>
      </c>
      <c r="C350" s="3115">
        <v>30</v>
      </c>
      <c r="D350" s="3156" t="s">
        <v>6381</v>
      </c>
      <c r="E350" s="3126" t="s">
        <v>6443</v>
      </c>
      <c r="F350" s="3115" t="s">
        <v>6920</v>
      </c>
      <c r="G350" s="3115">
        <v>3.9</v>
      </c>
      <c r="H350" s="3115">
        <v>87.87</v>
      </c>
      <c r="I350" s="3115"/>
      <c r="J350" s="3114">
        <v>87.87</v>
      </c>
    </row>
    <row r="351" spans="1:10" ht="15">
      <c r="A351" s="3154">
        <v>347</v>
      </c>
      <c r="B351" s="3115" t="s">
        <v>6921</v>
      </c>
      <c r="C351" s="3115">
        <v>30</v>
      </c>
      <c r="D351" s="3156" t="s">
        <v>6381</v>
      </c>
      <c r="E351" s="3126" t="s">
        <v>6443</v>
      </c>
      <c r="F351" s="3115" t="s">
        <v>6922</v>
      </c>
      <c r="G351" s="3115">
        <v>3.9</v>
      </c>
      <c r="H351" s="3115">
        <v>87.87</v>
      </c>
      <c r="I351" s="3115"/>
      <c r="J351" s="3114">
        <v>87.87</v>
      </c>
    </row>
    <row r="352" spans="1:10" ht="15">
      <c r="A352" s="3154">
        <v>348</v>
      </c>
      <c r="B352" s="3115" t="s">
        <v>6923</v>
      </c>
      <c r="C352" s="3115">
        <v>30</v>
      </c>
      <c r="D352" s="3156" t="s">
        <v>6381</v>
      </c>
      <c r="E352" s="3126" t="s">
        <v>6443</v>
      </c>
      <c r="F352" s="3115" t="s">
        <v>6924</v>
      </c>
      <c r="G352" s="3115">
        <v>3.9</v>
      </c>
      <c r="H352" s="3115">
        <v>87.87</v>
      </c>
      <c r="I352" s="3115"/>
      <c r="J352" s="3114">
        <v>87.87</v>
      </c>
    </row>
    <row r="353" spans="1:10" ht="15">
      <c r="A353" s="3154">
        <v>349</v>
      </c>
      <c r="B353" s="3115" t="s">
        <v>6925</v>
      </c>
      <c r="C353" s="3115">
        <v>30</v>
      </c>
      <c r="D353" s="3156" t="s">
        <v>6381</v>
      </c>
      <c r="E353" s="3126" t="s">
        <v>6443</v>
      </c>
      <c r="F353" s="3115" t="s">
        <v>6926</v>
      </c>
      <c r="G353" s="3115">
        <v>3.9</v>
      </c>
      <c r="H353" s="3115">
        <v>87.87</v>
      </c>
      <c r="I353" s="3115"/>
      <c r="J353" s="3114">
        <v>87.87</v>
      </c>
    </row>
    <row r="354" spans="1:10" ht="15">
      <c r="A354" s="3154">
        <v>350</v>
      </c>
      <c r="B354" s="3115" t="s">
        <v>6927</v>
      </c>
      <c r="C354" s="3115">
        <v>30</v>
      </c>
      <c r="D354" s="3156" t="s">
        <v>6381</v>
      </c>
      <c r="E354" s="3126" t="s">
        <v>6443</v>
      </c>
      <c r="F354" s="3115" t="s">
        <v>6928</v>
      </c>
      <c r="G354" s="3115">
        <v>3.9</v>
      </c>
      <c r="H354" s="3115">
        <v>87.87</v>
      </c>
      <c r="I354" s="3115"/>
      <c r="J354" s="3114">
        <v>87.87</v>
      </c>
    </row>
    <row r="355" spans="1:10" ht="15">
      <c r="A355" s="3154">
        <v>351</v>
      </c>
      <c r="B355" s="3115" t="s">
        <v>6929</v>
      </c>
      <c r="C355" s="3115">
        <v>30</v>
      </c>
      <c r="D355" s="3156" t="s">
        <v>6381</v>
      </c>
      <c r="E355" s="3126" t="s">
        <v>6443</v>
      </c>
      <c r="F355" s="3115" t="s">
        <v>6930</v>
      </c>
      <c r="G355" s="3115">
        <v>3.9</v>
      </c>
      <c r="H355" s="3115">
        <v>87.87</v>
      </c>
      <c r="I355" s="3115"/>
      <c r="J355" s="3114">
        <v>87.87</v>
      </c>
    </row>
    <row r="356" spans="1:10" ht="15">
      <c r="A356" s="3154">
        <v>352</v>
      </c>
      <c r="B356" s="3115" t="s">
        <v>6931</v>
      </c>
      <c r="C356" s="3115">
        <v>30</v>
      </c>
      <c r="D356" s="3156" t="s">
        <v>6381</v>
      </c>
      <c r="E356" s="3126" t="s">
        <v>6443</v>
      </c>
      <c r="F356" s="3115" t="s">
        <v>6932</v>
      </c>
      <c r="G356" s="3115">
        <v>3.9</v>
      </c>
      <c r="H356" s="3115">
        <v>87.87</v>
      </c>
      <c r="I356" s="3115"/>
      <c r="J356" s="3114">
        <v>87.87</v>
      </c>
    </row>
    <row r="357" spans="1:10" ht="15">
      <c r="A357" s="3154">
        <v>353</v>
      </c>
      <c r="B357" s="3115" t="s">
        <v>6933</v>
      </c>
      <c r="C357" s="3115">
        <v>30</v>
      </c>
      <c r="D357" s="3156" t="s">
        <v>6381</v>
      </c>
      <c r="E357" s="3126" t="s">
        <v>6443</v>
      </c>
      <c r="F357" s="3115" t="s">
        <v>6934</v>
      </c>
      <c r="G357" s="3115">
        <v>3.9</v>
      </c>
      <c r="H357" s="3115">
        <v>88.11</v>
      </c>
      <c r="I357" s="3115"/>
      <c r="J357" s="3114">
        <v>88.11</v>
      </c>
    </row>
    <row r="358" spans="1:10" ht="15">
      <c r="A358" s="3154">
        <v>354</v>
      </c>
      <c r="B358" s="3115" t="s">
        <v>6935</v>
      </c>
      <c r="C358" s="3115">
        <v>30</v>
      </c>
      <c r="D358" s="3156" t="s">
        <v>6381</v>
      </c>
      <c r="E358" s="3126" t="s">
        <v>7601</v>
      </c>
      <c r="F358" s="3115" t="s">
        <v>6936</v>
      </c>
      <c r="G358" s="3115">
        <v>5.6</v>
      </c>
      <c r="H358" s="3115">
        <v>127.04</v>
      </c>
      <c r="I358" s="3115"/>
      <c r="J358" s="3114">
        <v>127.04</v>
      </c>
    </row>
    <row r="359" spans="1:10" ht="15">
      <c r="A359" s="3154">
        <v>355</v>
      </c>
      <c r="B359" s="3115" t="s">
        <v>6937</v>
      </c>
      <c r="C359" s="3115">
        <v>30</v>
      </c>
      <c r="D359" s="3156" t="s">
        <v>6381</v>
      </c>
      <c r="E359" s="3126" t="s">
        <v>7601</v>
      </c>
      <c r="F359" s="3115" t="s">
        <v>6938</v>
      </c>
      <c r="G359" s="3115">
        <v>5.6</v>
      </c>
      <c r="H359" s="3115">
        <v>127.04</v>
      </c>
      <c r="I359" s="3115"/>
      <c r="J359" s="3114">
        <v>127.04</v>
      </c>
    </row>
    <row r="360" spans="1:10" ht="15">
      <c r="A360" s="3154">
        <v>356</v>
      </c>
      <c r="B360" s="3115" t="s">
        <v>6939</v>
      </c>
      <c r="C360" s="3115">
        <v>30</v>
      </c>
      <c r="D360" s="3156" t="s">
        <v>6381</v>
      </c>
      <c r="E360" s="3126" t="s">
        <v>7601</v>
      </c>
      <c r="F360" s="3115" t="s">
        <v>6940</v>
      </c>
      <c r="G360" s="3115">
        <v>5.6</v>
      </c>
      <c r="H360" s="3115">
        <v>127.04</v>
      </c>
      <c r="I360" s="3115"/>
      <c r="J360" s="3114">
        <v>127.04</v>
      </c>
    </row>
    <row r="361" spans="1:10" ht="15">
      <c r="A361" s="3154">
        <v>357</v>
      </c>
      <c r="B361" s="3115" t="s">
        <v>6941</v>
      </c>
      <c r="C361" s="3115">
        <v>30</v>
      </c>
      <c r="D361" s="3156" t="s">
        <v>6381</v>
      </c>
      <c r="E361" s="3126" t="s">
        <v>7601</v>
      </c>
      <c r="F361" s="3115" t="s">
        <v>6942</v>
      </c>
      <c r="G361" s="3115">
        <v>5.6</v>
      </c>
      <c r="H361" s="3115">
        <v>127.04</v>
      </c>
      <c r="I361" s="3115"/>
      <c r="J361" s="3114">
        <v>127.04</v>
      </c>
    </row>
    <row r="362" spans="1:10" ht="15">
      <c r="A362" s="3154">
        <v>358</v>
      </c>
      <c r="B362" s="3115" t="s">
        <v>6943</v>
      </c>
      <c r="C362" s="3115">
        <v>30</v>
      </c>
      <c r="D362" s="3156" t="s">
        <v>6381</v>
      </c>
      <c r="E362" s="3126" t="s">
        <v>7601</v>
      </c>
      <c r="F362" s="3115" t="s">
        <v>6944</v>
      </c>
      <c r="G362" s="3115">
        <v>5.6</v>
      </c>
      <c r="H362" s="3115">
        <v>127.04</v>
      </c>
      <c r="I362" s="3115"/>
      <c r="J362" s="3114">
        <v>127.04</v>
      </c>
    </row>
    <row r="363" spans="1:10" ht="15">
      <c r="A363" s="3154">
        <v>359</v>
      </c>
      <c r="B363" s="3115" t="s">
        <v>6945</v>
      </c>
      <c r="C363" s="3115">
        <v>30</v>
      </c>
      <c r="D363" s="3156" t="s">
        <v>6381</v>
      </c>
      <c r="E363" s="3126" t="s">
        <v>7601</v>
      </c>
      <c r="F363" s="3115" t="s">
        <v>6946</v>
      </c>
      <c r="G363" s="3115">
        <v>5.6</v>
      </c>
      <c r="H363" s="3115">
        <v>127.04</v>
      </c>
      <c r="I363" s="3115"/>
      <c r="J363" s="3114">
        <v>127.04</v>
      </c>
    </row>
    <row r="364" spans="1:10" ht="15">
      <c r="A364" s="3154">
        <v>360</v>
      </c>
      <c r="B364" s="3115" t="s">
        <v>6947</v>
      </c>
      <c r="C364" s="3115">
        <v>30</v>
      </c>
      <c r="D364" s="3156" t="s">
        <v>6381</v>
      </c>
      <c r="E364" s="3126" t="s">
        <v>7601</v>
      </c>
      <c r="F364" s="3115" t="s">
        <v>6948</v>
      </c>
      <c r="G364" s="3115">
        <v>5.6</v>
      </c>
      <c r="H364" s="3115">
        <v>127.04</v>
      </c>
      <c r="I364" s="3115"/>
      <c r="J364" s="3114">
        <v>127.04</v>
      </c>
    </row>
    <row r="365" spans="1:10" ht="15">
      <c r="A365" s="3154">
        <v>361</v>
      </c>
      <c r="B365" s="3115" t="s">
        <v>6949</v>
      </c>
      <c r="C365" s="3115">
        <v>30</v>
      </c>
      <c r="D365" s="3156" t="s">
        <v>6381</v>
      </c>
      <c r="E365" s="3126" t="s">
        <v>7601</v>
      </c>
      <c r="F365" s="3115" t="s">
        <v>6950</v>
      </c>
      <c r="G365" s="3115">
        <v>5.6</v>
      </c>
      <c r="H365" s="3115">
        <v>127.04</v>
      </c>
      <c r="I365" s="3115"/>
      <c r="J365" s="3114">
        <v>127.04</v>
      </c>
    </row>
    <row r="366" spans="1:10" ht="15">
      <c r="A366" s="3154">
        <v>362</v>
      </c>
      <c r="B366" s="3115" t="s">
        <v>6951</v>
      </c>
      <c r="C366" s="3115">
        <v>30</v>
      </c>
      <c r="D366" s="3156" t="s">
        <v>6381</v>
      </c>
      <c r="E366" s="3126" t="s">
        <v>7601</v>
      </c>
      <c r="F366" s="3115" t="s">
        <v>6952</v>
      </c>
      <c r="G366" s="3115">
        <v>5.6</v>
      </c>
      <c r="H366" s="3115">
        <v>127.04</v>
      </c>
      <c r="I366" s="3115"/>
      <c r="J366" s="3114">
        <v>127.04</v>
      </c>
    </row>
    <row r="367" spans="1:10" ht="15">
      <c r="A367" s="3154">
        <v>363</v>
      </c>
      <c r="B367" s="3115" t="s">
        <v>6953</v>
      </c>
      <c r="C367" s="3115">
        <v>30</v>
      </c>
      <c r="D367" s="3156" t="s">
        <v>6381</v>
      </c>
      <c r="E367" s="3126" t="s">
        <v>7601</v>
      </c>
      <c r="F367" s="3115" t="s">
        <v>6954</v>
      </c>
      <c r="G367" s="3115">
        <v>5.6</v>
      </c>
      <c r="H367" s="3115">
        <v>127.04</v>
      </c>
      <c r="I367" s="3115"/>
      <c r="J367" s="3114">
        <v>127.04</v>
      </c>
    </row>
    <row r="368" spans="1:10" ht="15">
      <c r="A368" s="3154">
        <v>364</v>
      </c>
      <c r="B368" s="3115" t="s">
        <v>6955</v>
      </c>
      <c r="C368" s="3115">
        <v>30</v>
      </c>
      <c r="D368" s="3156" t="s">
        <v>6381</v>
      </c>
      <c r="E368" s="3126" t="s">
        <v>7601</v>
      </c>
      <c r="F368" s="3115" t="s">
        <v>6956</v>
      </c>
      <c r="G368" s="3115">
        <v>5.6</v>
      </c>
      <c r="H368" s="3115">
        <v>127.04</v>
      </c>
      <c r="I368" s="3115"/>
      <c r="J368" s="3114">
        <v>127.04</v>
      </c>
    </row>
    <row r="369" spans="1:10" ht="15">
      <c r="A369" s="3154">
        <v>365</v>
      </c>
      <c r="B369" s="3115" t="s">
        <v>6957</v>
      </c>
      <c r="C369" s="3115">
        <v>30</v>
      </c>
      <c r="D369" s="3156" t="s">
        <v>6381</v>
      </c>
      <c r="E369" s="3126" t="s">
        <v>7601</v>
      </c>
      <c r="F369" s="3115" t="s">
        <v>6958</v>
      </c>
      <c r="G369" s="3115">
        <v>5.6</v>
      </c>
      <c r="H369" s="3115">
        <v>127.04</v>
      </c>
      <c r="I369" s="3115"/>
      <c r="J369" s="3114">
        <v>127.04</v>
      </c>
    </row>
    <row r="370" spans="1:10" ht="15">
      <c r="A370" s="3154">
        <v>366</v>
      </c>
      <c r="B370" s="3115" t="s">
        <v>6959</v>
      </c>
      <c r="C370" s="3115">
        <v>30</v>
      </c>
      <c r="D370" s="3156" t="s">
        <v>6381</v>
      </c>
      <c r="E370" s="3126" t="s">
        <v>7601</v>
      </c>
      <c r="F370" s="3115" t="s">
        <v>6960</v>
      </c>
      <c r="G370" s="3115">
        <v>5.6</v>
      </c>
      <c r="H370" s="3115">
        <v>127.04</v>
      </c>
      <c r="I370" s="3115"/>
      <c r="J370" s="3114">
        <v>127.04</v>
      </c>
    </row>
    <row r="371" spans="1:10" ht="15">
      <c r="A371" s="3154">
        <v>367</v>
      </c>
      <c r="B371" s="3115" t="s">
        <v>6961</v>
      </c>
      <c r="C371" s="3115">
        <v>30</v>
      </c>
      <c r="D371" s="3156" t="s">
        <v>6381</v>
      </c>
      <c r="E371" s="3126" t="s">
        <v>7601</v>
      </c>
      <c r="F371" s="3115" t="s">
        <v>6962</v>
      </c>
      <c r="G371" s="3115">
        <v>5.6</v>
      </c>
      <c r="H371" s="3115">
        <v>127.04</v>
      </c>
      <c r="I371" s="3115"/>
      <c r="J371" s="3114">
        <v>127.04</v>
      </c>
    </row>
    <row r="372" spans="1:10" ht="15">
      <c r="A372" s="3154">
        <v>368</v>
      </c>
      <c r="B372" s="3115" t="s">
        <v>6963</v>
      </c>
      <c r="C372" s="3115">
        <v>30</v>
      </c>
      <c r="D372" s="3156" t="s">
        <v>6381</v>
      </c>
      <c r="E372" s="3126" t="s">
        <v>7601</v>
      </c>
      <c r="F372" s="3115" t="s">
        <v>6964</v>
      </c>
      <c r="G372" s="3115">
        <v>5.6</v>
      </c>
      <c r="H372" s="3115">
        <v>127.04</v>
      </c>
      <c r="I372" s="3115"/>
      <c r="J372" s="3114">
        <v>127.04</v>
      </c>
    </row>
    <row r="373" spans="1:10" ht="15">
      <c r="A373" s="3154">
        <v>369</v>
      </c>
      <c r="B373" s="3115" t="s">
        <v>6965</v>
      </c>
      <c r="C373" s="3115">
        <v>30</v>
      </c>
      <c r="D373" s="3156" t="s">
        <v>6381</v>
      </c>
      <c r="E373" s="3126" t="s">
        <v>7601</v>
      </c>
      <c r="F373" s="3115" t="s">
        <v>6966</v>
      </c>
      <c r="G373" s="3115">
        <v>5.6</v>
      </c>
      <c r="H373" s="3115">
        <v>127.04</v>
      </c>
      <c r="I373" s="3115"/>
      <c r="J373" s="3114">
        <v>127.04</v>
      </c>
    </row>
    <row r="374" spans="1:10" ht="15">
      <c r="A374" s="3154">
        <v>370</v>
      </c>
      <c r="B374" s="3115" t="s">
        <v>6967</v>
      </c>
      <c r="C374" s="3115">
        <v>30</v>
      </c>
      <c r="D374" s="3156" t="s">
        <v>6381</v>
      </c>
      <c r="E374" s="3126" t="s">
        <v>7601</v>
      </c>
      <c r="F374" s="3115" t="s">
        <v>6968</v>
      </c>
      <c r="G374" s="3115">
        <v>5.6</v>
      </c>
      <c r="H374" s="3115">
        <v>127.04</v>
      </c>
      <c r="I374" s="3115"/>
      <c r="J374" s="3114">
        <v>127.04</v>
      </c>
    </row>
    <row r="375" spans="1:10" ht="15">
      <c r="A375" s="3154">
        <v>371</v>
      </c>
      <c r="B375" s="3115" t="s">
        <v>6969</v>
      </c>
      <c r="C375" s="3115">
        <v>30</v>
      </c>
      <c r="D375" s="3156" t="s">
        <v>6381</v>
      </c>
      <c r="E375" s="3126" t="s">
        <v>7601</v>
      </c>
      <c r="F375" s="3115" t="s">
        <v>6970</v>
      </c>
      <c r="G375" s="3115">
        <v>5.6</v>
      </c>
      <c r="H375" s="3115">
        <v>127.04</v>
      </c>
      <c r="I375" s="3115"/>
      <c r="J375" s="3114">
        <v>127.04</v>
      </c>
    </row>
    <row r="376" spans="1:10" ht="15">
      <c r="A376" s="3154">
        <v>372</v>
      </c>
      <c r="B376" s="3115" t="s">
        <v>6971</v>
      </c>
      <c r="C376" s="3115">
        <v>30</v>
      </c>
      <c r="D376" s="3156" t="s">
        <v>6381</v>
      </c>
      <c r="E376" s="3126" t="s">
        <v>7601</v>
      </c>
      <c r="F376" s="3115" t="s">
        <v>6972</v>
      </c>
      <c r="G376" s="3115">
        <v>5.6</v>
      </c>
      <c r="H376" s="3115">
        <v>127.04</v>
      </c>
      <c r="I376" s="3115"/>
      <c r="J376" s="3114">
        <v>127.04</v>
      </c>
    </row>
    <row r="377" spans="1:10" ht="15">
      <c r="A377" s="3154">
        <v>373</v>
      </c>
      <c r="B377" s="3115" t="s">
        <v>6973</v>
      </c>
      <c r="C377" s="3115">
        <v>30</v>
      </c>
      <c r="D377" s="3156" t="s">
        <v>6381</v>
      </c>
      <c r="E377" s="3126" t="s">
        <v>7601</v>
      </c>
      <c r="F377" s="3115" t="s">
        <v>6974</v>
      </c>
      <c r="G377" s="3115">
        <v>5.6</v>
      </c>
      <c r="H377" s="3115">
        <v>127.04</v>
      </c>
      <c r="I377" s="3115"/>
      <c r="J377" s="3114">
        <v>127.04</v>
      </c>
    </row>
    <row r="378" spans="1:10" ht="15">
      <c r="A378" s="3154">
        <v>374</v>
      </c>
      <c r="B378" s="3115" t="s">
        <v>6975</v>
      </c>
      <c r="C378" s="3115">
        <v>30</v>
      </c>
      <c r="D378" s="3156" t="s">
        <v>6381</v>
      </c>
      <c r="E378" s="3126" t="s">
        <v>7601</v>
      </c>
      <c r="F378" s="3115" t="s">
        <v>6976</v>
      </c>
      <c r="G378" s="3115">
        <v>5.6</v>
      </c>
      <c r="H378" s="3115">
        <v>127.04</v>
      </c>
      <c r="I378" s="3115"/>
      <c r="J378" s="3114">
        <v>127.04</v>
      </c>
    </row>
    <row r="379" spans="1:10" ht="15">
      <c r="A379" s="3154">
        <v>375</v>
      </c>
      <c r="B379" s="3115" t="s">
        <v>6977</v>
      </c>
      <c r="C379" s="3115">
        <v>30</v>
      </c>
      <c r="D379" s="3156" t="s">
        <v>6381</v>
      </c>
      <c r="E379" s="3126" t="s">
        <v>7601</v>
      </c>
      <c r="F379" s="3115" t="s">
        <v>6978</v>
      </c>
      <c r="G379" s="3115">
        <v>5.6</v>
      </c>
      <c r="H379" s="3115">
        <v>127.04</v>
      </c>
      <c r="I379" s="3115"/>
      <c r="J379" s="3114">
        <v>127.04</v>
      </c>
    </row>
    <row r="380" spans="1:10" s="3125" customFormat="1" ht="15">
      <c r="A380" s="3154">
        <v>376</v>
      </c>
      <c r="B380" s="3115" t="s">
        <v>6979</v>
      </c>
      <c r="C380" s="3115">
        <v>30</v>
      </c>
      <c r="D380" s="3156" t="s">
        <v>6381</v>
      </c>
      <c r="E380" s="3126" t="s">
        <v>7601</v>
      </c>
      <c r="F380" s="3115" t="s">
        <v>6980</v>
      </c>
      <c r="G380" s="3115">
        <v>5.6</v>
      </c>
      <c r="H380" s="3115">
        <v>127.04</v>
      </c>
      <c r="I380" s="3115"/>
      <c r="J380" s="3114">
        <v>127.04</v>
      </c>
    </row>
    <row r="381" spans="1:10" s="3125" customFormat="1" ht="15">
      <c r="A381" s="3154">
        <v>377</v>
      </c>
      <c r="B381" s="3115" t="s">
        <v>6981</v>
      </c>
      <c r="C381" s="3115">
        <v>30</v>
      </c>
      <c r="D381" s="3156" t="s">
        <v>6381</v>
      </c>
      <c r="E381" s="3126" t="s">
        <v>7601</v>
      </c>
      <c r="F381" s="3115" t="s">
        <v>6982</v>
      </c>
      <c r="G381" s="3115">
        <v>5.6</v>
      </c>
      <c r="H381" s="3115">
        <v>127.04</v>
      </c>
      <c r="I381" s="3115"/>
      <c r="J381" s="3114">
        <v>127.04</v>
      </c>
    </row>
    <row r="382" spans="1:10" s="3125" customFormat="1" ht="15">
      <c r="A382" s="3154">
        <v>378</v>
      </c>
      <c r="B382" s="3115" t="s">
        <v>6983</v>
      </c>
      <c r="C382" s="3115">
        <v>30</v>
      </c>
      <c r="D382" s="3156" t="s">
        <v>6381</v>
      </c>
      <c r="E382" s="3126" t="s">
        <v>7601</v>
      </c>
      <c r="F382" s="3115" t="s">
        <v>6984</v>
      </c>
      <c r="G382" s="3115">
        <v>5.6</v>
      </c>
      <c r="H382" s="3115">
        <v>127.04</v>
      </c>
      <c r="I382" s="3115"/>
      <c r="J382" s="3114">
        <v>127.04</v>
      </c>
    </row>
    <row r="383" spans="1:10" s="3125" customFormat="1" ht="15">
      <c r="A383" s="3154">
        <v>379</v>
      </c>
      <c r="B383" s="3115" t="s">
        <v>6985</v>
      </c>
      <c r="C383" s="3115">
        <v>30</v>
      </c>
      <c r="D383" s="3156" t="s">
        <v>6381</v>
      </c>
      <c r="E383" s="3126" t="s">
        <v>7601</v>
      </c>
      <c r="F383" s="3115" t="s">
        <v>6986</v>
      </c>
      <c r="G383" s="3115">
        <v>5.6</v>
      </c>
      <c r="H383" s="3115">
        <v>127.04</v>
      </c>
      <c r="I383" s="3115"/>
      <c r="J383" s="3114">
        <v>127.04</v>
      </c>
    </row>
    <row r="384" spans="1:10" s="3125" customFormat="1" ht="15">
      <c r="A384" s="3154">
        <v>380</v>
      </c>
      <c r="B384" s="3115" t="s">
        <v>6987</v>
      </c>
      <c r="C384" s="3115">
        <v>30</v>
      </c>
      <c r="D384" s="3156" t="s">
        <v>6381</v>
      </c>
      <c r="E384" s="3126" t="s">
        <v>7601</v>
      </c>
      <c r="F384" s="3115" t="s">
        <v>6988</v>
      </c>
      <c r="G384" s="3115">
        <v>5.6</v>
      </c>
      <c r="H384" s="3115">
        <v>127.04</v>
      </c>
      <c r="I384" s="3115"/>
      <c r="J384" s="3114">
        <v>127.04</v>
      </c>
    </row>
    <row r="385" spans="1:10" s="3125" customFormat="1" ht="15">
      <c r="A385" s="3154">
        <v>381</v>
      </c>
      <c r="B385" s="3115" t="s">
        <v>6989</v>
      </c>
      <c r="C385" s="3115">
        <v>30</v>
      </c>
      <c r="D385" s="3156" t="s">
        <v>6381</v>
      </c>
      <c r="E385" s="3126" t="s">
        <v>7601</v>
      </c>
      <c r="F385" s="3115" t="s">
        <v>6990</v>
      </c>
      <c r="G385" s="3115">
        <v>5.6</v>
      </c>
      <c r="H385" s="3115">
        <v>127.04</v>
      </c>
      <c r="I385" s="3115"/>
      <c r="J385" s="3114">
        <v>127.04</v>
      </c>
    </row>
    <row r="386" spans="1:10" s="3125" customFormat="1" ht="15">
      <c r="A386" s="3154">
        <v>382</v>
      </c>
      <c r="B386" s="3115" t="s">
        <v>6991</v>
      </c>
      <c r="C386" s="3115">
        <v>30</v>
      </c>
      <c r="D386" s="3156" t="s">
        <v>6381</v>
      </c>
      <c r="E386" s="3126" t="s">
        <v>7601</v>
      </c>
      <c r="F386" s="3115" t="s">
        <v>6992</v>
      </c>
      <c r="G386" s="3115">
        <v>4.5999999999999996</v>
      </c>
      <c r="H386" s="3115">
        <v>104.77</v>
      </c>
      <c r="I386" s="3115"/>
      <c r="J386" s="3114">
        <v>104.77</v>
      </c>
    </row>
    <row r="387" spans="1:10" s="3125" customFormat="1" ht="15">
      <c r="A387" s="3154">
        <v>383</v>
      </c>
      <c r="B387" s="3115" t="s">
        <v>6993</v>
      </c>
      <c r="C387" s="3115">
        <v>30</v>
      </c>
      <c r="D387" s="3156" t="s">
        <v>6381</v>
      </c>
      <c r="E387" s="3126" t="s">
        <v>7600</v>
      </c>
      <c r="F387" s="3115" t="s">
        <v>6994</v>
      </c>
      <c r="G387" s="3115">
        <v>6.4</v>
      </c>
      <c r="H387" s="3115">
        <v>137.88</v>
      </c>
      <c r="I387" s="3115"/>
      <c r="J387" s="3114">
        <v>137.88</v>
      </c>
    </row>
    <row r="388" spans="1:10" s="3125" customFormat="1" ht="15">
      <c r="A388" s="3154">
        <v>384</v>
      </c>
      <c r="B388" s="3115" t="s">
        <v>6995</v>
      </c>
      <c r="C388" s="3115">
        <v>30</v>
      </c>
      <c r="D388" s="3156" t="s">
        <v>6381</v>
      </c>
      <c r="E388" s="3126" t="s">
        <v>7600</v>
      </c>
      <c r="F388" s="3115" t="s">
        <v>6996</v>
      </c>
      <c r="G388" s="3115">
        <v>6.4</v>
      </c>
      <c r="H388" s="3115">
        <v>137.88</v>
      </c>
      <c r="I388" s="3115"/>
      <c r="J388" s="3114">
        <v>137.88</v>
      </c>
    </row>
    <row r="389" spans="1:10" s="3181" customFormat="1" ht="15">
      <c r="A389" s="3177">
        <v>385</v>
      </c>
      <c r="B389" s="3178" t="s">
        <v>6997</v>
      </c>
      <c r="C389" s="3178">
        <v>30</v>
      </c>
      <c r="D389" s="3179" t="s">
        <v>6381</v>
      </c>
      <c r="E389" s="3180" t="s">
        <v>7600</v>
      </c>
      <c r="F389" s="3178"/>
      <c r="G389" s="3178">
        <v>6.4</v>
      </c>
      <c r="H389" s="3178">
        <v>137.88</v>
      </c>
      <c r="I389" s="3178"/>
      <c r="J389" s="3182">
        <v>137.88</v>
      </c>
    </row>
    <row r="390" spans="1:10" s="3125" customFormat="1" ht="15">
      <c r="A390" s="3154">
        <v>386</v>
      </c>
      <c r="B390" s="3115" t="s">
        <v>6998</v>
      </c>
      <c r="C390" s="3115">
        <v>30</v>
      </c>
      <c r="D390" s="3156" t="s">
        <v>6381</v>
      </c>
      <c r="E390" s="3126" t="s">
        <v>7600</v>
      </c>
      <c r="F390" s="3115" t="s">
        <v>6999</v>
      </c>
      <c r="G390" s="3115">
        <v>6.4</v>
      </c>
      <c r="H390" s="3115">
        <v>137.88</v>
      </c>
      <c r="I390" s="3115"/>
      <c r="J390" s="3114">
        <v>137.88</v>
      </c>
    </row>
    <row r="391" spans="1:10" s="3125" customFormat="1" ht="15">
      <c r="A391" s="3154">
        <v>387</v>
      </c>
      <c r="B391" s="3115" t="s">
        <v>7000</v>
      </c>
      <c r="C391" s="3115">
        <v>30</v>
      </c>
      <c r="D391" s="3156" t="s">
        <v>6381</v>
      </c>
      <c r="E391" s="3126" t="s">
        <v>7600</v>
      </c>
      <c r="F391" s="3115" t="s">
        <v>7001</v>
      </c>
      <c r="G391" s="3115">
        <v>6.4</v>
      </c>
      <c r="H391" s="3115">
        <v>137.88</v>
      </c>
      <c r="I391" s="3115"/>
      <c r="J391" s="3114">
        <v>137.88</v>
      </c>
    </row>
    <row r="392" spans="1:10" s="3125" customFormat="1" ht="15">
      <c r="A392" s="3154">
        <v>388</v>
      </c>
      <c r="B392" s="3115" t="s">
        <v>7002</v>
      </c>
      <c r="C392" s="3115">
        <v>30</v>
      </c>
      <c r="D392" s="3156" t="s">
        <v>6381</v>
      </c>
      <c r="E392" s="3126" t="s">
        <v>7600</v>
      </c>
      <c r="F392" s="3115" t="s">
        <v>7003</v>
      </c>
      <c r="G392" s="3115">
        <v>6.4</v>
      </c>
      <c r="H392" s="3115">
        <v>137.88</v>
      </c>
      <c r="I392" s="3115"/>
      <c r="J392" s="3114">
        <v>137.88</v>
      </c>
    </row>
    <row r="393" spans="1:10" s="3125" customFormat="1" ht="15">
      <c r="A393" s="3154">
        <v>389</v>
      </c>
      <c r="B393" s="3115" t="s">
        <v>7004</v>
      </c>
      <c r="C393" s="3115">
        <v>30</v>
      </c>
      <c r="D393" s="3156" t="s">
        <v>6381</v>
      </c>
      <c r="E393" s="3126" t="s">
        <v>7600</v>
      </c>
      <c r="F393" s="3115" t="s">
        <v>7005</v>
      </c>
      <c r="G393" s="3115">
        <v>6.4</v>
      </c>
      <c r="H393" s="3115">
        <v>137.88</v>
      </c>
      <c r="I393" s="3115"/>
      <c r="J393" s="3114">
        <v>137.88</v>
      </c>
    </row>
    <row r="394" spans="1:10" s="3125" customFormat="1" ht="15">
      <c r="A394" s="3154">
        <v>390</v>
      </c>
      <c r="B394" s="3115" t="s">
        <v>7006</v>
      </c>
      <c r="C394" s="3115">
        <v>30</v>
      </c>
      <c r="D394" s="3156" t="s">
        <v>6381</v>
      </c>
      <c r="E394" s="3126" t="s">
        <v>7600</v>
      </c>
      <c r="F394" s="3115" t="s">
        <v>7007</v>
      </c>
      <c r="G394" s="3115">
        <v>6.4</v>
      </c>
      <c r="H394" s="3115">
        <v>137.88</v>
      </c>
      <c r="I394" s="3115"/>
      <c r="J394" s="3114">
        <v>137.88</v>
      </c>
    </row>
    <row r="395" spans="1:10" s="3125" customFormat="1" ht="15">
      <c r="A395" s="3154">
        <v>391</v>
      </c>
      <c r="B395" s="3115" t="s">
        <v>7008</v>
      </c>
      <c r="C395" s="3115">
        <v>30</v>
      </c>
      <c r="D395" s="3156" t="s">
        <v>6381</v>
      </c>
      <c r="E395" s="3126" t="s">
        <v>7600</v>
      </c>
      <c r="F395" s="3115" t="s">
        <v>7009</v>
      </c>
      <c r="G395" s="3115">
        <v>6.4</v>
      </c>
      <c r="H395" s="3115">
        <v>137.88</v>
      </c>
      <c r="I395" s="3115"/>
      <c r="J395" s="3114">
        <v>137.88</v>
      </c>
    </row>
    <row r="396" spans="1:10" s="3125" customFormat="1" ht="15">
      <c r="A396" s="3154">
        <v>392</v>
      </c>
      <c r="B396" s="3115" t="s">
        <v>7010</v>
      </c>
      <c r="C396" s="3115">
        <v>30</v>
      </c>
      <c r="D396" s="3156" t="s">
        <v>6381</v>
      </c>
      <c r="E396" s="3126" t="s">
        <v>7600</v>
      </c>
      <c r="F396" s="3115" t="s">
        <v>7011</v>
      </c>
      <c r="G396" s="3115">
        <v>6.4</v>
      </c>
      <c r="H396" s="3115">
        <v>137.88</v>
      </c>
      <c r="I396" s="3115"/>
      <c r="J396" s="3114">
        <v>137.88</v>
      </c>
    </row>
    <row r="397" spans="1:10" s="3125" customFormat="1" ht="15">
      <c r="A397" s="3154">
        <v>393</v>
      </c>
      <c r="B397" s="3115" t="s">
        <v>7012</v>
      </c>
      <c r="C397" s="3115">
        <v>30</v>
      </c>
      <c r="D397" s="3156" t="s">
        <v>6381</v>
      </c>
      <c r="E397" s="3126" t="s">
        <v>7600</v>
      </c>
      <c r="F397" s="3115" t="s">
        <v>7013</v>
      </c>
      <c r="G397" s="3115">
        <v>6.4</v>
      </c>
      <c r="H397" s="3115">
        <v>137.88</v>
      </c>
      <c r="I397" s="3115"/>
      <c r="J397" s="3114">
        <v>137.88</v>
      </c>
    </row>
    <row r="398" spans="1:10" s="3125" customFormat="1" ht="15">
      <c r="A398" s="3154">
        <v>394</v>
      </c>
      <c r="B398" s="3115" t="s">
        <v>7014</v>
      </c>
      <c r="C398" s="3115">
        <v>30</v>
      </c>
      <c r="D398" s="3156" t="s">
        <v>6381</v>
      </c>
      <c r="E398" s="3126" t="s">
        <v>7600</v>
      </c>
      <c r="F398" s="3115" t="s">
        <v>7015</v>
      </c>
      <c r="G398" s="3115">
        <v>6.4</v>
      </c>
      <c r="H398" s="3115">
        <v>137.88</v>
      </c>
      <c r="I398" s="3115"/>
      <c r="J398" s="3114">
        <v>137.88</v>
      </c>
    </row>
    <row r="399" spans="1:10" s="3125" customFormat="1" ht="15">
      <c r="A399" s="3154">
        <v>395</v>
      </c>
      <c r="B399" s="3115" t="s">
        <v>7016</v>
      </c>
      <c r="C399" s="3115">
        <v>30</v>
      </c>
      <c r="D399" s="3156" t="s">
        <v>6381</v>
      </c>
      <c r="E399" s="3126" t="s">
        <v>7600</v>
      </c>
      <c r="F399" s="3115" t="s">
        <v>7017</v>
      </c>
      <c r="G399" s="3115">
        <v>6.4</v>
      </c>
      <c r="H399" s="3115">
        <v>137.88</v>
      </c>
      <c r="I399" s="3115"/>
      <c r="J399" s="3114">
        <v>137.88</v>
      </c>
    </row>
    <row r="400" spans="1:10" s="3125" customFormat="1" ht="15">
      <c r="A400" s="3154">
        <v>396</v>
      </c>
      <c r="B400" s="3115" t="s">
        <v>7018</v>
      </c>
      <c r="C400" s="3115">
        <v>30</v>
      </c>
      <c r="D400" s="3156" t="s">
        <v>6381</v>
      </c>
      <c r="E400" s="3126" t="s">
        <v>7600</v>
      </c>
      <c r="F400" s="3115" t="s">
        <v>7019</v>
      </c>
      <c r="G400" s="3115">
        <v>6.4</v>
      </c>
      <c r="H400" s="3115">
        <v>137.88</v>
      </c>
      <c r="I400" s="3115"/>
      <c r="J400" s="3114">
        <v>137.88</v>
      </c>
    </row>
    <row r="401" spans="1:10" s="3125" customFormat="1" ht="15">
      <c r="A401" s="3154">
        <v>397</v>
      </c>
      <c r="B401" s="3115" t="s">
        <v>7020</v>
      </c>
      <c r="C401" s="3115">
        <v>30</v>
      </c>
      <c r="D401" s="3156" t="s">
        <v>6381</v>
      </c>
      <c r="E401" s="3126" t="s">
        <v>7600</v>
      </c>
      <c r="F401" s="3115" t="s">
        <v>7021</v>
      </c>
      <c r="G401" s="3115">
        <v>6.4</v>
      </c>
      <c r="H401" s="3115">
        <v>137.88</v>
      </c>
      <c r="I401" s="3115"/>
      <c r="J401" s="3114">
        <v>137.88</v>
      </c>
    </row>
    <row r="402" spans="1:10" s="3125" customFormat="1" ht="15">
      <c r="A402" s="3154">
        <v>398</v>
      </c>
      <c r="B402" s="3115" t="s">
        <v>7022</v>
      </c>
      <c r="C402" s="3115">
        <v>30</v>
      </c>
      <c r="D402" s="3156" t="s">
        <v>6381</v>
      </c>
      <c r="E402" s="3126" t="s">
        <v>7600</v>
      </c>
      <c r="F402" s="3115" t="s">
        <v>7023</v>
      </c>
      <c r="G402" s="3115">
        <v>6.4</v>
      </c>
      <c r="H402" s="3115">
        <v>137.88</v>
      </c>
      <c r="I402" s="3115"/>
      <c r="J402" s="3114">
        <v>137.88</v>
      </c>
    </row>
    <row r="403" spans="1:10" s="3125" customFormat="1" ht="15">
      <c r="A403" s="3154">
        <v>399</v>
      </c>
      <c r="B403" s="3115" t="s">
        <v>7024</v>
      </c>
      <c r="C403" s="3115">
        <v>30</v>
      </c>
      <c r="D403" s="3156" t="s">
        <v>6381</v>
      </c>
      <c r="E403" s="3126" t="s">
        <v>7600</v>
      </c>
      <c r="F403" s="3115" t="s">
        <v>7025</v>
      </c>
      <c r="G403" s="3115">
        <v>6.4</v>
      </c>
      <c r="H403" s="3115">
        <v>137.88</v>
      </c>
      <c r="I403" s="3115"/>
      <c r="J403" s="3114">
        <v>137.88</v>
      </c>
    </row>
    <row r="404" spans="1:10" s="3125" customFormat="1" ht="15">
      <c r="A404" s="3154">
        <v>400</v>
      </c>
      <c r="B404" s="3115" t="s">
        <v>7026</v>
      </c>
      <c r="C404" s="3115">
        <v>30</v>
      </c>
      <c r="D404" s="3156" t="s">
        <v>6381</v>
      </c>
      <c r="E404" s="3126" t="s">
        <v>7600</v>
      </c>
      <c r="F404" s="3115" t="s">
        <v>7027</v>
      </c>
      <c r="G404" s="3115">
        <v>6.4</v>
      </c>
      <c r="H404" s="3115">
        <v>137.88</v>
      </c>
      <c r="I404" s="3115"/>
      <c r="J404" s="3114">
        <v>137.88</v>
      </c>
    </row>
    <row r="405" spans="1:10" s="3125" customFormat="1" ht="15">
      <c r="A405" s="3154">
        <v>401</v>
      </c>
      <c r="B405" s="3115" t="s">
        <v>7028</v>
      </c>
      <c r="C405" s="3115">
        <v>30</v>
      </c>
      <c r="D405" s="3156" t="s">
        <v>6381</v>
      </c>
      <c r="E405" s="3126" t="s">
        <v>7600</v>
      </c>
      <c r="F405" s="3115" t="s">
        <v>7029</v>
      </c>
      <c r="G405" s="3115">
        <v>6.4</v>
      </c>
      <c r="H405" s="3115">
        <v>137.88</v>
      </c>
      <c r="I405" s="3115"/>
      <c r="J405" s="3114">
        <v>137.88</v>
      </c>
    </row>
    <row r="406" spans="1:10" s="3125" customFormat="1" ht="15">
      <c r="A406" s="3154">
        <v>402</v>
      </c>
      <c r="B406" s="3115" t="s">
        <v>7030</v>
      </c>
      <c r="C406" s="3115">
        <v>30</v>
      </c>
      <c r="D406" s="3156" t="s">
        <v>6381</v>
      </c>
      <c r="E406" s="3126" t="s">
        <v>7600</v>
      </c>
      <c r="F406" s="3115" t="s">
        <v>7031</v>
      </c>
      <c r="G406" s="3115">
        <v>6.4</v>
      </c>
      <c r="H406" s="3115">
        <v>137.88</v>
      </c>
      <c r="I406" s="3115"/>
      <c r="J406" s="3114">
        <v>137.88</v>
      </c>
    </row>
    <row r="407" spans="1:10" ht="15">
      <c r="A407" s="3154">
        <v>403</v>
      </c>
      <c r="B407" s="3115" t="s">
        <v>7032</v>
      </c>
      <c r="C407" s="3115">
        <v>30</v>
      </c>
      <c r="D407" s="3156" t="s">
        <v>6381</v>
      </c>
      <c r="E407" s="3126" t="s">
        <v>7600</v>
      </c>
      <c r="F407" s="3115" t="s">
        <v>7033</v>
      </c>
      <c r="G407" s="3115">
        <v>6.4</v>
      </c>
      <c r="H407" s="3115">
        <v>137.88</v>
      </c>
      <c r="I407" s="3115"/>
      <c r="J407" s="3114">
        <v>137.88</v>
      </c>
    </row>
    <row r="408" spans="1:10" ht="15">
      <c r="A408" s="3154">
        <v>404</v>
      </c>
      <c r="B408" s="3115" t="s">
        <v>7034</v>
      </c>
      <c r="C408" s="3115">
        <v>30</v>
      </c>
      <c r="D408" s="3156" t="s">
        <v>6381</v>
      </c>
      <c r="E408" s="3126" t="s">
        <v>7600</v>
      </c>
      <c r="F408" s="3115" t="s">
        <v>7035</v>
      </c>
      <c r="G408" s="3115">
        <v>6.4</v>
      </c>
      <c r="H408" s="3115">
        <v>137.88</v>
      </c>
      <c r="I408" s="3115"/>
      <c r="J408" s="3114">
        <v>137.88</v>
      </c>
    </row>
    <row r="409" spans="1:10" s="3125" customFormat="1" ht="15">
      <c r="A409" s="3154">
        <v>405</v>
      </c>
      <c r="B409" s="3115" t="s">
        <v>7036</v>
      </c>
      <c r="C409" s="3115">
        <v>30</v>
      </c>
      <c r="D409" s="3156" t="s">
        <v>6381</v>
      </c>
      <c r="E409" s="3126" t="s">
        <v>7600</v>
      </c>
      <c r="F409" s="3115" t="s">
        <v>7037</v>
      </c>
      <c r="G409" s="3115">
        <v>6.4</v>
      </c>
      <c r="H409" s="3115">
        <v>137.88</v>
      </c>
      <c r="I409" s="3115"/>
      <c r="J409" s="3114">
        <v>137.88</v>
      </c>
    </row>
    <row r="410" spans="1:10" s="3125" customFormat="1" ht="15">
      <c r="A410" s="3154">
        <v>406</v>
      </c>
      <c r="B410" s="3115" t="s">
        <v>7038</v>
      </c>
      <c r="C410" s="3115">
        <v>30</v>
      </c>
      <c r="D410" s="3156" t="s">
        <v>6381</v>
      </c>
      <c r="E410" s="3126" t="s">
        <v>7600</v>
      </c>
      <c r="F410" s="3115" t="s">
        <v>7039</v>
      </c>
      <c r="G410" s="3115">
        <v>6.4</v>
      </c>
      <c r="H410" s="3115">
        <v>137.88</v>
      </c>
      <c r="I410" s="3115"/>
      <c r="J410" s="3114">
        <v>137.88</v>
      </c>
    </row>
    <row r="411" spans="1:10" s="3125" customFormat="1" ht="15">
      <c r="A411" s="3154">
        <v>407</v>
      </c>
      <c r="B411" s="3115" t="s">
        <v>7040</v>
      </c>
      <c r="C411" s="3115">
        <v>30</v>
      </c>
      <c r="D411" s="3156" t="s">
        <v>6381</v>
      </c>
      <c r="E411" s="3126" t="s">
        <v>7600</v>
      </c>
      <c r="F411" s="3115" t="s">
        <v>7041</v>
      </c>
      <c r="G411" s="3115">
        <v>6.4</v>
      </c>
      <c r="H411" s="3115">
        <v>137.88</v>
      </c>
      <c r="I411" s="3115"/>
      <c r="J411" s="3114">
        <v>137.88</v>
      </c>
    </row>
    <row r="412" spans="1:10" s="3125" customFormat="1" ht="15">
      <c r="A412" s="3154">
        <v>408</v>
      </c>
      <c r="B412" s="3115" t="s">
        <v>7042</v>
      </c>
      <c r="C412" s="3115">
        <v>30</v>
      </c>
      <c r="D412" s="3156" t="s">
        <v>6381</v>
      </c>
      <c r="E412" s="3126" t="s">
        <v>7600</v>
      </c>
      <c r="F412" s="3115" t="s">
        <v>7043</v>
      </c>
      <c r="G412" s="3115">
        <v>6.4</v>
      </c>
      <c r="H412" s="3115">
        <v>137.88</v>
      </c>
      <c r="I412" s="3115"/>
      <c r="J412" s="3114">
        <v>137.88</v>
      </c>
    </row>
    <row r="413" spans="1:10" s="3125" customFormat="1" ht="15">
      <c r="A413" s="3154">
        <v>409</v>
      </c>
      <c r="B413" s="3115" t="s">
        <v>7044</v>
      </c>
      <c r="C413" s="3115">
        <v>30</v>
      </c>
      <c r="D413" s="3156" t="s">
        <v>6381</v>
      </c>
      <c r="E413" s="3126" t="s">
        <v>7600</v>
      </c>
      <c r="F413" s="3115" t="s">
        <v>7045</v>
      </c>
      <c r="G413" s="3115">
        <v>6.4</v>
      </c>
      <c r="H413" s="3115">
        <v>137.88</v>
      </c>
      <c r="I413" s="3115"/>
      <c r="J413" s="3114">
        <v>137.88</v>
      </c>
    </row>
    <row r="414" spans="1:10" s="3125" customFormat="1" ht="15">
      <c r="A414" s="3154">
        <v>410</v>
      </c>
      <c r="B414" s="3115" t="s">
        <v>7046</v>
      </c>
      <c r="C414" s="3115">
        <v>30</v>
      </c>
      <c r="D414" s="3156" t="s">
        <v>6381</v>
      </c>
      <c r="E414" s="3126" t="s">
        <v>7600</v>
      </c>
      <c r="F414" s="3115" t="s">
        <v>7047</v>
      </c>
      <c r="G414" s="3115">
        <v>6.4</v>
      </c>
      <c r="H414" s="3115">
        <v>137.88</v>
      </c>
      <c r="I414" s="3115"/>
      <c r="J414" s="3114">
        <v>137.88</v>
      </c>
    </row>
    <row r="415" spans="1:10" s="3125" customFormat="1" ht="15">
      <c r="A415" s="3154">
        <v>411</v>
      </c>
      <c r="B415" s="3115" t="s">
        <v>7048</v>
      </c>
      <c r="C415" s="3115">
        <v>30</v>
      </c>
      <c r="D415" s="3156" t="s">
        <v>6381</v>
      </c>
      <c r="E415" s="3126" t="s">
        <v>7600</v>
      </c>
      <c r="F415" s="3115" t="s">
        <v>7049</v>
      </c>
      <c r="G415" s="3115">
        <v>5.8</v>
      </c>
      <c r="H415" s="3115">
        <v>123.76</v>
      </c>
      <c r="I415" s="3115"/>
      <c r="J415" s="3114">
        <v>123.76</v>
      </c>
    </row>
    <row r="416" spans="1:10" s="3125" customFormat="1" ht="15">
      <c r="A416" s="3154">
        <v>412</v>
      </c>
      <c r="B416" s="3115" t="s">
        <v>7050</v>
      </c>
      <c r="C416" s="3115">
        <v>30</v>
      </c>
      <c r="D416" s="3156" t="s">
        <v>6381</v>
      </c>
      <c r="E416" s="3126" t="s">
        <v>6443</v>
      </c>
      <c r="F416" s="3115" t="s">
        <v>7051</v>
      </c>
      <c r="G416" s="3115">
        <v>4.0999999999999996</v>
      </c>
      <c r="H416" s="3115">
        <v>88.06</v>
      </c>
      <c r="I416" s="3115"/>
      <c r="J416" s="3114">
        <v>88.06</v>
      </c>
    </row>
    <row r="417" spans="1:10" s="3125" customFormat="1" ht="15">
      <c r="A417" s="3154">
        <v>413</v>
      </c>
      <c r="B417" s="3115" t="s">
        <v>7052</v>
      </c>
      <c r="C417" s="3115">
        <v>30</v>
      </c>
      <c r="D417" s="3156" t="s">
        <v>6381</v>
      </c>
      <c r="E417" s="3126" t="s">
        <v>6443</v>
      </c>
      <c r="F417" s="3115" t="s">
        <v>7053</v>
      </c>
      <c r="G417" s="3115">
        <v>4.0999999999999996</v>
      </c>
      <c r="H417" s="3115">
        <v>88.06</v>
      </c>
      <c r="I417" s="3115"/>
      <c r="J417" s="3114">
        <v>88.06</v>
      </c>
    </row>
    <row r="418" spans="1:10" s="3125" customFormat="1" ht="15">
      <c r="A418" s="3154">
        <v>414</v>
      </c>
      <c r="B418" s="3115" t="s">
        <v>7054</v>
      </c>
      <c r="C418" s="3115">
        <v>30</v>
      </c>
      <c r="D418" s="3156" t="s">
        <v>6381</v>
      </c>
      <c r="E418" s="3126" t="s">
        <v>6443</v>
      </c>
      <c r="F418" s="3115" t="s">
        <v>7055</v>
      </c>
      <c r="G418" s="3115">
        <v>4.0999999999999996</v>
      </c>
      <c r="H418" s="3115">
        <v>88.06</v>
      </c>
      <c r="I418" s="3115"/>
      <c r="J418" s="3114">
        <v>88.06</v>
      </c>
    </row>
    <row r="419" spans="1:10" s="3125" customFormat="1" ht="15">
      <c r="A419" s="3154">
        <v>415</v>
      </c>
      <c r="B419" s="3115" t="s">
        <v>7056</v>
      </c>
      <c r="C419" s="3115">
        <v>30</v>
      </c>
      <c r="D419" s="3156" t="s">
        <v>6381</v>
      </c>
      <c r="E419" s="3126" t="s">
        <v>6443</v>
      </c>
      <c r="F419" s="3115" t="s">
        <v>7057</v>
      </c>
      <c r="G419" s="3115">
        <v>4.0999999999999996</v>
      </c>
      <c r="H419" s="3115">
        <v>88.06</v>
      </c>
      <c r="I419" s="3115"/>
      <c r="J419" s="3114">
        <v>88.06</v>
      </c>
    </row>
    <row r="420" spans="1:10" s="3125" customFormat="1" ht="15">
      <c r="A420" s="3154">
        <v>416</v>
      </c>
      <c r="B420" s="3115" t="s">
        <v>7058</v>
      </c>
      <c r="C420" s="3115">
        <v>30</v>
      </c>
      <c r="D420" s="3156" t="s">
        <v>6381</v>
      </c>
      <c r="E420" s="3126" t="s">
        <v>6443</v>
      </c>
      <c r="F420" s="3115" t="s">
        <v>7059</v>
      </c>
      <c r="G420" s="3115">
        <v>4.0999999999999996</v>
      </c>
      <c r="H420" s="3115">
        <v>88.06</v>
      </c>
      <c r="I420" s="3115"/>
      <c r="J420" s="3114">
        <v>88.06</v>
      </c>
    </row>
    <row r="421" spans="1:10" s="3125" customFormat="1" ht="15">
      <c r="A421" s="3154">
        <v>417</v>
      </c>
      <c r="B421" s="3115" t="s">
        <v>7060</v>
      </c>
      <c r="C421" s="3115">
        <v>30</v>
      </c>
      <c r="D421" s="3156" t="s">
        <v>6381</v>
      </c>
      <c r="E421" s="3126" t="s">
        <v>6443</v>
      </c>
      <c r="F421" s="3115" t="s">
        <v>7061</v>
      </c>
      <c r="G421" s="3115">
        <v>4.0999999999999996</v>
      </c>
      <c r="H421" s="3115">
        <v>88.06</v>
      </c>
      <c r="I421" s="3115"/>
      <c r="J421" s="3114">
        <v>88.06</v>
      </c>
    </row>
    <row r="422" spans="1:10" s="3125" customFormat="1" ht="15">
      <c r="A422" s="3154">
        <v>418</v>
      </c>
      <c r="B422" s="3115" t="s">
        <v>7062</v>
      </c>
      <c r="C422" s="3115">
        <v>30</v>
      </c>
      <c r="D422" s="3156" t="s">
        <v>6381</v>
      </c>
      <c r="E422" s="3126" t="s">
        <v>6443</v>
      </c>
      <c r="F422" s="3115" t="s">
        <v>7063</v>
      </c>
      <c r="G422" s="3115">
        <v>4.0999999999999996</v>
      </c>
      <c r="H422" s="3115">
        <v>88.06</v>
      </c>
      <c r="I422" s="3115"/>
      <c r="J422" s="3114">
        <v>88.06</v>
      </c>
    </row>
    <row r="423" spans="1:10" s="3125" customFormat="1" ht="15">
      <c r="A423" s="3154">
        <v>419</v>
      </c>
      <c r="B423" s="3115" t="s">
        <v>7064</v>
      </c>
      <c r="C423" s="3115">
        <v>30</v>
      </c>
      <c r="D423" s="3156" t="s">
        <v>6381</v>
      </c>
      <c r="E423" s="3126" t="s">
        <v>6443</v>
      </c>
      <c r="F423" s="3115" t="s">
        <v>7065</v>
      </c>
      <c r="G423" s="3115">
        <v>4.0999999999999996</v>
      </c>
      <c r="H423" s="3115">
        <v>88.06</v>
      </c>
      <c r="I423" s="3115"/>
      <c r="J423" s="3114">
        <v>88.06</v>
      </c>
    </row>
    <row r="424" spans="1:10" s="3125" customFormat="1" ht="15">
      <c r="A424" s="3154">
        <v>420</v>
      </c>
      <c r="B424" s="3115" t="s">
        <v>7066</v>
      </c>
      <c r="C424" s="3115">
        <v>30</v>
      </c>
      <c r="D424" s="3156" t="s">
        <v>6381</v>
      </c>
      <c r="E424" s="3126" t="s">
        <v>6443</v>
      </c>
      <c r="F424" s="3115" t="s">
        <v>7067</v>
      </c>
      <c r="G424" s="3115">
        <v>4.0999999999999996</v>
      </c>
      <c r="H424" s="3115">
        <v>88.06</v>
      </c>
      <c r="I424" s="3115"/>
      <c r="J424" s="3114">
        <v>88.06</v>
      </c>
    </row>
    <row r="425" spans="1:10" s="3125" customFormat="1" ht="15">
      <c r="A425" s="3154">
        <v>421</v>
      </c>
      <c r="B425" s="3115" t="s">
        <v>7068</v>
      </c>
      <c r="C425" s="3115">
        <v>30</v>
      </c>
      <c r="D425" s="3156" t="s">
        <v>6381</v>
      </c>
      <c r="E425" s="3126" t="s">
        <v>6443</v>
      </c>
      <c r="F425" s="3115" t="s">
        <v>7069</v>
      </c>
      <c r="G425" s="3115">
        <v>4.0999999999999996</v>
      </c>
      <c r="H425" s="3115">
        <v>88.06</v>
      </c>
      <c r="I425" s="3115"/>
      <c r="J425" s="3114">
        <v>88.06</v>
      </c>
    </row>
    <row r="426" spans="1:10" s="3125" customFormat="1" ht="15">
      <c r="A426" s="3154">
        <v>422</v>
      </c>
      <c r="B426" s="3115" t="s">
        <v>7070</v>
      </c>
      <c r="C426" s="3115">
        <v>30</v>
      </c>
      <c r="D426" s="3156" t="s">
        <v>6381</v>
      </c>
      <c r="E426" s="3126" t="s">
        <v>6443</v>
      </c>
      <c r="F426" s="3115" t="s">
        <v>7071</v>
      </c>
      <c r="G426" s="3115">
        <v>4.0999999999999996</v>
      </c>
      <c r="H426" s="3115">
        <v>88.06</v>
      </c>
      <c r="I426" s="3115"/>
      <c r="J426" s="3114">
        <v>88.06</v>
      </c>
    </row>
    <row r="427" spans="1:10" s="3125" customFormat="1" ht="15">
      <c r="A427" s="3154">
        <v>423</v>
      </c>
      <c r="B427" s="3115" t="s">
        <v>7072</v>
      </c>
      <c r="C427" s="3115">
        <v>30</v>
      </c>
      <c r="D427" s="3156" t="s">
        <v>6381</v>
      </c>
      <c r="E427" s="3126" t="s">
        <v>6443</v>
      </c>
      <c r="F427" s="3115" t="s">
        <v>7073</v>
      </c>
      <c r="G427" s="3115">
        <v>4.0999999999999996</v>
      </c>
      <c r="H427" s="3115">
        <v>88.06</v>
      </c>
      <c r="I427" s="3115"/>
      <c r="J427" s="3114">
        <v>88.06</v>
      </c>
    </row>
    <row r="428" spans="1:10" s="3125" customFormat="1" ht="15">
      <c r="A428" s="3154">
        <v>424</v>
      </c>
      <c r="B428" s="3115" t="s">
        <v>7074</v>
      </c>
      <c r="C428" s="3115">
        <v>30</v>
      </c>
      <c r="D428" s="3156" t="s">
        <v>6381</v>
      </c>
      <c r="E428" s="3126" t="s">
        <v>6443</v>
      </c>
      <c r="F428" s="3115" t="s">
        <v>7075</v>
      </c>
      <c r="G428" s="3115">
        <v>4.0999999999999996</v>
      </c>
      <c r="H428" s="3115">
        <v>88.06</v>
      </c>
      <c r="I428" s="3115"/>
      <c r="J428" s="3114">
        <v>88.06</v>
      </c>
    </row>
    <row r="429" spans="1:10" s="3125" customFormat="1" ht="15">
      <c r="A429" s="3154">
        <v>425</v>
      </c>
      <c r="B429" s="3115" t="s">
        <v>7076</v>
      </c>
      <c r="C429" s="3115">
        <v>30</v>
      </c>
      <c r="D429" s="3156" t="s">
        <v>6381</v>
      </c>
      <c r="E429" s="3126" t="s">
        <v>6443</v>
      </c>
      <c r="F429" s="3115" t="s">
        <v>7077</v>
      </c>
      <c r="G429" s="3115">
        <v>4.0999999999999996</v>
      </c>
      <c r="H429" s="3115">
        <v>88.06</v>
      </c>
      <c r="I429" s="3115"/>
      <c r="J429" s="3114">
        <v>88.06</v>
      </c>
    </row>
    <row r="430" spans="1:10" s="3125" customFormat="1" ht="15">
      <c r="A430" s="3154">
        <v>426</v>
      </c>
      <c r="B430" s="3115" t="s">
        <v>7078</v>
      </c>
      <c r="C430" s="3115">
        <v>30</v>
      </c>
      <c r="D430" s="3156" t="s">
        <v>6381</v>
      </c>
      <c r="E430" s="3126" t="s">
        <v>6443</v>
      </c>
      <c r="F430" s="3115" t="s">
        <v>7079</v>
      </c>
      <c r="G430" s="3115">
        <v>4.0999999999999996</v>
      </c>
      <c r="H430" s="3115">
        <v>88.06</v>
      </c>
      <c r="I430" s="3115"/>
      <c r="J430" s="3114">
        <v>88.06</v>
      </c>
    </row>
    <row r="431" spans="1:10" ht="15">
      <c r="A431" s="3154">
        <v>427</v>
      </c>
      <c r="B431" s="3115" t="s">
        <v>7080</v>
      </c>
      <c r="C431" s="3115">
        <v>30</v>
      </c>
      <c r="D431" s="3156" t="s">
        <v>6381</v>
      </c>
      <c r="E431" s="3126" t="s">
        <v>6443</v>
      </c>
      <c r="F431" s="3115" t="s">
        <v>7081</v>
      </c>
      <c r="G431" s="3115">
        <v>4.0999999999999996</v>
      </c>
      <c r="H431" s="3115">
        <v>88.06</v>
      </c>
      <c r="I431" s="3115"/>
      <c r="J431" s="3114">
        <v>88.06</v>
      </c>
    </row>
    <row r="432" spans="1:10" ht="15">
      <c r="A432" s="3154">
        <v>428</v>
      </c>
      <c r="B432" s="3115" t="s">
        <v>7082</v>
      </c>
      <c r="C432" s="3115">
        <v>30</v>
      </c>
      <c r="D432" s="3156" t="s">
        <v>6381</v>
      </c>
      <c r="E432" s="3126" t="s">
        <v>6443</v>
      </c>
      <c r="F432" s="3115" t="s">
        <v>7083</v>
      </c>
      <c r="G432" s="3115">
        <v>4.0999999999999996</v>
      </c>
      <c r="H432" s="3115">
        <v>88.06</v>
      </c>
      <c r="I432" s="3115"/>
      <c r="J432" s="3114">
        <v>88.06</v>
      </c>
    </row>
    <row r="433" spans="1:10" ht="15">
      <c r="A433" s="3154">
        <v>429</v>
      </c>
      <c r="B433" s="3115" t="s">
        <v>7084</v>
      </c>
      <c r="C433" s="3115">
        <v>30</v>
      </c>
      <c r="D433" s="3156" t="s">
        <v>6381</v>
      </c>
      <c r="E433" s="3126" t="s">
        <v>6443</v>
      </c>
      <c r="F433" s="3115" t="s">
        <v>7085</v>
      </c>
      <c r="G433" s="3115">
        <v>4.0999999999999996</v>
      </c>
      <c r="H433" s="3115">
        <v>88.06</v>
      </c>
      <c r="I433" s="3115"/>
      <c r="J433" s="3114">
        <v>88.06</v>
      </c>
    </row>
    <row r="434" spans="1:10" ht="15">
      <c r="A434" s="3154">
        <v>430</v>
      </c>
      <c r="B434" s="3115" t="s">
        <v>7086</v>
      </c>
      <c r="C434" s="3115">
        <v>30</v>
      </c>
      <c r="D434" s="3156" t="s">
        <v>6381</v>
      </c>
      <c r="E434" s="3126" t="s">
        <v>6443</v>
      </c>
      <c r="F434" s="3115" t="s">
        <v>7087</v>
      </c>
      <c r="G434" s="3115">
        <v>4.0999999999999996</v>
      </c>
      <c r="H434" s="3115">
        <v>88.06</v>
      </c>
      <c r="I434" s="3115"/>
      <c r="J434" s="3114">
        <v>88.06</v>
      </c>
    </row>
    <row r="435" spans="1:10" ht="15">
      <c r="A435" s="3154">
        <v>431</v>
      </c>
      <c r="B435" s="3115" t="s">
        <v>7088</v>
      </c>
      <c r="C435" s="3115">
        <v>30</v>
      </c>
      <c r="D435" s="3156" t="s">
        <v>6381</v>
      </c>
      <c r="E435" s="3126" t="s">
        <v>6443</v>
      </c>
      <c r="F435" s="3115" t="s">
        <v>7089</v>
      </c>
      <c r="G435" s="3115">
        <v>4.0999999999999996</v>
      </c>
      <c r="H435" s="3115">
        <v>88.06</v>
      </c>
      <c r="I435" s="3115"/>
      <c r="J435" s="3114">
        <v>88.06</v>
      </c>
    </row>
    <row r="436" spans="1:10" ht="15">
      <c r="A436" s="3154">
        <v>432</v>
      </c>
      <c r="B436" s="3115" t="s">
        <v>7090</v>
      </c>
      <c r="C436" s="3115">
        <v>30</v>
      </c>
      <c r="D436" s="3156" t="s">
        <v>6381</v>
      </c>
      <c r="E436" s="3126" t="s">
        <v>6443</v>
      </c>
      <c r="F436" s="3115" t="s">
        <v>7091</v>
      </c>
      <c r="G436" s="3115">
        <v>4.0999999999999996</v>
      </c>
      <c r="H436" s="3115">
        <v>88.06</v>
      </c>
      <c r="I436" s="3115"/>
      <c r="J436" s="3114">
        <v>88.06</v>
      </c>
    </row>
    <row r="437" spans="1:10" s="3125" customFormat="1" ht="15">
      <c r="A437" s="3154">
        <v>433</v>
      </c>
      <c r="B437" s="3115" t="s">
        <v>7092</v>
      </c>
      <c r="C437" s="3115">
        <v>30</v>
      </c>
      <c r="D437" s="3156" t="s">
        <v>6381</v>
      </c>
      <c r="E437" s="3126" t="s">
        <v>6443</v>
      </c>
      <c r="F437" s="3115" t="s">
        <v>7093</v>
      </c>
      <c r="G437" s="3115">
        <v>4.0999999999999996</v>
      </c>
      <c r="H437" s="3115">
        <v>88.06</v>
      </c>
      <c r="I437" s="3115"/>
      <c r="J437" s="3114">
        <v>88.06</v>
      </c>
    </row>
    <row r="438" spans="1:10" s="3125" customFormat="1" ht="15">
      <c r="A438" s="3154">
        <v>434</v>
      </c>
      <c r="B438" s="3115" t="s">
        <v>7094</v>
      </c>
      <c r="C438" s="3115">
        <v>30</v>
      </c>
      <c r="D438" s="3156" t="s">
        <v>6381</v>
      </c>
      <c r="E438" s="3126" t="s">
        <v>6443</v>
      </c>
      <c r="F438" s="3115" t="s">
        <v>7095</v>
      </c>
      <c r="G438" s="3115">
        <v>4.0999999999999996</v>
      </c>
      <c r="H438" s="3115">
        <v>88.06</v>
      </c>
      <c r="I438" s="3115"/>
      <c r="J438" s="3114">
        <v>88.06</v>
      </c>
    </row>
    <row r="439" spans="1:10" s="3125" customFormat="1" ht="15">
      <c r="A439" s="3154">
        <v>435</v>
      </c>
      <c r="B439" s="3115" t="s">
        <v>7096</v>
      </c>
      <c r="C439" s="3115">
        <v>30</v>
      </c>
      <c r="D439" s="3156" t="s">
        <v>6381</v>
      </c>
      <c r="E439" s="3126" t="s">
        <v>6443</v>
      </c>
      <c r="F439" s="3115" t="s">
        <v>7097</v>
      </c>
      <c r="G439" s="3115">
        <v>4.0999999999999996</v>
      </c>
      <c r="H439" s="3115">
        <v>88.06</v>
      </c>
      <c r="I439" s="3115"/>
      <c r="J439" s="3114">
        <v>88.06</v>
      </c>
    </row>
    <row r="440" spans="1:10" s="3125" customFormat="1" ht="15">
      <c r="A440" s="3154">
        <v>436</v>
      </c>
      <c r="B440" s="3115" t="s">
        <v>7098</v>
      </c>
      <c r="C440" s="3115">
        <v>30</v>
      </c>
      <c r="D440" s="3156" t="s">
        <v>6381</v>
      </c>
      <c r="E440" s="3126" t="s">
        <v>6443</v>
      </c>
      <c r="F440" s="3115" t="s">
        <v>7099</v>
      </c>
      <c r="G440" s="3115">
        <v>4.0999999999999996</v>
      </c>
      <c r="H440" s="3115">
        <v>88.06</v>
      </c>
      <c r="I440" s="3115"/>
      <c r="J440" s="3114">
        <v>88.06</v>
      </c>
    </row>
    <row r="441" spans="1:10" s="3125" customFormat="1" ht="15">
      <c r="A441" s="3154">
        <v>437</v>
      </c>
      <c r="B441" s="3115" t="s">
        <v>7100</v>
      </c>
      <c r="C441" s="3115">
        <v>30</v>
      </c>
      <c r="D441" s="3156" t="s">
        <v>6381</v>
      </c>
      <c r="E441" s="3126" t="s">
        <v>6443</v>
      </c>
      <c r="F441" s="3115" t="s">
        <v>7101</v>
      </c>
      <c r="G441" s="3115">
        <v>4.0999999999999996</v>
      </c>
      <c r="H441" s="3115">
        <v>88.06</v>
      </c>
      <c r="I441" s="3115"/>
      <c r="J441" s="3114">
        <v>88.06</v>
      </c>
    </row>
    <row r="442" spans="1:10" s="3125" customFormat="1" ht="15">
      <c r="A442" s="3154">
        <v>438</v>
      </c>
      <c r="B442" s="3115" t="s">
        <v>7102</v>
      </c>
      <c r="C442" s="3115">
        <v>30</v>
      </c>
      <c r="D442" s="3156" t="s">
        <v>6381</v>
      </c>
      <c r="E442" s="3126" t="s">
        <v>6443</v>
      </c>
      <c r="F442" s="3115" t="s">
        <v>7103</v>
      </c>
      <c r="G442" s="3115">
        <v>4.0999999999999996</v>
      </c>
      <c r="H442" s="3115">
        <v>88.06</v>
      </c>
      <c r="I442" s="3115"/>
      <c r="J442" s="3114">
        <v>88.06</v>
      </c>
    </row>
    <row r="443" spans="1:10" s="3125" customFormat="1" ht="15">
      <c r="A443" s="3154">
        <v>439</v>
      </c>
      <c r="B443" s="3115" t="s">
        <v>7104</v>
      </c>
      <c r="C443" s="3115">
        <v>30</v>
      </c>
      <c r="D443" s="3156" t="s">
        <v>6381</v>
      </c>
      <c r="E443" s="3126" t="s">
        <v>6443</v>
      </c>
      <c r="F443" s="3115" t="s">
        <v>7105</v>
      </c>
      <c r="G443" s="3115">
        <v>4.0999999999999996</v>
      </c>
      <c r="H443" s="3115">
        <v>88.06</v>
      </c>
      <c r="I443" s="3115"/>
      <c r="J443" s="3114">
        <v>88.06</v>
      </c>
    </row>
    <row r="444" spans="1:10" s="3125" customFormat="1" ht="15">
      <c r="A444" s="3154">
        <v>440</v>
      </c>
      <c r="B444" s="3115" t="s">
        <v>7106</v>
      </c>
      <c r="C444" s="3115">
        <v>30</v>
      </c>
      <c r="D444" s="3156" t="s">
        <v>6381</v>
      </c>
      <c r="E444" s="3126" t="s">
        <v>6443</v>
      </c>
      <c r="F444" s="3115" t="s">
        <v>7107</v>
      </c>
      <c r="G444" s="3115">
        <v>4.0999999999999996</v>
      </c>
      <c r="H444" s="3115">
        <v>88.06</v>
      </c>
      <c r="I444" s="3115"/>
      <c r="J444" s="3114">
        <v>88.06</v>
      </c>
    </row>
    <row r="445" spans="1:10" s="3125" customFormat="1" ht="15">
      <c r="A445" s="3154">
        <v>441</v>
      </c>
      <c r="B445" s="3115" t="s">
        <v>7108</v>
      </c>
      <c r="C445" s="3115">
        <v>30</v>
      </c>
      <c r="D445" s="3156" t="s">
        <v>6381</v>
      </c>
      <c r="E445" s="3126" t="s">
        <v>6443</v>
      </c>
      <c r="F445" s="3115" t="s">
        <v>7109</v>
      </c>
      <c r="G445" s="3115">
        <v>4.0999999999999996</v>
      </c>
      <c r="H445" s="3115">
        <v>88.19</v>
      </c>
      <c r="I445" s="3115"/>
      <c r="J445" s="3114">
        <v>88.19</v>
      </c>
    </row>
    <row r="446" spans="1:10" s="3125" customFormat="1" ht="15">
      <c r="A446" s="3154">
        <v>442</v>
      </c>
      <c r="B446" s="3115" t="s">
        <v>7110</v>
      </c>
      <c r="C446" s="3115">
        <v>30</v>
      </c>
      <c r="D446" s="3156" t="s">
        <v>6381</v>
      </c>
      <c r="E446" s="3126" t="s">
        <v>6443</v>
      </c>
      <c r="F446" s="3115" t="s">
        <v>7111</v>
      </c>
      <c r="G446" s="3115">
        <v>4.0999999999999996</v>
      </c>
      <c r="H446" s="3115">
        <v>88.19</v>
      </c>
      <c r="I446" s="3115"/>
      <c r="J446" s="3114">
        <v>88.19</v>
      </c>
    </row>
    <row r="447" spans="1:10" s="3125" customFormat="1" ht="15">
      <c r="A447" s="3154">
        <v>443</v>
      </c>
      <c r="B447" s="3115" t="s">
        <v>7112</v>
      </c>
      <c r="C447" s="3115">
        <v>30</v>
      </c>
      <c r="D447" s="3156" t="s">
        <v>6381</v>
      </c>
      <c r="E447" s="3126" t="s">
        <v>6443</v>
      </c>
      <c r="F447" s="3115" t="s">
        <v>7113</v>
      </c>
      <c r="G447" s="3115">
        <v>4.0999999999999996</v>
      </c>
      <c r="H447" s="3115">
        <v>88.19</v>
      </c>
      <c r="I447" s="3115"/>
      <c r="J447" s="3114">
        <v>88.19</v>
      </c>
    </row>
    <row r="448" spans="1:10" s="3125" customFormat="1" ht="15">
      <c r="A448" s="3154">
        <v>444</v>
      </c>
      <c r="B448" s="3115" t="s">
        <v>7114</v>
      </c>
      <c r="C448" s="3115">
        <v>30</v>
      </c>
      <c r="D448" s="3156" t="s">
        <v>6381</v>
      </c>
      <c r="E448" s="3126" t="s">
        <v>6443</v>
      </c>
      <c r="F448" s="3115" t="s">
        <v>7115</v>
      </c>
      <c r="G448" s="3115">
        <v>4.0999999999999996</v>
      </c>
      <c r="H448" s="3115">
        <v>88.19</v>
      </c>
      <c r="I448" s="3115"/>
      <c r="J448" s="3114">
        <v>88.19</v>
      </c>
    </row>
    <row r="449" spans="1:10" s="3125" customFormat="1" ht="15">
      <c r="A449" s="3154">
        <v>445</v>
      </c>
      <c r="B449" s="3115" t="s">
        <v>7116</v>
      </c>
      <c r="C449" s="3115">
        <v>30</v>
      </c>
      <c r="D449" s="3156" t="s">
        <v>6381</v>
      </c>
      <c r="E449" s="3126" t="s">
        <v>6443</v>
      </c>
      <c r="F449" s="3115" t="s">
        <v>7117</v>
      </c>
      <c r="G449" s="3115">
        <v>4.0999999999999996</v>
      </c>
      <c r="H449" s="3115">
        <v>88.19</v>
      </c>
      <c r="I449" s="3115"/>
      <c r="J449" s="3114">
        <v>88.19</v>
      </c>
    </row>
    <row r="450" spans="1:10" s="3125" customFormat="1" ht="15">
      <c r="A450" s="3154">
        <v>446</v>
      </c>
      <c r="B450" s="3115" t="s">
        <v>7118</v>
      </c>
      <c r="C450" s="3115">
        <v>30</v>
      </c>
      <c r="D450" s="3156" t="s">
        <v>6381</v>
      </c>
      <c r="E450" s="3126" t="s">
        <v>6443</v>
      </c>
      <c r="F450" s="3115" t="s">
        <v>8053</v>
      </c>
      <c r="G450" s="3115">
        <v>4.0999999999999996</v>
      </c>
      <c r="H450" s="3115">
        <v>88.19</v>
      </c>
      <c r="I450" s="3115"/>
      <c r="J450" s="3114">
        <v>88.19</v>
      </c>
    </row>
    <row r="451" spans="1:10" s="3125" customFormat="1" ht="15">
      <c r="A451" s="3154">
        <v>447</v>
      </c>
      <c r="B451" s="3115" t="s">
        <v>7119</v>
      </c>
      <c r="C451" s="3115">
        <v>30</v>
      </c>
      <c r="D451" s="3156" t="s">
        <v>6381</v>
      </c>
      <c r="E451" s="3126" t="s">
        <v>6443</v>
      </c>
      <c r="F451" s="3115" t="s">
        <v>7120</v>
      </c>
      <c r="G451" s="3115">
        <v>4.0999999999999996</v>
      </c>
      <c r="H451" s="3115">
        <v>88.19</v>
      </c>
      <c r="I451" s="3115"/>
      <c r="J451" s="3114">
        <v>88.19</v>
      </c>
    </row>
    <row r="452" spans="1:10" s="3125" customFormat="1" ht="15">
      <c r="A452" s="3154">
        <v>448</v>
      </c>
      <c r="B452" s="3115" t="s">
        <v>7121</v>
      </c>
      <c r="C452" s="3115">
        <v>30</v>
      </c>
      <c r="D452" s="3156" t="s">
        <v>6381</v>
      </c>
      <c r="E452" s="3126" t="s">
        <v>6443</v>
      </c>
      <c r="F452" s="3115" t="s">
        <v>7122</v>
      </c>
      <c r="G452" s="3115">
        <v>4.0999999999999996</v>
      </c>
      <c r="H452" s="3115">
        <v>88.19</v>
      </c>
      <c r="I452" s="3115"/>
      <c r="J452" s="3114">
        <v>88.19</v>
      </c>
    </row>
    <row r="453" spans="1:10" s="3125" customFormat="1" ht="15">
      <c r="A453" s="3154">
        <v>449</v>
      </c>
      <c r="B453" s="3115" t="s">
        <v>7123</v>
      </c>
      <c r="C453" s="3115">
        <v>30</v>
      </c>
      <c r="D453" s="3156" t="s">
        <v>6381</v>
      </c>
      <c r="E453" s="3126" t="s">
        <v>6443</v>
      </c>
      <c r="F453" s="3115" t="s">
        <v>7124</v>
      </c>
      <c r="G453" s="3115">
        <v>4.0999999999999996</v>
      </c>
      <c r="H453" s="3115">
        <v>88.19</v>
      </c>
      <c r="I453" s="3115"/>
      <c r="J453" s="3114">
        <v>88.19</v>
      </c>
    </row>
    <row r="454" spans="1:10" s="3125" customFormat="1" ht="15">
      <c r="A454" s="3154">
        <v>450</v>
      </c>
      <c r="B454" s="3115" t="s">
        <v>7125</v>
      </c>
      <c r="C454" s="3115">
        <v>30</v>
      </c>
      <c r="D454" s="3156" t="s">
        <v>6381</v>
      </c>
      <c r="E454" s="3126" t="s">
        <v>6443</v>
      </c>
      <c r="F454" s="3115" t="s">
        <v>7126</v>
      </c>
      <c r="G454" s="3115">
        <v>4.0999999999999996</v>
      </c>
      <c r="H454" s="3115">
        <v>88.19</v>
      </c>
      <c r="I454" s="3115"/>
      <c r="J454" s="3114">
        <v>88.19</v>
      </c>
    </row>
    <row r="455" spans="1:10" s="3125" customFormat="1" ht="15">
      <c r="A455" s="3154">
        <v>451</v>
      </c>
      <c r="B455" s="3115" t="s">
        <v>7127</v>
      </c>
      <c r="C455" s="3115">
        <v>30</v>
      </c>
      <c r="D455" s="3156" t="s">
        <v>6381</v>
      </c>
      <c r="E455" s="3126" t="s">
        <v>6443</v>
      </c>
      <c r="F455" s="3115" t="s">
        <v>7128</v>
      </c>
      <c r="G455" s="3115">
        <v>4.0999999999999996</v>
      </c>
      <c r="H455" s="3115">
        <v>88.19</v>
      </c>
      <c r="I455" s="3115"/>
      <c r="J455" s="3114">
        <v>88.19</v>
      </c>
    </row>
    <row r="456" spans="1:10" s="3125" customFormat="1" ht="15">
      <c r="A456" s="3154">
        <v>452</v>
      </c>
      <c r="B456" s="3115" t="s">
        <v>7129</v>
      </c>
      <c r="C456" s="3115">
        <v>30</v>
      </c>
      <c r="D456" s="3156" t="s">
        <v>6381</v>
      </c>
      <c r="E456" s="3126" t="s">
        <v>6443</v>
      </c>
      <c r="F456" s="3115" t="s">
        <v>7130</v>
      </c>
      <c r="G456" s="3115">
        <v>4.0999999999999996</v>
      </c>
      <c r="H456" s="3115">
        <v>88.19</v>
      </c>
      <c r="I456" s="3115"/>
      <c r="J456" s="3114">
        <v>88.19</v>
      </c>
    </row>
    <row r="457" spans="1:10" s="3125" customFormat="1" ht="15">
      <c r="A457" s="3154">
        <v>453</v>
      </c>
      <c r="B457" s="3115" t="s">
        <v>7131</v>
      </c>
      <c r="C457" s="3115">
        <v>30</v>
      </c>
      <c r="D457" s="3156" t="s">
        <v>6381</v>
      </c>
      <c r="E457" s="3126" t="s">
        <v>6443</v>
      </c>
      <c r="F457" s="3115" t="s">
        <v>7132</v>
      </c>
      <c r="G457" s="3115">
        <v>4.0999999999999996</v>
      </c>
      <c r="H457" s="3115">
        <v>88.19</v>
      </c>
      <c r="I457" s="3115"/>
      <c r="J457" s="3114">
        <v>88.19</v>
      </c>
    </row>
    <row r="458" spans="1:10" s="3125" customFormat="1" ht="15">
      <c r="A458" s="3154">
        <v>454</v>
      </c>
      <c r="B458" s="3115" t="s">
        <v>7133</v>
      </c>
      <c r="C458" s="3115">
        <v>30</v>
      </c>
      <c r="D458" s="3156" t="s">
        <v>6381</v>
      </c>
      <c r="E458" s="3126" t="s">
        <v>6443</v>
      </c>
      <c r="F458" s="3115" t="s">
        <v>7134</v>
      </c>
      <c r="G458" s="3115">
        <v>4.0999999999999996</v>
      </c>
      <c r="H458" s="3115">
        <v>88.19</v>
      </c>
      <c r="I458" s="3115"/>
      <c r="J458" s="3114">
        <v>88.19</v>
      </c>
    </row>
    <row r="459" spans="1:10" s="3125" customFormat="1" ht="15">
      <c r="A459" s="3154">
        <v>455</v>
      </c>
      <c r="B459" s="3115" t="s">
        <v>7135</v>
      </c>
      <c r="C459" s="3115">
        <v>30</v>
      </c>
      <c r="D459" s="3156" t="s">
        <v>6381</v>
      </c>
      <c r="E459" s="3126" t="s">
        <v>6443</v>
      </c>
      <c r="F459" s="3115" t="s">
        <v>7136</v>
      </c>
      <c r="G459" s="3115">
        <v>4.0999999999999996</v>
      </c>
      <c r="H459" s="3115">
        <v>88.19</v>
      </c>
      <c r="I459" s="3115"/>
      <c r="J459" s="3114">
        <v>88.19</v>
      </c>
    </row>
    <row r="460" spans="1:10" s="3125" customFormat="1" ht="15">
      <c r="A460" s="3154">
        <v>456</v>
      </c>
      <c r="B460" s="3115" t="s">
        <v>7137</v>
      </c>
      <c r="C460" s="3115">
        <v>30</v>
      </c>
      <c r="D460" s="3156" t="s">
        <v>6381</v>
      </c>
      <c r="E460" s="3126" t="s">
        <v>6443</v>
      </c>
      <c r="F460" s="3115" t="s">
        <v>7138</v>
      </c>
      <c r="G460" s="3115">
        <v>4.0999999999999996</v>
      </c>
      <c r="H460" s="3115">
        <v>88.19</v>
      </c>
      <c r="I460" s="3115"/>
      <c r="J460" s="3114">
        <v>88.19</v>
      </c>
    </row>
    <row r="461" spans="1:10" s="3125" customFormat="1" ht="15">
      <c r="A461" s="3154">
        <v>457</v>
      </c>
      <c r="B461" s="3115" t="s">
        <v>7139</v>
      </c>
      <c r="C461" s="3115">
        <v>30</v>
      </c>
      <c r="D461" s="3156" t="s">
        <v>6381</v>
      </c>
      <c r="E461" s="3126" t="s">
        <v>6443</v>
      </c>
      <c r="F461" s="3115" t="s">
        <v>7140</v>
      </c>
      <c r="G461" s="3115">
        <v>4.0999999999999996</v>
      </c>
      <c r="H461" s="3115">
        <v>88.19</v>
      </c>
      <c r="I461" s="3115"/>
      <c r="J461" s="3114">
        <v>88.19</v>
      </c>
    </row>
    <row r="462" spans="1:10" ht="15">
      <c r="A462" s="3154">
        <v>458</v>
      </c>
      <c r="B462" s="3115" t="s">
        <v>7141</v>
      </c>
      <c r="C462" s="3115">
        <v>30</v>
      </c>
      <c r="D462" s="3156" t="s">
        <v>6381</v>
      </c>
      <c r="E462" s="3126" t="s">
        <v>6443</v>
      </c>
      <c r="F462" s="3115" t="s">
        <v>7142</v>
      </c>
      <c r="G462" s="3115">
        <v>4.0999999999999996</v>
      </c>
      <c r="H462" s="3115">
        <v>88.19</v>
      </c>
      <c r="I462" s="3115"/>
      <c r="J462" s="3114">
        <v>88.19</v>
      </c>
    </row>
    <row r="463" spans="1:10" ht="15">
      <c r="A463" s="3154">
        <v>459</v>
      </c>
      <c r="B463" s="3115" t="s">
        <v>7143</v>
      </c>
      <c r="C463" s="3115">
        <v>30</v>
      </c>
      <c r="D463" s="3156" t="s">
        <v>6381</v>
      </c>
      <c r="E463" s="3126" t="s">
        <v>6443</v>
      </c>
      <c r="F463" s="3115" t="s">
        <v>7144</v>
      </c>
      <c r="G463" s="3115">
        <v>4.0999999999999996</v>
      </c>
      <c r="H463" s="3115">
        <v>88.19</v>
      </c>
      <c r="I463" s="3115"/>
      <c r="J463" s="3114">
        <v>88.19</v>
      </c>
    </row>
    <row r="464" spans="1:10" ht="15">
      <c r="A464" s="3154">
        <v>460</v>
      </c>
      <c r="B464" s="3115" t="s">
        <v>7145</v>
      </c>
      <c r="C464" s="3115">
        <v>30</v>
      </c>
      <c r="D464" s="3156" t="s">
        <v>6381</v>
      </c>
      <c r="E464" s="3126" t="s">
        <v>6443</v>
      </c>
      <c r="F464" s="3115" t="s">
        <v>7146</v>
      </c>
      <c r="G464" s="3115">
        <v>4.0999999999999996</v>
      </c>
      <c r="H464" s="3115">
        <v>88.19</v>
      </c>
      <c r="I464" s="3115"/>
      <c r="J464" s="3114">
        <v>88.19</v>
      </c>
    </row>
    <row r="465" spans="1:10" ht="15">
      <c r="A465" s="3154">
        <v>461</v>
      </c>
      <c r="B465" s="3115" t="s">
        <v>7147</v>
      </c>
      <c r="C465" s="3115">
        <v>30</v>
      </c>
      <c r="D465" s="3156" t="s">
        <v>6381</v>
      </c>
      <c r="E465" s="3126" t="s">
        <v>6443</v>
      </c>
      <c r="F465" s="3115" t="s">
        <v>7148</v>
      </c>
      <c r="G465" s="3115">
        <v>4.0999999999999996</v>
      </c>
      <c r="H465" s="3115">
        <v>88.19</v>
      </c>
      <c r="I465" s="3115"/>
      <c r="J465" s="3114">
        <v>88.19</v>
      </c>
    </row>
    <row r="466" spans="1:10" ht="15">
      <c r="A466" s="3154">
        <v>462</v>
      </c>
      <c r="B466" s="3115" t="s">
        <v>7149</v>
      </c>
      <c r="C466" s="3115">
        <v>30</v>
      </c>
      <c r="D466" s="3156" t="s">
        <v>6381</v>
      </c>
      <c r="E466" s="3126" t="s">
        <v>6443</v>
      </c>
      <c r="F466" s="3115" t="s">
        <v>7150</v>
      </c>
      <c r="G466" s="3115">
        <v>4.0999999999999996</v>
      </c>
      <c r="H466" s="3115">
        <v>88.19</v>
      </c>
      <c r="I466" s="3115"/>
      <c r="J466" s="3114">
        <v>88.19</v>
      </c>
    </row>
    <row r="467" spans="1:10" ht="15">
      <c r="A467" s="3154">
        <v>463</v>
      </c>
      <c r="B467" s="3115" t="s">
        <v>7151</v>
      </c>
      <c r="C467" s="3115">
        <v>30</v>
      </c>
      <c r="D467" s="3156" t="s">
        <v>6381</v>
      </c>
      <c r="E467" s="3126" t="s">
        <v>6443</v>
      </c>
      <c r="F467" s="3115" t="s">
        <v>7152</v>
      </c>
      <c r="G467" s="3115">
        <v>4.0999999999999996</v>
      </c>
      <c r="H467" s="3115">
        <v>88.19</v>
      </c>
      <c r="I467" s="3115"/>
      <c r="J467" s="3114">
        <v>88.19</v>
      </c>
    </row>
    <row r="468" spans="1:10" ht="15">
      <c r="A468" s="3154">
        <v>464</v>
      </c>
      <c r="B468" s="3115" t="s">
        <v>7153</v>
      </c>
      <c r="C468" s="3115">
        <v>30</v>
      </c>
      <c r="D468" s="3156" t="s">
        <v>6381</v>
      </c>
      <c r="E468" s="3126" t="s">
        <v>6443</v>
      </c>
      <c r="F468" s="3115" t="s">
        <v>7154</v>
      </c>
      <c r="G468" s="3115">
        <v>4.0999999999999996</v>
      </c>
      <c r="H468" s="3115">
        <v>88.19</v>
      </c>
      <c r="I468" s="3115"/>
      <c r="J468" s="3114">
        <v>88.19</v>
      </c>
    </row>
    <row r="469" spans="1:10" ht="15">
      <c r="A469" s="3154">
        <v>465</v>
      </c>
      <c r="B469" s="3115" t="s">
        <v>7155</v>
      </c>
      <c r="C469" s="3115">
        <v>30</v>
      </c>
      <c r="D469" s="3156" t="s">
        <v>6381</v>
      </c>
      <c r="E469" s="3126" t="s">
        <v>6443</v>
      </c>
      <c r="F469" s="3115" t="s">
        <v>7156</v>
      </c>
      <c r="G469" s="3115">
        <v>4.0999999999999996</v>
      </c>
      <c r="H469" s="3115">
        <v>88.19</v>
      </c>
      <c r="I469" s="3115"/>
      <c r="J469" s="3114">
        <v>88.19</v>
      </c>
    </row>
    <row r="470" spans="1:10" ht="15">
      <c r="A470" s="3154">
        <v>466</v>
      </c>
      <c r="B470" s="3115" t="s">
        <v>7157</v>
      </c>
      <c r="C470" s="3115">
        <v>30</v>
      </c>
      <c r="D470" s="3156" t="s">
        <v>6381</v>
      </c>
      <c r="E470" s="3126" t="s">
        <v>6443</v>
      </c>
      <c r="F470" s="3115" t="s">
        <v>7158</v>
      </c>
      <c r="G470" s="3115">
        <v>4.0999999999999996</v>
      </c>
      <c r="H470" s="3115">
        <v>88.19</v>
      </c>
      <c r="I470" s="3115"/>
      <c r="J470" s="3114">
        <v>88.19</v>
      </c>
    </row>
    <row r="471" spans="1:10" ht="15">
      <c r="A471" s="3154">
        <v>467</v>
      </c>
      <c r="B471" s="3115" t="s">
        <v>7159</v>
      </c>
      <c r="C471" s="3115">
        <v>30</v>
      </c>
      <c r="D471" s="3156" t="s">
        <v>6381</v>
      </c>
      <c r="E471" s="3126" t="s">
        <v>6443</v>
      </c>
      <c r="F471" s="3115" t="s">
        <v>7160</v>
      </c>
      <c r="G471" s="3115">
        <v>4.0999999999999996</v>
      </c>
      <c r="H471" s="3115">
        <v>88.19</v>
      </c>
      <c r="I471" s="3115"/>
      <c r="J471" s="3114">
        <v>88.19</v>
      </c>
    </row>
    <row r="472" spans="1:10" ht="15">
      <c r="A472" s="3154">
        <v>468</v>
      </c>
      <c r="B472" s="3115" t="s">
        <v>7161</v>
      </c>
      <c r="C472" s="3115">
        <v>30</v>
      </c>
      <c r="D472" s="3156" t="s">
        <v>6381</v>
      </c>
      <c r="E472" s="3126" t="s">
        <v>6443</v>
      </c>
      <c r="F472" s="3115" t="s">
        <v>7614</v>
      </c>
      <c r="G472" s="3115">
        <v>4.0999999999999996</v>
      </c>
      <c r="H472" s="3115">
        <v>88.19</v>
      </c>
      <c r="I472" s="3115"/>
      <c r="J472" s="3114">
        <v>88.19</v>
      </c>
    </row>
    <row r="473" spans="1:10" s="3125" customFormat="1" ht="15">
      <c r="A473" s="3154">
        <v>469</v>
      </c>
      <c r="B473" s="3115" t="s">
        <v>7162</v>
      </c>
      <c r="C473" s="3115">
        <v>30</v>
      </c>
      <c r="D473" s="3156" t="s">
        <v>6381</v>
      </c>
      <c r="E473" s="3126" t="s">
        <v>6443</v>
      </c>
      <c r="F473" s="3115" t="s">
        <v>7615</v>
      </c>
      <c r="G473" s="3115">
        <v>4.0999999999999996</v>
      </c>
      <c r="H473" s="3115">
        <v>88.19</v>
      </c>
      <c r="I473" s="3115"/>
      <c r="J473" s="3114">
        <v>88.19</v>
      </c>
    </row>
    <row r="474" spans="1:10" s="3125" customFormat="1" ht="15">
      <c r="A474" s="3154">
        <v>470</v>
      </c>
      <c r="B474" s="3115" t="s">
        <v>7163</v>
      </c>
      <c r="C474" s="3115">
        <v>30</v>
      </c>
      <c r="D474" s="3156" t="s">
        <v>7164</v>
      </c>
      <c r="E474" s="3126" t="s">
        <v>6443</v>
      </c>
      <c r="F474" s="3115" t="s">
        <v>7165</v>
      </c>
      <c r="G474" s="3115">
        <v>6.4</v>
      </c>
      <c r="H474" s="3115">
        <v>136.66999999999999</v>
      </c>
      <c r="I474" s="3115"/>
      <c r="J474" s="3114">
        <v>136.66999999999999</v>
      </c>
    </row>
    <row r="475" spans="1:10" s="3125" customFormat="1" ht="15">
      <c r="A475" s="3154">
        <v>471</v>
      </c>
      <c r="B475" s="3115" t="s">
        <v>7166</v>
      </c>
      <c r="C475" s="3115">
        <v>30</v>
      </c>
      <c r="D475" s="3156" t="s">
        <v>6391</v>
      </c>
      <c r="E475" s="3126" t="s">
        <v>6443</v>
      </c>
      <c r="F475" s="3115" t="s">
        <v>7167</v>
      </c>
      <c r="G475" s="3115">
        <v>6.4</v>
      </c>
      <c r="H475" s="3115">
        <v>136.66999999999999</v>
      </c>
      <c r="I475" s="3115"/>
      <c r="J475" s="3114">
        <v>136.66999999999999</v>
      </c>
    </row>
    <row r="476" spans="1:10" s="3125" customFormat="1" ht="15">
      <c r="A476" s="3154">
        <v>472</v>
      </c>
      <c r="B476" s="3115" t="s">
        <v>7168</v>
      </c>
      <c r="C476" s="3115">
        <v>30</v>
      </c>
      <c r="D476" s="3156" t="s">
        <v>6391</v>
      </c>
      <c r="E476" s="3126" t="s">
        <v>6443</v>
      </c>
      <c r="F476" s="3115" t="s">
        <v>7169</v>
      </c>
      <c r="G476" s="3115">
        <v>6.4</v>
      </c>
      <c r="H476" s="3115">
        <v>136.66999999999999</v>
      </c>
      <c r="I476" s="3115"/>
      <c r="J476" s="3114">
        <v>136.66999999999999</v>
      </c>
    </row>
    <row r="477" spans="1:10" s="3125" customFormat="1" ht="15">
      <c r="A477" s="3154">
        <v>473</v>
      </c>
      <c r="B477" s="3115" t="s">
        <v>7170</v>
      </c>
      <c r="C477" s="3115">
        <v>30</v>
      </c>
      <c r="D477" s="3156" t="s">
        <v>6391</v>
      </c>
      <c r="E477" s="3126" t="s">
        <v>6443</v>
      </c>
      <c r="F477" s="3115" t="s">
        <v>7171</v>
      </c>
      <c r="G477" s="3115">
        <v>6.4</v>
      </c>
      <c r="H477" s="3115">
        <v>136.66999999999999</v>
      </c>
      <c r="I477" s="3115"/>
      <c r="J477" s="3114">
        <v>136.66999999999999</v>
      </c>
    </row>
    <row r="478" spans="1:10" s="3125" customFormat="1" ht="15">
      <c r="A478" s="3154">
        <v>474</v>
      </c>
      <c r="B478" s="3115" t="s">
        <v>7172</v>
      </c>
      <c r="C478" s="3115">
        <v>30</v>
      </c>
      <c r="D478" s="3156" t="s">
        <v>6391</v>
      </c>
      <c r="E478" s="3126" t="s">
        <v>6443</v>
      </c>
      <c r="F478" s="3115" t="s">
        <v>7173</v>
      </c>
      <c r="G478" s="3115">
        <v>6.4</v>
      </c>
      <c r="H478" s="3115">
        <v>136.66999999999999</v>
      </c>
      <c r="I478" s="3115"/>
      <c r="J478" s="3114">
        <v>136.66999999999999</v>
      </c>
    </row>
    <row r="479" spans="1:10" s="3125" customFormat="1" ht="15">
      <c r="A479" s="3154">
        <v>475</v>
      </c>
      <c r="B479" s="3115" t="s">
        <v>7174</v>
      </c>
      <c r="C479" s="3115">
        <v>30</v>
      </c>
      <c r="D479" s="3156" t="s">
        <v>6391</v>
      </c>
      <c r="E479" s="3126" t="s">
        <v>6443</v>
      </c>
      <c r="F479" s="3115" t="s">
        <v>7175</v>
      </c>
      <c r="G479" s="3115">
        <v>6.4</v>
      </c>
      <c r="H479" s="3115">
        <v>136.66999999999999</v>
      </c>
      <c r="I479" s="3115"/>
      <c r="J479" s="3114">
        <v>136.66999999999999</v>
      </c>
    </row>
    <row r="480" spans="1:10" s="3125" customFormat="1" ht="15">
      <c r="A480" s="3154">
        <v>476</v>
      </c>
      <c r="B480" s="3115" t="s">
        <v>7176</v>
      </c>
      <c r="C480" s="3115">
        <v>30</v>
      </c>
      <c r="D480" s="3156" t="s">
        <v>6391</v>
      </c>
      <c r="E480" s="3126" t="s">
        <v>6443</v>
      </c>
      <c r="F480" s="3115" t="s">
        <v>7177</v>
      </c>
      <c r="G480" s="3115">
        <v>6.4</v>
      </c>
      <c r="H480" s="3115">
        <v>136.66999999999999</v>
      </c>
      <c r="I480" s="3115"/>
      <c r="J480" s="3114">
        <v>136.66999999999999</v>
      </c>
    </row>
    <row r="481" spans="1:10" s="3181" customFormat="1" ht="15">
      <c r="A481" s="3177">
        <v>477</v>
      </c>
      <c r="B481" s="3178" t="s">
        <v>7178</v>
      </c>
      <c r="C481" s="3178">
        <v>30</v>
      </c>
      <c r="D481" s="3179" t="s">
        <v>6391</v>
      </c>
      <c r="E481" s="3180" t="s">
        <v>6443</v>
      </c>
      <c r="F481" s="3178" t="s">
        <v>7179</v>
      </c>
      <c r="G481" s="3178">
        <v>6.4</v>
      </c>
      <c r="H481" s="3178">
        <v>136.66999999999999</v>
      </c>
      <c r="I481" s="3178"/>
      <c r="J481" s="3182">
        <v>136.66999999999999</v>
      </c>
    </row>
    <row r="482" spans="1:10" s="3125" customFormat="1" ht="15">
      <c r="A482" s="3154">
        <v>478</v>
      </c>
      <c r="B482" s="3115" t="s">
        <v>7180</v>
      </c>
      <c r="C482" s="3115">
        <v>30</v>
      </c>
      <c r="D482" s="3156" t="s">
        <v>6391</v>
      </c>
      <c r="E482" s="3126" t="s">
        <v>6443</v>
      </c>
      <c r="F482" s="3115" t="s">
        <v>7181</v>
      </c>
      <c r="G482" s="3115">
        <v>6.4</v>
      </c>
      <c r="H482" s="3115">
        <v>136.66999999999999</v>
      </c>
      <c r="I482" s="3115"/>
      <c r="J482" s="3114">
        <v>136.66999999999999</v>
      </c>
    </row>
    <row r="483" spans="1:10" s="3125" customFormat="1" ht="15">
      <c r="A483" s="3154">
        <v>479</v>
      </c>
      <c r="B483" s="3115" t="s">
        <v>7182</v>
      </c>
      <c r="C483" s="3115">
        <v>30</v>
      </c>
      <c r="D483" s="3156" t="s">
        <v>6391</v>
      </c>
      <c r="E483" s="3126" t="s">
        <v>6443</v>
      </c>
      <c r="F483" s="3115" t="s">
        <v>7183</v>
      </c>
      <c r="G483" s="3115">
        <v>6.4</v>
      </c>
      <c r="H483" s="3115">
        <v>136.66999999999999</v>
      </c>
      <c r="I483" s="3115"/>
      <c r="J483" s="3114">
        <v>136.66999999999999</v>
      </c>
    </row>
    <row r="484" spans="1:10" s="3125" customFormat="1" ht="15">
      <c r="A484" s="3154">
        <v>480</v>
      </c>
      <c r="B484" s="3115" t="s">
        <v>7184</v>
      </c>
      <c r="C484" s="3115">
        <v>30</v>
      </c>
      <c r="D484" s="3156" t="s">
        <v>6391</v>
      </c>
      <c r="E484" s="3126" t="s">
        <v>6443</v>
      </c>
      <c r="F484" s="3115" t="s">
        <v>7185</v>
      </c>
      <c r="G484" s="3115">
        <v>6.4</v>
      </c>
      <c r="H484" s="3115">
        <v>136.66999999999999</v>
      </c>
      <c r="I484" s="3115"/>
      <c r="J484" s="3114">
        <v>136.66999999999999</v>
      </c>
    </row>
    <row r="485" spans="1:10" s="3125" customFormat="1" ht="15">
      <c r="A485" s="3154">
        <v>481</v>
      </c>
      <c r="B485" s="3115" t="s">
        <v>7186</v>
      </c>
      <c r="C485" s="3115">
        <v>30</v>
      </c>
      <c r="D485" s="3156" t="s">
        <v>6391</v>
      </c>
      <c r="E485" s="3126" t="s">
        <v>6443</v>
      </c>
      <c r="F485" s="3115" t="s">
        <v>7187</v>
      </c>
      <c r="G485" s="3115">
        <v>6.4</v>
      </c>
      <c r="H485" s="3115">
        <v>136.66999999999999</v>
      </c>
      <c r="I485" s="3115"/>
      <c r="J485" s="3114">
        <v>136.66999999999999</v>
      </c>
    </row>
    <row r="486" spans="1:10" s="3125" customFormat="1" ht="15">
      <c r="A486" s="3154">
        <v>482</v>
      </c>
      <c r="B486" s="3115" t="s">
        <v>7188</v>
      </c>
      <c r="C486" s="3115">
        <v>30</v>
      </c>
      <c r="D486" s="3156" t="s">
        <v>6391</v>
      </c>
      <c r="E486" s="3126" t="s">
        <v>6443</v>
      </c>
      <c r="F486" s="3115" t="s">
        <v>7189</v>
      </c>
      <c r="G486" s="3115">
        <v>6.4</v>
      </c>
      <c r="H486" s="3115">
        <v>136.66999999999999</v>
      </c>
      <c r="I486" s="3115"/>
      <c r="J486" s="3114">
        <v>136.66999999999999</v>
      </c>
    </row>
    <row r="487" spans="1:10" s="3125" customFormat="1" ht="15">
      <c r="A487" s="3154">
        <v>483</v>
      </c>
      <c r="B487" s="3115" t="s">
        <v>7190</v>
      </c>
      <c r="C487" s="3115">
        <v>30</v>
      </c>
      <c r="D487" s="3156" t="s">
        <v>6391</v>
      </c>
      <c r="E487" s="3126" t="s">
        <v>6443</v>
      </c>
      <c r="F487" s="3115" t="s">
        <v>7191</v>
      </c>
      <c r="G487" s="3115">
        <v>6.4</v>
      </c>
      <c r="H487" s="3115">
        <v>136.66999999999999</v>
      </c>
      <c r="I487" s="3115"/>
      <c r="J487" s="3114">
        <v>136.66999999999999</v>
      </c>
    </row>
    <row r="488" spans="1:10" s="3125" customFormat="1" ht="15">
      <c r="A488" s="3154">
        <v>484</v>
      </c>
      <c r="B488" s="3115" t="s">
        <v>7192</v>
      </c>
      <c r="C488" s="3115">
        <v>30</v>
      </c>
      <c r="D488" s="3156" t="s">
        <v>6381</v>
      </c>
      <c r="E488" s="3126" t="s">
        <v>6443</v>
      </c>
      <c r="F488" s="3115" t="s">
        <v>7193</v>
      </c>
      <c r="G488" s="3115">
        <v>3.2</v>
      </c>
      <c r="H488" s="3115">
        <v>68.760000000000005</v>
      </c>
      <c r="I488" s="3115"/>
      <c r="J488" s="3114">
        <v>68.760000000000005</v>
      </c>
    </row>
    <row r="489" spans="1:10" s="3125" customFormat="1" ht="15">
      <c r="A489" s="3154">
        <v>485</v>
      </c>
      <c r="B489" s="3115" t="s">
        <v>7194</v>
      </c>
      <c r="C489" s="3115">
        <v>30</v>
      </c>
      <c r="D489" s="3156" t="s">
        <v>6391</v>
      </c>
      <c r="E489" s="3126" t="s">
        <v>6443</v>
      </c>
      <c r="F489" s="3115" t="s">
        <v>7195</v>
      </c>
      <c r="G489" s="3115">
        <v>6.4</v>
      </c>
      <c r="H489" s="3115">
        <v>136.66999999999999</v>
      </c>
      <c r="I489" s="3115"/>
      <c r="J489" s="3114">
        <v>136.66999999999999</v>
      </c>
    </row>
    <row r="490" spans="1:10" s="3125" customFormat="1" ht="15">
      <c r="A490" s="3154">
        <v>486</v>
      </c>
      <c r="B490" s="3115" t="s">
        <v>7196</v>
      </c>
      <c r="C490" s="3115">
        <v>30</v>
      </c>
      <c r="D490" s="3156" t="s">
        <v>6391</v>
      </c>
      <c r="E490" s="3126" t="s">
        <v>6443</v>
      </c>
      <c r="F490" s="3115" t="s">
        <v>7197</v>
      </c>
      <c r="G490" s="3115">
        <v>6.4</v>
      </c>
      <c r="H490" s="3115">
        <v>136.66999999999999</v>
      </c>
      <c r="I490" s="3115"/>
      <c r="J490" s="3114">
        <v>136.66999999999999</v>
      </c>
    </row>
    <row r="491" spans="1:10" s="3125" customFormat="1" ht="15">
      <c r="A491" s="3154">
        <v>487</v>
      </c>
      <c r="B491" s="3115" t="s">
        <v>7198</v>
      </c>
      <c r="C491" s="3115">
        <v>30</v>
      </c>
      <c r="D491" s="3156" t="s">
        <v>6391</v>
      </c>
      <c r="E491" s="3126" t="s">
        <v>6443</v>
      </c>
      <c r="F491" s="3115" t="s">
        <v>7199</v>
      </c>
      <c r="G491" s="3115">
        <v>6.4</v>
      </c>
      <c r="H491" s="3115">
        <v>136.66999999999999</v>
      </c>
      <c r="I491" s="3115"/>
      <c r="J491" s="3114">
        <v>136.66999999999999</v>
      </c>
    </row>
    <row r="492" spans="1:10" s="3125" customFormat="1" ht="15">
      <c r="A492" s="3154">
        <v>488</v>
      </c>
      <c r="B492" s="3115" t="s">
        <v>7200</v>
      </c>
      <c r="C492" s="3115">
        <v>30</v>
      </c>
      <c r="D492" s="3156" t="s">
        <v>6391</v>
      </c>
      <c r="E492" s="3126" t="s">
        <v>6443</v>
      </c>
      <c r="F492" s="3115" t="s">
        <v>7201</v>
      </c>
      <c r="G492" s="3115">
        <v>6.4</v>
      </c>
      <c r="H492" s="3115">
        <v>136.66999999999999</v>
      </c>
      <c r="I492" s="3115"/>
      <c r="J492" s="3114">
        <v>136.66999999999999</v>
      </c>
    </row>
    <row r="493" spans="1:10" s="3125" customFormat="1" ht="15">
      <c r="A493" s="3154">
        <v>489</v>
      </c>
      <c r="B493" s="3115" t="s">
        <v>7202</v>
      </c>
      <c r="C493" s="3115">
        <v>30</v>
      </c>
      <c r="D493" s="3156" t="s">
        <v>6391</v>
      </c>
      <c r="E493" s="3126" t="s">
        <v>6443</v>
      </c>
      <c r="F493" s="3115" t="s">
        <v>7203</v>
      </c>
      <c r="G493" s="3115">
        <v>6.4</v>
      </c>
      <c r="H493" s="3115">
        <v>136.66999999999999</v>
      </c>
      <c r="I493" s="3115"/>
      <c r="J493" s="3114">
        <v>136.66999999999999</v>
      </c>
    </row>
    <row r="494" spans="1:10" s="3125" customFormat="1" ht="15">
      <c r="A494" s="3154">
        <v>490</v>
      </c>
      <c r="B494" s="3115" t="s">
        <v>7204</v>
      </c>
      <c r="C494" s="3115">
        <v>30</v>
      </c>
      <c r="D494" s="3156" t="s">
        <v>6391</v>
      </c>
      <c r="E494" s="3126" t="s">
        <v>6443</v>
      </c>
      <c r="F494" s="3115" t="s">
        <v>7205</v>
      </c>
      <c r="G494" s="3115">
        <v>6.4</v>
      </c>
      <c r="H494" s="3115">
        <v>136.66999999999999</v>
      </c>
      <c r="I494" s="3115"/>
      <c r="J494" s="3114">
        <v>136.66999999999999</v>
      </c>
    </row>
    <row r="495" spans="1:10" s="3125" customFormat="1" ht="15">
      <c r="A495" s="3154">
        <v>491</v>
      </c>
      <c r="B495" s="3115" t="s">
        <v>7206</v>
      </c>
      <c r="C495" s="3115">
        <v>30</v>
      </c>
      <c r="D495" s="3156" t="s">
        <v>6391</v>
      </c>
      <c r="E495" s="3126" t="s">
        <v>6443</v>
      </c>
      <c r="F495" s="3115" t="s">
        <v>7207</v>
      </c>
      <c r="G495" s="3115">
        <v>6.4</v>
      </c>
      <c r="H495" s="3115">
        <v>136.66999999999999</v>
      </c>
      <c r="I495" s="3115"/>
      <c r="J495" s="3114">
        <v>136.66999999999999</v>
      </c>
    </row>
    <row r="496" spans="1:10" s="3125" customFormat="1" ht="15">
      <c r="A496" s="3154">
        <v>492</v>
      </c>
      <c r="B496" s="3115" t="s">
        <v>7208</v>
      </c>
      <c r="C496" s="3115">
        <v>30</v>
      </c>
      <c r="D496" s="3156" t="s">
        <v>6391</v>
      </c>
      <c r="E496" s="3126" t="s">
        <v>6443</v>
      </c>
      <c r="F496" s="3115" t="s">
        <v>7630</v>
      </c>
      <c r="G496" s="3115">
        <v>6.4</v>
      </c>
      <c r="H496" s="3115">
        <v>136.66999999999999</v>
      </c>
      <c r="I496" s="3115"/>
      <c r="J496" s="3114">
        <v>136.66999999999999</v>
      </c>
    </row>
    <row r="497" spans="1:10" s="3125" customFormat="1" ht="15">
      <c r="A497" s="3154">
        <v>493</v>
      </c>
      <c r="B497" s="3115" t="s">
        <v>7209</v>
      </c>
      <c r="C497" s="3115">
        <v>30</v>
      </c>
      <c r="D497" s="3156" t="s">
        <v>6391</v>
      </c>
      <c r="E497" s="3126" t="s">
        <v>6443</v>
      </c>
      <c r="F497" s="3115" t="s">
        <v>7629</v>
      </c>
      <c r="G497" s="3115">
        <v>6.4</v>
      </c>
      <c r="H497" s="3115">
        <v>136.66999999999999</v>
      </c>
      <c r="I497" s="3115"/>
      <c r="J497" s="3114">
        <v>136.66999999999999</v>
      </c>
    </row>
    <row r="498" spans="1:10" s="3125" customFormat="1" ht="15">
      <c r="A498" s="3154">
        <v>494</v>
      </c>
      <c r="B498" s="3115" t="s">
        <v>7210</v>
      </c>
      <c r="C498" s="3115">
        <v>30</v>
      </c>
      <c r="D498" s="3156" t="s">
        <v>6391</v>
      </c>
      <c r="E498" s="3126" t="s">
        <v>6443</v>
      </c>
      <c r="F498" s="3115" t="s">
        <v>7211</v>
      </c>
      <c r="G498" s="3115">
        <v>6.4</v>
      </c>
      <c r="H498" s="3115">
        <v>136.66999999999999</v>
      </c>
      <c r="I498" s="3115"/>
      <c r="J498" s="3114">
        <v>136.66999999999999</v>
      </c>
    </row>
    <row r="499" spans="1:10" ht="15">
      <c r="A499" s="3154">
        <v>495</v>
      </c>
      <c r="B499" s="3115" t="s">
        <v>7212</v>
      </c>
      <c r="C499" s="3115">
        <v>30</v>
      </c>
      <c r="D499" s="3156" t="s">
        <v>6391</v>
      </c>
      <c r="E499" s="3126" t="s">
        <v>6443</v>
      </c>
      <c r="F499" s="3115" t="s">
        <v>7213</v>
      </c>
      <c r="G499" s="3115">
        <v>6.1</v>
      </c>
      <c r="H499" s="3115">
        <v>136.66999999999999</v>
      </c>
      <c r="I499" s="3115"/>
      <c r="J499" s="3114">
        <v>136.66999999999999</v>
      </c>
    </row>
    <row r="500" spans="1:10" ht="15">
      <c r="A500" s="3154">
        <v>496</v>
      </c>
      <c r="B500" s="3115" t="s">
        <v>7214</v>
      </c>
      <c r="C500" s="3115">
        <v>30</v>
      </c>
      <c r="D500" s="3156" t="s">
        <v>6391</v>
      </c>
      <c r="E500" s="3126" t="s">
        <v>6443</v>
      </c>
      <c r="F500" s="3115" t="s">
        <v>7215</v>
      </c>
      <c r="G500" s="3115">
        <v>6.4</v>
      </c>
      <c r="H500" s="3115">
        <v>136.66999999999999</v>
      </c>
      <c r="I500" s="3115"/>
      <c r="J500" s="3114">
        <v>136.66999999999999</v>
      </c>
    </row>
    <row r="501" spans="1:10" ht="15">
      <c r="A501" s="3154">
        <v>497</v>
      </c>
      <c r="B501" s="3115" t="s">
        <v>7216</v>
      </c>
      <c r="C501" s="3115">
        <v>30</v>
      </c>
      <c r="D501" s="3156" t="s">
        <v>6391</v>
      </c>
      <c r="E501" s="3126" t="s">
        <v>6443</v>
      </c>
      <c r="F501" s="3115" t="s">
        <v>7217</v>
      </c>
      <c r="G501" s="3115">
        <v>6.4</v>
      </c>
      <c r="H501" s="3115">
        <v>136.66999999999999</v>
      </c>
      <c r="I501" s="3115"/>
      <c r="J501" s="3114">
        <v>136.66999999999999</v>
      </c>
    </row>
    <row r="502" spans="1:10" ht="15">
      <c r="A502" s="3154">
        <v>498</v>
      </c>
      <c r="B502" s="3115" t="s">
        <v>7218</v>
      </c>
      <c r="C502" s="3115">
        <v>30</v>
      </c>
      <c r="D502" s="3156" t="s">
        <v>6391</v>
      </c>
      <c r="E502" s="3126" t="s">
        <v>6443</v>
      </c>
      <c r="F502" s="3115" t="s">
        <v>7219</v>
      </c>
      <c r="G502" s="3115">
        <v>6.4</v>
      </c>
      <c r="H502" s="3115">
        <v>136.66999999999999</v>
      </c>
      <c r="I502" s="3115"/>
      <c r="J502" s="3114">
        <v>136.66999999999999</v>
      </c>
    </row>
    <row r="503" spans="1:10" ht="15">
      <c r="A503" s="3154">
        <v>499</v>
      </c>
      <c r="B503" s="3115" t="s">
        <v>7220</v>
      </c>
      <c r="C503" s="3115">
        <v>30</v>
      </c>
      <c r="D503" s="3156" t="s">
        <v>6381</v>
      </c>
      <c r="E503" s="3126" t="s">
        <v>6443</v>
      </c>
      <c r="F503" s="3115" t="s">
        <v>7221</v>
      </c>
      <c r="G503" s="3115">
        <v>3.2</v>
      </c>
      <c r="H503" s="3115">
        <v>68.760000000000005</v>
      </c>
      <c r="I503" s="3115"/>
      <c r="J503" s="3114">
        <v>68.760000000000005</v>
      </c>
    </row>
    <row r="504" spans="1:10" ht="15">
      <c r="A504" s="3154">
        <v>500</v>
      </c>
      <c r="B504" s="3115" t="s">
        <v>7222</v>
      </c>
      <c r="C504" s="3115">
        <v>30</v>
      </c>
      <c r="D504" s="3156" t="s">
        <v>6381</v>
      </c>
      <c r="E504" s="3126" t="s">
        <v>6443</v>
      </c>
      <c r="F504" s="3115" t="s">
        <v>7223</v>
      </c>
      <c r="G504" s="3115">
        <v>4.0999999999999996</v>
      </c>
      <c r="H504" s="3115">
        <v>88.16</v>
      </c>
      <c r="I504" s="3115"/>
      <c r="J504" s="3114">
        <v>88.16</v>
      </c>
    </row>
    <row r="505" spans="1:10" s="3125" customFormat="1" ht="15">
      <c r="A505" s="3154">
        <v>501</v>
      </c>
      <c r="B505" s="3115" t="s">
        <v>7224</v>
      </c>
      <c r="C505" s="3115">
        <v>30</v>
      </c>
      <c r="D505" s="3156" t="s">
        <v>6381</v>
      </c>
      <c r="E505" s="3126" t="s">
        <v>6443</v>
      </c>
      <c r="F505" s="3115" t="s">
        <v>7225</v>
      </c>
      <c r="G505" s="3115">
        <v>4.0999999999999996</v>
      </c>
      <c r="H505" s="3115">
        <v>88.16</v>
      </c>
      <c r="I505" s="3115"/>
      <c r="J505" s="3114">
        <v>88.16</v>
      </c>
    </row>
    <row r="506" spans="1:10" s="3125" customFormat="1" ht="15">
      <c r="A506" s="3154">
        <v>502</v>
      </c>
      <c r="B506" s="3115" t="s">
        <v>7226</v>
      </c>
      <c r="C506" s="3115">
        <v>30</v>
      </c>
      <c r="D506" s="3156" t="s">
        <v>6381</v>
      </c>
      <c r="E506" s="3126" t="s">
        <v>6443</v>
      </c>
      <c r="F506" s="3115" t="s">
        <v>7227</v>
      </c>
      <c r="G506" s="3115">
        <v>4.0999999999999996</v>
      </c>
      <c r="H506" s="3115">
        <v>88.16</v>
      </c>
      <c r="I506" s="3115"/>
      <c r="J506" s="3114">
        <v>88.16</v>
      </c>
    </row>
    <row r="507" spans="1:10" s="3125" customFormat="1" ht="15">
      <c r="A507" s="3154">
        <v>503</v>
      </c>
      <c r="B507" s="3115" t="s">
        <v>7228</v>
      </c>
      <c r="C507" s="3115">
        <v>30</v>
      </c>
      <c r="D507" s="3156" t="s">
        <v>6381</v>
      </c>
      <c r="E507" s="3126" t="s">
        <v>6443</v>
      </c>
      <c r="F507" s="3115" t="s">
        <v>7229</v>
      </c>
      <c r="G507" s="3115">
        <v>4.0999999999999996</v>
      </c>
      <c r="H507" s="3115">
        <v>88.16</v>
      </c>
      <c r="I507" s="3115"/>
      <c r="J507" s="3114">
        <v>88.16</v>
      </c>
    </row>
    <row r="508" spans="1:10" s="3125" customFormat="1" ht="15">
      <c r="A508" s="3154">
        <v>504</v>
      </c>
      <c r="B508" s="3115" t="s">
        <v>7230</v>
      </c>
      <c r="C508" s="3115">
        <v>30</v>
      </c>
      <c r="D508" s="3156" t="s">
        <v>6381</v>
      </c>
      <c r="E508" s="3126" t="s">
        <v>6443</v>
      </c>
      <c r="F508" s="3115" t="s">
        <v>7231</v>
      </c>
      <c r="G508" s="3115">
        <v>4.0999999999999996</v>
      </c>
      <c r="H508" s="3115">
        <v>88.16</v>
      </c>
      <c r="I508" s="3115"/>
      <c r="J508" s="3114">
        <v>88.16</v>
      </c>
    </row>
    <row r="509" spans="1:10" s="3125" customFormat="1" ht="15">
      <c r="A509" s="3154">
        <v>505</v>
      </c>
      <c r="B509" s="3115" t="s">
        <v>7232</v>
      </c>
      <c r="C509" s="3115">
        <v>30</v>
      </c>
      <c r="D509" s="3156" t="s">
        <v>6381</v>
      </c>
      <c r="E509" s="3126" t="s">
        <v>6443</v>
      </c>
      <c r="F509" s="3115" t="s">
        <v>7233</v>
      </c>
      <c r="G509" s="3115">
        <v>4.0999999999999996</v>
      </c>
      <c r="H509" s="3115">
        <v>88.16</v>
      </c>
      <c r="I509" s="3115"/>
      <c r="J509" s="3114">
        <v>88.16</v>
      </c>
    </row>
    <row r="510" spans="1:10" s="3125" customFormat="1" ht="15">
      <c r="A510" s="3154">
        <v>506</v>
      </c>
      <c r="B510" s="3115" t="s">
        <v>7234</v>
      </c>
      <c r="C510" s="3115">
        <v>30</v>
      </c>
      <c r="D510" s="3156" t="s">
        <v>6381</v>
      </c>
      <c r="E510" s="3126" t="s">
        <v>6443</v>
      </c>
      <c r="F510" s="3115" t="s">
        <v>7235</v>
      </c>
      <c r="G510" s="3115">
        <v>4.0999999999999996</v>
      </c>
      <c r="H510" s="3115">
        <v>88.16</v>
      </c>
      <c r="I510" s="3115"/>
      <c r="J510" s="3114">
        <v>88.16</v>
      </c>
    </row>
    <row r="511" spans="1:10" s="3125" customFormat="1" ht="15">
      <c r="A511" s="3154">
        <v>507</v>
      </c>
      <c r="B511" s="3115" t="s">
        <v>7236</v>
      </c>
      <c r="C511" s="3115">
        <v>30</v>
      </c>
      <c r="D511" s="3156" t="s">
        <v>6381</v>
      </c>
      <c r="E511" s="3126" t="s">
        <v>6443</v>
      </c>
      <c r="F511" s="3115" t="s">
        <v>7237</v>
      </c>
      <c r="G511" s="3115">
        <v>4.0999999999999996</v>
      </c>
      <c r="H511" s="3115">
        <v>88.16</v>
      </c>
      <c r="I511" s="3115"/>
      <c r="J511" s="3114">
        <v>88.16</v>
      </c>
    </row>
    <row r="512" spans="1:10" s="3125" customFormat="1" ht="15">
      <c r="A512" s="3154">
        <v>508</v>
      </c>
      <c r="B512" s="3115" t="s">
        <v>7238</v>
      </c>
      <c r="C512" s="3115">
        <v>30</v>
      </c>
      <c r="D512" s="3156" t="s">
        <v>6381</v>
      </c>
      <c r="E512" s="3126" t="s">
        <v>6443</v>
      </c>
      <c r="F512" s="3115" t="s">
        <v>7239</v>
      </c>
      <c r="G512" s="3115">
        <v>4.0999999999999996</v>
      </c>
      <c r="H512" s="3115">
        <v>88.16</v>
      </c>
      <c r="I512" s="3115"/>
      <c r="J512" s="3114">
        <v>88.16</v>
      </c>
    </row>
    <row r="513" spans="1:10" s="3125" customFormat="1" ht="15">
      <c r="A513" s="3154">
        <v>509</v>
      </c>
      <c r="B513" s="3115" t="s">
        <v>7240</v>
      </c>
      <c r="C513" s="3115">
        <v>30</v>
      </c>
      <c r="D513" s="3156" t="s">
        <v>6381</v>
      </c>
      <c r="E513" s="3126" t="s">
        <v>6443</v>
      </c>
      <c r="F513" s="3115" t="s">
        <v>7241</v>
      </c>
      <c r="G513" s="3115">
        <v>4.0999999999999996</v>
      </c>
      <c r="H513" s="3115">
        <v>88.16</v>
      </c>
      <c r="I513" s="3115"/>
      <c r="J513" s="3114">
        <v>88.16</v>
      </c>
    </row>
    <row r="514" spans="1:10" s="3125" customFormat="1" ht="15">
      <c r="A514" s="3154">
        <v>510</v>
      </c>
      <c r="B514" s="3115" t="s">
        <v>7242</v>
      </c>
      <c r="C514" s="3115">
        <v>30</v>
      </c>
      <c r="D514" s="3156" t="s">
        <v>6381</v>
      </c>
      <c r="E514" s="3126" t="s">
        <v>6443</v>
      </c>
      <c r="F514" s="3115" t="s">
        <v>7243</v>
      </c>
      <c r="G514" s="3115">
        <v>4.0999999999999996</v>
      </c>
      <c r="H514" s="3115">
        <v>88.16</v>
      </c>
      <c r="I514" s="3115"/>
      <c r="J514" s="3114">
        <v>88.16</v>
      </c>
    </row>
    <row r="515" spans="1:10" s="3125" customFormat="1" ht="15">
      <c r="A515" s="3154">
        <v>511</v>
      </c>
      <c r="B515" s="3115" t="s">
        <v>7244</v>
      </c>
      <c r="C515" s="3115">
        <v>30</v>
      </c>
      <c r="D515" s="3156" t="s">
        <v>6381</v>
      </c>
      <c r="E515" s="3126" t="s">
        <v>6443</v>
      </c>
      <c r="F515" s="3115" t="s">
        <v>7245</v>
      </c>
      <c r="G515" s="3115">
        <v>4.0999999999999996</v>
      </c>
      <c r="H515" s="3115">
        <v>88.16</v>
      </c>
      <c r="I515" s="3115"/>
      <c r="J515" s="3114">
        <v>88.16</v>
      </c>
    </row>
    <row r="516" spans="1:10" s="3125" customFormat="1" ht="15">
      <c r="A516" s="3154">
        <v>512</v>
      </c>
      <c r="B516" s="3115" t="s">
        <v>7246</v>
      </c>
      <c r="C516" s="3115">
        <v>30</v>
      </c>
      <c r="D516" s="3156" t="s">
        <v>6381</v>
      </c>
      <c r="E516" s="3126" t="s">
        <v>6443</v>
      </c>
      <c r="F516" s="3115" t="s">
        <v>7247</v>
      </c>
      <c r="G516" s="3115">
        <v>4.0999999999999996</v>
      </c>
      <c r="H516" s="3115">
        <v>88.16</v>
      </c>
      <c r="I516" s="3115"/>
      <c r="J516" s="3114">
        <v>88.16</v>
      </c>
    </row>
    <row r="517" spans="1:10" s="3125" customFormat="1" ht="15">
      <c r="A517" s="3154">
        <v>513</v>
      </c>
      <c r="B517" s="3115" t="s">
        <v>7248</v>
      </c>
      <c r="C517" s="3115">
        <v>30</v>
      </c>
      <c r="D517" s="3156" t="s">
        <v>6381</v>
      </c>
      <c r="E517" s="3126" t="s">
        <v>6443</v>
      </c>
      <c r="F517" s="3115" t="s">
        <v>7249</v>
      </c>
      <c r="G517" s="3115">
        <v>4.0999999999999996</v>
      </c>
      <c r="H517" s="3115">
        <v>88.16</v>
      </c>
      <c r="I517" s="3115"/>
      <c r="J517" s="3114">
        <v>88.16</v>
      </c>
    </row>
    <row r="518" spans="1:10" s="3125" customFormat="1" ht="15">
      <c r="A518" s="3154">
        <v>514</v>
      </c>
      <c r="B518" s="3115" t="s">
        <v>7250</v>
      </c>
      <c r="C518" s="3115">
        <v>30</v>
      </c>
      <c r="D518" s="3156" t="s">
        <v>6381</v>
      </c>
      <c r="E518" s="3126" t="s">
        <v>6443</v>
      </c>
      <c r="F518" s="3115" t="s">
        <v>7251</v>
      </c>
      <c r="G518" s="3115">
        <v>4.0999999999999996</v>
      </c>
      <c r="H518" s="3115">
        <v>88.16</v>
      </c>
      <c r="I518" s="3115"/>
      <c r="J518" s="3114">
        <v>88.16</v>
      </c>
    </row>
    <row r="519" spans="1:10" s="3125" customFormat="1" ht="15">
      <c r="A519" s="3154">
        <v>515</v>
      </c>
      <c r="B519" s="3115" t="s">
        <v>7252</v>
      </c>
      <c r="C519" s="3115">
        <v>30</v>
      </c>
      <c r="D519" s="3156" t="s">
        <v>6381</v>
      </c>
      <c r="E519" s="3126" t="s">
        <v>6443</v>
      </c>
      <c r="F519" s="3115" t="s">
        <v>7253</v>
      </c>
      <c r="G519" s="3115">
        <v>4.0999999999999996</v>
      </c>
      <c r="H519" s="3115">
        <v>88.16</v>
      </c>
      <c r="I519" s="3115"/>
      <c r="J519" s="3114">
        <v>88.16</v>
      </c>
    </row>
    <row r="520" spans="1:10" s="3125" customFormat="1" ht="15">
      <c r="A520" s="3154">
        <v>516</v>
      </c>
      <c r="B520" s="3115" t="s">
        <v>7254</v>
      </c>
      <c r="C520" s="3115">
        <v>30</v>
      </c>
      <c r="D520" s="3156" t="s">
        <v>6381</v>
      </c>
      <c r="E520" s="3126" t="s">
        <v>6443</v>
      </c>
      <c r="F520" s="3115" t="s">
        <v>7255</v>
      </c>
      <c r="G520" s="3115">
        <v>4.0999999999999996</v>
      </c>
      <c r="H520" s="3115">
        <v>88.16</v>
      </c>
      <c r="I520" s="3115"/>
      <c r="J520" s="3114">
        <v>88.16</v>
      </c>
    </row>
    <row r="521" spans="1:10" s="3125" customFormat="1" ht="15">
      <c r="A521" s="3154">
        <v>517</v>
      </c>
      <c r="B521" s="3115" t="s">
        <v>7256</v>
      </c>
      <c r="C521" s="3115">
        <v>30</v>
      </c>
      <c r="D521" s="3156" t="s">
        <v>6381</v>
      </c>
      <c r="E521" s="3126" t="s">
        <v>6443</v>
      </c>
      <c r="F521" s="3115" t="s">
        <v>7257</v>
      </c>
      <c r="G521" s="3115">
        <v>4.0999999999999996</v>
      </c>
      <c r="H521" s="3115">
        <v>88.16</v>
      </c>
      <c r="I521" s="3115"/>
      <c r="J521" s="3114">
        <v>88.16</v>
      </c>
    </row>
    <row r="522" spans="1:10" s="3125" customFormat="1" ht="15">
      <c r="A522" s="3154">
        <v>518</v>
      </c>
      <c r="B522" s="3115" t="s">
        <v>7258</v>
      </c>
      <c r="C522" s="3115">
        <v>30</v>
      </c>
      <c r="D522" s="3156" t="s">
        <v>6381</v>
      </c>
      <c r="E522" s="3126" t="s">
        <v>6443</v>
      </c>
      <c r="F522" s="3126" t="s">
        <v>7259</v>
      </c>
      <c r="G522" s="3126">
        <v>4.0999999999999996</v>
      </c>
      <c r="H522" s="3115">
        <v>88.16</v>
      </c>
      <c r="I522" s="3115"/>
      <c r="J522" s="3114">
        <v>88.16</v>
      </c>
    </row>
    <row r="523" spans="1:10" s="3125" customFormat="1" ht="15">
      <c r="A523" s="3154">
        <v>519</v>
      </c>
      <c r="B523" s="3115" t="s">
        <v>7260</v>
      </c>
      <c r="C523" s="3115">
        <v>30</v>
      </c>
      <c r="D523" s="3156" t="s">
        <v>6381</v>
      </c>
      <c r="E523" s="3126" t="s">
        <v>6443</v>
      </c>
      <c r="F523" s="3115" t="s">
        <v>7261</v>
      </c>
      <c r="G523" s="3115">
        <v>4.0999999999999996</v>
      </c>
      <c r="H523" s="3115">
        <v>88.16</v>
      </c>
      <c r="I523" s="3115"/>
      <c r="J523" s="3114">
        <v>88.16</v>
      </c>
    </row>
    <row r="524" spans="1:10" s="3125" customFormat="1" ht="15">
      <c r="A524" s="3154">
        <v>520</v>
      </c>
      <c r="B524" s="3115" t="s">
        <v>7262</v>
      </c>
      <c r="C524" s="3115">
        <v>30</v>
      </c>
      <c r="D524" s="3156" t="s">
        <v>6381</v>
      </c>
      <c r="E524" s="3126" t="s">
        <v>6443</v>
      </c>
      <c r="F524" s="3115" t="s">
        <v>7263</v>
      </c>
      <c r="G524" s="3115">
        <v>4.0999999999999996</v>
      </c>
      <c r="H524" s="3115">
        <v>88.16</v>
      </c>
      <c r="I524" s="3115"/>
      <c r="J524" s="3114">
        <v>88.16</v>
      </c>
    </row>
    <row r="525" spans="1:10" s="3125" customFormat="1" ht="15">
      <c r="A525" s="3154">
        <v>521</v>
      </c>
      <c r="B525" s="3115" t="s">
        <v>7264</v>
      </c>
      <c r="C525" s="3115">
        <v>30</v>
      </c>
      <c r="D525" s="3156" t="s">
        <v>6381</v>
      </c>
      <c r="E525" s="3126" t="s">
        <v>6443</v>
      </c>
      <c r="F525" s="3115" t="s">
        <v>7265</v>
      </c>
      <c r="G525" s="3115">
        <v>4.0999999999999996</v>
      </c>
      <c r="H525" s="3115">
        <v>88.16</v>
      </c>
      <c r="I525" s="3115"/>
      <c r="J525" s="3114">
        <v>88.16</v>
      </c>
    </row>
    <row r="526" spans="1:10" s="3125" customFormat="1" ht="15">
      <c r="A526" s="3154">
        <v>522</v>
      </c>
      <c r="B526" s="3115" t="s">
        <v>7266</v>
      </c>
      <c r="C526" s="3115">
        <v>30</v>
      </c>
      <c r="D526" s="3156" t="s">
        <v>6381</v>
      </c>
      <c r="E526" s="3126" t="s">
        <v>6443</v>
      </c>
      <c r="F526" s="3115" t="s">
        <v>7267</v>
      </c>
      <c r="G526" s="3115">
        <v>4.0999999999999996</v>
      </c>
      <c r="H526" s="3115">
        <v>88.16</v>
      </c>
      <c r="I526" s="3115"/>
      <c r="J526" s="3114">
        <v>88.16</v>
      </c>
    </row>
    <row r="527" spans="1:10" s="3125" customFormat="1" ht="15">
      <c r="A527" s="3154">
        <v>523</v>
      </c>
      <c r="B527" s="3115" t="s">
        <v>7268</v>
      </c>
      <c r="C527" s="3115">
        <v>30</v>
      </c>
      <c r="D527" s="3156" t="s">
        <v>6381</v>
      </c>
      <c r="E527" s="3126" t="s">
        <v>6443</v>
      </c>
      <c r="F527" s="3115" t="s">
        <v>7269</v>
      </c>
      <c r="G527" s="3115">
        <v>4.0999999999999996</v>
      </c>
      <c r="H527" s="3115">
        <v>88.16</v>
      </c>
      <c r="I527" s="3115"/>
      <c r="J527" s="3114">
        <v>88.16</v>
      </c>
    </row>
    <row r="528" spans="1:10" s="3125" customFormat="1" ht="15">
      <c r="A528" s="3154">
        <v>524</v>
      </c>
      <c r="B528" s="3115" t="s">
        <v>7270</v>
      </c>
      <c r="C528" s="3115">
        <v>30</v>
      </c>
      <c r="D528" s="3156" t="s">
        <v>6381</v>
      </c>
      <c r="E528" s="3126" t="s">
        <v>6443</v>
      </c>
      <c r="F528" s="3115" t="s">
        <v>7271</v>
      </c>
      <c r="G528" s="3115">
        <v>4.0999999999999996</v>
      </c>
      <c r="H528" s="3115">
        <v>88.16</v>
      </c>
      <c r="I528" s="3115"/>
      <c r="J528" s="3114">
        <v>88.16</v>
      </c>
    </row>
    <row r="529" spans="1:10" s="3125" customFormat="1" ht="15">
      <c r="A529" s="3154">
        <v>525</v>
      </c>
      <c r="B529" s="3115" t="s">
        <v>7272</v>
      </c>
      <c r="C529" s="3115">
        <v>30</v>
      </c>
      <c r="D529" s="3156" t="s">
        <v>6381</v>
      </c>
      <c r="E529" s="3126" t="s">
        <v>6443</v>
      </c>
      <c r="F529" s="3115" t="s">
        <v>7273</v>
      </c>
      <c r="G529" s="3115">
        <v>4.0999999999999996</v>
      </c>
      <c r="H529" s="3115">
        <v>88.16</v>
      </c>
      <c r="I529" s="3115"/>
      <c r="J529" s="3114">
        <v>88.16</v>
      </c>
    </row>
    <row r="530" spans="1:10" s="3125" customFormat="1" ht="15">
      <c r="A530" s="3154">
        <v>526</v>
      </c>
      <c r="B530" s="3115" t="s">
        <v>7274</v>
      </c>
      <c r="C530" s="3115">
        <v>30</v>
      </c>
      <c r="D530" s="3156" t="s">
        <v>6381</v>
      </c>
      <c r="E530" s="3126" t="s">
        <v>6443</v>
      </c>
      <c r="F530" s="3115" t="s">
        <v>7275</v>
      </c>
      <c r="G530" s="3115">
        <v>4.0999999999999996</v>
      </c>
      <c r="H530" s="3115">
        <v>88.16</v>
      </c>
      <c r="I530" s="3115"/>
      <c r="J530" s="3114">
        <v>88.16</v>
      </c>
    </row>
    <row r="531" spans="1:10" s="3125" customFormat="1" ht="15">
      <c r="A531" s="3154">
        <v>527</v>
      </c>
      <c r="B531" s="3115" t="s">
        <v>7276</v>
      </c>
      <c r="C531" s="3115">
        <v>30</v>
      </c>
      <c r="D531" s="3156" t="s">
        <v>6381</v>
      </c>
      <c r="E531" s="3126" t="s">
        <v>6443</v>
      </c>
      <c r="F531" s="3115" t="s">
        <v>7277</v>
      </c>
      <c r="G531" s="3115">
        <v>4.0999999999999996</v>
      </c>
      <c r="H531" s="3115">
        <v>88.16</v>
      </c>
      <c r="I531" s="3115"/>
      <c r="J531" s="3114">
        <v>88.16</v>
      </c>
    </row>
    <row r="532" spans="1:10" s="3125" customFormat="1" ht="15">
      <c r="A532" s="3154">
        <v>528</v>
      </c>
      <c r="B532" s="3115" t="s">
        <v>7278</v>
      </c>
      <c r="C532" s="3115">
        <v>30</v>
      </c>
      <c r="D532" s="3156" t="s">
        <v>6381</v>
      </c>
      <c r="E532" s="3126" t="s">
        <v>6443</v>
      </c>
      <c r="F532" s="3115" t="s">
        <v>7279</v>
      </c>
      <c r="G532" s="3115">
        <v>4.0999999999999996</v>
      </c>
      <c r="H532" s="3115">
        <v>88.16</v>
      </c>
      <c r="I532" s="3115"/>
      <c r="J532" s="3114">
        <v>88.16</v>
      </c>
    </row>
    <row r="533" spans="1:10" s="3125" customFormat="1" ht="15">
      <c r="A533" s="3154">
        <v>529</v>
      </c>
      <c r="B533" s="3115" t="s">
        <v>7280</v>
      </c>
      <c r="C533" s="3115">
        <v>30</v>
      </c>
      <c r="D533" s="3156" t="s">
        <v>6381</v>
      </c>
      <c r="E533" s="3126" t="s">
        <v>7601</v>
      </c>
      <c r="F533" s="3115" t="s">
        <v>7281</v>
      </c>
      <c r="G533" s="3115">
        <v>7.5</v>
      </c>
      <c r="H533" s="3115">
        <v>160.75</v>
      </c>
      <c r="I533" s="3115"/>
      <c r="J533" s="3114">
        <v>160.75</v>
      </c>
    </row>
    <row r="534" spans="1:10" s="3125" customFormat="1" ht="15">
      <c r="A534" s="3154">
        <v>530</v>
      </c>
      <c r="B534" s="3115" t="s">
        <v>7282</v>
      </c>
      <c r="C534" s="3115">
        <v>30</v>
      </c>
      <c r="D534" s="3156" t="s">
        <v>6381</v>
      </c>
      <c r="E534" s="3126" t="s">
        <v>7601</v>
      </c>
      <c r="F534" s="3115" t="s">
        <v>7283</v>
      </c>
      <c r="G534" s="3115">
        <v>7.5</v>
      </c>
      <c r="H534" s="3115">
        <v>160.75</v>
      </c>
      <c r="I534" s="3115"/>
      <c r="J534" s="3114">
        <v>160.75</v>
      </c>
    </row>
    <row r="535" spans="1:10" s="3125" customFormat="1" ht="15">
      <c r="A535" s="3154">
        <v>531</v>
      </c>
      <c r="B535" s="3115" t="s">
        <v>7284</v>
      </c>
      <c r="C535" s="3115">
        <v>30</v>
      </c>
      <c r="D535" s="3156" t="s">
        <v>6381</v>
      </c>
      <c r="E535" s="3126" t="s">
        <v>7601</v>
      </c>
      <c r="F535" s="3115" t="s">
        <v>7285</v>
      </c>
      <c r="G535" s="3115">
        <v>7.5</v>
      </c>
      <c r="H535" s="3115">
        <v>160.75</v>
      </c>
      <c r="I535" s="3115"/>
      <c r="J535" s="3114">
        <v>160.75</v>
      </c>
    </row>
    <row r="536" spans="1:10" s="3125" customFormat="1" ht="15">
      <c r="A536" s="3154">
        <v>532</v>
      </c>
      <c r="B536" s="3115" t="s">
        <v>7286</v>
      </c>
      <c r="C536" s="3115">
        <v>30</v>
      </c>
      <c r="D536" s="3156" t="s">
        <v>6381</v>
      </c>
      <c r="E536" s="3126" t="s">
        <v>7601</v>
      </c>
      <c r="F536" s="3115" t="s">
        <v>7287</v>
      </c>
      <c r="G536" s="3115">
        <v>7.5</v>
      </c>
      <c r="H536" s="3115">
        <v>160.75</v>
      </c>
      <c r="I536" s="3115"/>
      <c r="J536" s="3114">
        <v>160.75</v>
      </c>
    </row>
    <row r="537" spans="1:10" s="3125" customFormat="1" ht="15">
      <c r="A537" s="3154">
        <v>533</v>
      </c>
      <c r="B537" s="3115" t="s">
        <v>7288</v>
      </c>
      <c r="C537" s="3115">
        <v>30</v>
      </c>
      <c r="D537" s="3156" t="s">
        <v>6381</v>
      </c>
      <c r="E537" s="3126" t="s">
        <v>7601</v>
      </c>
      <c r="F537" s="3115" t="s">
        <v>7289</v>
      </c>
      <c r="G537" s="3115">
        <v>7.5</v>
      </c>
      <c r="H537" s="3115">
        <v>160.75</v>
      </c>
      <c r="I537" s="3115"/>
      <c r="J537" s="3114">
        <v>160.75</v>
      </c>
    </row>
    <row r="538" spans="1:10" s="3125" customFormat="1" ht="15">
      <c r="A538" s="3154">
        <v>534</v>
      </c>
      <c r="B538" s="3115" t="s">
        <v>7290</v>
      </c>
      <c r="C538" s="3115">
        <v>30</v>
      </c>
      <c r="D538" s="3156" t="s">
        <v>6381</v>
      </c>
      <c r="E538" s="3126" t="s">
        <v>7601</v>
      </c>
      <c r="F538" s="3115" t="s">
        <v>7291</v>
      </c>
      <c r="G538" s="3115">
        <v>7.5</v>
      </c>
      <c r="H538" s="3115">
        <v>160.75</v>
      </c>
      <c r="I538" s="3115"/>
      <c r="J538" s="3114">
        <v>160.75</v>
      </c>
    </row>
    <row r="539" spans="1:10" s="3125" customFormat="1" ht="15">
      <c r="A539" s="3154">
        <v>535</v>
      </c>
      <c r="B539" s="3115" t="s">
        <v>7292</v>
      </c>
      <c r="C539" s="3115">
        <v>30</v>
      </c>
      <c r="D539" s="3156" t="s">
        <v>6381</v>
      </c>
      <c r="E539" s="3126" t="s">
        <v>7601</v>
      </c>
      <c r="F539" s="3115" t="s">
        <v>7293</v>
      </c>
      <c r="G539" s="3115">
        <v>7.5</v>
      </c>
      <c r="H539" s="3115">
        <v>160.75</v>
      </c>
      <c r="I539" s="3115"/>
      <c r="J539" s="3114">
        <v>160.75</v>
      </c>
    </row>
    <row r="540" spans="1:10" s="3125" customFormat="1" ht="15">
      <c r="A540" s="3154">
        <v>536</v>
      </c>
      <c r="B540" s="3115" t="s">
        <v>7294</v>
      </c>
      <c r="C540" s="3115">
        <v>30</v>
      </c>
      <c r="D540" s="3156" t="s">
        <v>6381</v>
      </c>
      <c r="E540" s="3126" t="s">
        <v>7601</v>
      </c>
      <c r="F540" s="3115" t="s">
        <v>7295</v>
      </c>
      <c r="G540" s="3115">
        <v>7.5</v>
      </c>
      <c r="H540" s="3115">
        <v>160.75</v>
      </c>
      <c r="I540" s="3115"/>
      <c r="J540" s="3114">
        <v>160.75</v>
      </c>
    </row>
    <row r="541" spans="1:10" s="3125" customFormat="1" ht="15">
      <c r="A541" s="3154">
        <v>537</v>
      </c>
      <c r="B541" s="3115" t="s">
        <v>7296</v>
      </c>
      <c r="C541" s="3115">
        <v>30</v>
      </c>
      <c r="D541" s="3156" t="s">
        <v>6381</v>
      </c>
      <c r="E541" s="3126" t="s">
        <v>7601</v>
      </c>
      <c r="F541" s="3115" t="s">
        <v>7297</v>
      </c>
      <c r="G541" s="3115">
        <v>7.5</v>
      </c>
      <c r="H541" s="3115">
        <v>160.75</v>
      </c>
      <c r="I541" s="3115"/>
      <c r="J541" s="3114">
        <v>160.75</v>
      </c>
    </row>
    <row r="542" spans="1:10" s="3125" customFormat="1" ht="15">
      <c r="A542" s="3154">
        <v>538</v>
      </c>
      <c r="B542" s="3115" t="s">
        <v>7298</v>
      </c>
      <c r="C542" s="3115">
        <v>30</v>
      </c>
      <c r="D542" s="3156" t="s">
        <v>6381</v>
      </c>
      <c r="E542" s="3126" t="s">
        <v>7601</v>
      </c>
      <c r="F542" s="3115" t="s">
        <v>7299</v>
      </c>
      <c r="G542" s="3115">
        <v>7.5</v>
      </c>
      <c r="H542" s="3115">
        <v>160.75</v>
      </c>
      <c r="I542" s="3115"/>
      <c r="J542" s="3114">
        <v>160.75</v>
      </c>
    </row>
    <row r="543" spans="1:10" s="3125" customFormat="1" ht="15">
      <c r="A543" s="3154">
        <v>539</v>
      </c>
      <c r="B543" s="3115" t="s">
        <v>7300</v>
      </c>
      <c r="C543" s="3115">
        <v>30</v>
      </c>
      <c r="D543" s="3156" t="s">
        <v>6381</v>
      </c>
      <c r="E543" s="3126" t="s">
        <v>7601</v>
      </c>
      <c r="F543" s="3115" t="s">
        <v>7301</v>
      </c>
      <c r="G543" s="3115">
        <v>7.5</v>
      </c>
      <c r="H543" s="3115">
        <v>160.75</v>
      </c>
      <c r="I543" s="3115"/>
      <c r="J543" s="3114">
        <v>160.75</v>
      </c>
    </row>
    <row r="544" spans="1:10" s="3125" customFormat="1" ht="15">
      <c r="A544" s="3154">
        <v>540</v>
      </c>
      <c r="B544" s="3115" t="s">
        <v>7302</v>
      </c>
      <c r="C544" s="3115">
        <v>30</v>
      </c>
      <c r="D544" s="3156" t="s">
        <v>6381</v>
      </c>
      <c r="E544" s="3126" t="s">
        <v>7601</v>
      </c>
      <c r="F544" s="3115" t="s">
        <v>7303</v>
      </c>
      <c r="G544" s="3115">
        <v>7.5</v>
      </c>
      <c r="H544" s="3115">
        <v>160.75</v>
      </c>
      <c r="I544" s="3115"/>
      <c r="J544" s="3114">
        <v>160.75</v>
      </c>
    </row>
    <row r="545" spans="1:10" s="3125" customFormat="1" ht="15">
      <c r="A545" s="3154">
        <v>541</v>
      </c>
      <c r="B545" s="3115" t="s">
        <v>7304</v>
      </c>
      <c r="C545" s="3115">
        <v>30</v>
      </c>
      <c r="D545" s="3156" t="s">
        <v>6381</v>
      </c>
      <c r="E545" s="3126" t="s">
        <v>7601</v>
      </c>
      <c r="F545" s="3115" t="s">
        <v>7305</v>
      </c>
      <c r="G545" s="3115">
        <v>7.5</v>
      </c>
      <c r="H545" s="3115">
        <v>160.75</v>
      </c>
      <c r="I545" s="3115"/>
      <c r="J545" s="3114">
        <v>160.75</v>
      </c>
    </row>
    <row r="546" spans="1:10" s="3125" customFormat="1" ht="15">
      <c r="A546" s="3154">
        <v>542</v>
      </c>
      <c r="B546" s="3115" t="s">
        <v>7306</v>
      </c>
      <c r="C546" s="3115">
        <v>30</v>
      </c>
      <c r="D546" s="3156" t="s">
        <v>6381</v>
      </c>
      <c r="E546" s="3126" t="s">
        <v>7601</v>
      </c>
      <c r="F546" s="3115" t="s">
        <v>7307</v>
      </c>
      <c r="G546" s="3115">
        <v>7.5</v>
      </c>
      <c r="H546" s="3115">
        <v>160.75</v>
      </c>
      <c r="I546" s="3115"/>
      <c r="J546" s="3114">
        <v>160.75</v>
      </c>
    </row>
    <row r="547" spans="1:10" s="3125" customFormat="1" ht="15">
      <c r="A547" s="3154">
        <v>543</v>
      </c>
      <c r="B547" s="3115" t="s">
        <v>7308</v>
      </c>
      <c r="C547" s="3115">
        <v>30</v>
      </c>
      <c r="D547" s="3156" t="s">
        <v>6381</v>
      </c>
      <c r="E547" s="3126" t="s">
        <v>7601</v>
      </c>
      <c r="F547" s="3115" t="s">
        <v>7309</v>
      </c>
      <c r="G547" s="3115">
        <v>7.5</v>
      </c>
      <c r="H547" s="3115">
        <v>160.75</v>
      </c>
      <c r="I547" s="3115"/>
      <c r="J547" s="3114">
        <v>160.75</v>
      </c>
    </row>
    <row r="548" spans="1:10" s="3125" customFormat="1" ht="15">
      <c r="A548" s="3154">
        <v>544</v>
      </c>
      <c r="B548" s="3115" t="s">
        <v>7310</v>
      </c>
      <c r="C548" s="3115">
        <v>30</v>
      </c>
      <c r="D548" s="3156" t="s">
        <v>6381</v>
      </c>
      <c r="E548" s="3126" t="s">
        <v>7601</v>
      </c>
      <c r="F548" s="3115" t="s">
        <v>7311</v>
      </c>
      <c r="G548" s="3115">
        <v>7.5</v>
      </c>
      <c r="H548" s="3115">
        <v>160.75</v>
      </c>
      <c r="I548" s="3115"/>
      <c r="J548" s="3114">
        <v>160.75</v>
      </c>
    </row>
    <row r="549" spans="1:10" s="3125" customFormat="1" ht="15">
      <c r="A549" s="3154">
        <v>545</v>
      </c>
      <c r="B549" s="3115" t="s">
        <v>7312</v>
      </c>
      <c r="C549" s="3115">
        <v>30</v>
      </c>
      <c r="D549" s="3156" t="s">
        <v>6381</v>
      </c>
      <c r="E549" s="3126" t="s">
        <v>7601</v>
      </c>
      <c r="F549" s="3115" t="s">
        <v>7313</v>
      </c>
      <c r="G549" s="3115">
        <v>7.5</v>
      </c>
      <c r="H549" s="3115">
        <v>160.75</v>
      </c>
      <c r="I549" s="3115"/>
      <c r="J549" s="3114">
        <v>160.75</v>
      </c>
    </row>
    <row r="550" spans="1:10" s="3125" customFormat="1" ht="15">
      <c r="A550" s="3154">
        <v>546</v>
      </c>
      <c r="B550" s="3115" t="s">
        <v>7314</v>
      </c>
      <c r="C550" s="3115">
        <v>30</v>
      </c>
      <c r="D550" s="3156" t="s">
        <v>6381</v>
      </c>
      <c r="E550" s="3126" t="s">
        <v>7601</v>
      </c>
      <c r="F550" s="3115" t="s">
        <v>7315</v>
      </c>
      <c r="G550" s="3115">
        <v>7.5</v>
      </c>
      <c r="H550" s="3115">
        <v>160.75</v>
      </c>
      <c r="I550" s="3115"/>
      <c r="J550" s="3114">
        <v>160.75</v>
      </c>
    </row>
    <row r="551" spans="1:10" s="3125" customFormat="1" ht="15">
      <c r="A551" s="3154">
        <v>547</v>
      </c>
      <c r="B551" s="3115" t="s">
        <v>7316</v>
      </c>
      <c r="C551" s="3115">
        <v>30</v>
      </c>
      <c r="D551" s="3156" t="s">
        <v>6381</v>
      </c>
      <c r="E551" s="3126" t="s">
        <v>7601</v>
      </c>
      <c r="F551" s="3115" t="s">
        <v>7317</v>
      </c>
      <c r="G551" s="3115">
        <v>7.5</v>
      </c>
      <c r="H551" s="3115">
        <v>160.75</v>
      </c>
      <c r="I551" s="3115"/>
      <c r="J551" s="3114">
        <v>160.75</v>
      </c>
    </row>
    <row r="552" spans="1:10" s="3125" customFormat="1" ht="15">
      <c r="A552" s="3154">
        <v>548</v>
      </c>
      <c r="B552" s="3115" t="s">
        <v>7318</v>
      </c>
      <c r="C552" s="3115">
        <v>30</v>
      </c>
      <c r="D552" s="3156" t="s">
        <v>6381</v>
      </c>
      <c r="E552" s="3126" t="s">
        <v>7601</v>
      </c>
      <c r="F552" s="3115" t="s">
        <v>7319</v>
      </c>
      <c r="G552" s="3115">
        <v>7.5</v>
      </c>
      <c r="H552" s="3115">
        <v>160.75</v>
      </c>
      <c r="I552" s="3115"/>
      <c r="J552" s="3114">
        <v>160.75</v>
      </c>
    </row>
    <row r="553" spans="1:10" s="3125" customFormat="1" ht="15">
      <c r="A553" s="3154">
        <v>549</v>
      </c>
      <c r="B553" s="3115" t="s">
        <v>7320</v>
      </c>
      <c r="C553" s="3115">
        <v>30</v>
      </c>
      <c r="D553" s="3156" t="s">
        <v>6381</v>
      </c>
      <c r="E553" s="3126" t="s">
        <v>7601</v>
      </c>
      <c r="F553" s="3115" t="s">
        <v>7321</v>
      </c>
      <c r="G553" s="3115">
        <v>7.5</v>
      </c>
      <c r="H553" s="3115">
        <v>160.75</v>
      </c>
      <c r="I553" s="3115"/>
      <c r="J553" s="3114">
        <v>160.75</v>
      </c>
    </row>
    <row r="554" spans="1:10" s="3125" customFormat="1" ht="15">
      <c r="A554" s="3154">
        <v>550</v>
      </c>
      <c r="B554" s="3115" t="s">
        <v>7322</v>
      </c>
      <c r="C554" s="3115">
        <v>30</v>
      </c>
      <c r="D554" s="3156" t="s">
        <v>6381</v>
      </c>
      <c r="E554" s="3126" t="s">
        <v>7601</v>
      </c>
      <c r="F554" s="3115" t="s">
        <v>7323</v>
      </c>
      <c r="G554" s="3115">
        <v>7.5</v>
      </c>
      <c r="H554" s="3115">
        <v>160.75</v>
      </c>
      <c r="I554" s="3115"/>
      <c r="J554" s="3114">
        <v>160.75</v>
      </c>
    </row>
    <row r="555" spans="1:10" s="3125" customFormat="1" ht="15">
      <c r="A555" s="3154">
        <v>551</v>
      </c>
      <c r="B555" s="3115" t="s">
        <v>7324</v>
      </c>
      <c r="C555" s="3115">
        <v>30</v>
      </c>
      <c r="D555" s="3156" t="s">
        <v>6381</v>
      </c>
      <c r="E555" s="3126" t="s">
        <v>7601</v>
      </c>
      <c r="F555" s="3115" t="s">
        <v>7325</v>
      </c>
      <c r="G555" s="3115">
        <v>7.5</v>
      </c>
      <c r="H555" s="3115">
        <v>160.75</v>
      </c>
      <c r="I555" s="3115"/>
      <c r="J555" s="3114">
        <v>160.75</v>
      </c>
    </row>
    <row r="556" spans="1:10" s="3125" customFormat="1" ht="15">
      <c r="A556" s="3154">
        <v>552</v>
      </c>
      <c r="B556" s="3115" t="s">
        <v>7326</v>
      </c>
      <c r="C556" s="3115">
        <v>30</v>
      </c>
      <c r="D556" s="3156" t="s">
        <v>6381</v>
      </c>
      <c r="E556" s="3126" t="s">
        <v>7601</v>
      </c>
      <c r="F556" s="3115" t="s">
        <v>7327</v>
      </c>
      <c r="G556" s="3115">
        <v>7.5</v>
      </c>
      <c r="H556" s="3115">
        <v>160.75</v>
      </c>
      <c r="I556" s="3115"/>
      <c r="J556" s="3114">
        <v>160.75</v>
      </c>
    </row>
    <row r="557" spans="1:10" s="3125" customFormat="1" ht="15">
      <c r="A557" s="3154">
        <v>553</v>
      </c>
      <c r="B557" s="3115" t="s">
        <v>7328</v>
      </c>
      <c r="C557" s="3115">
        <v>30</v>
      </c>
      <c r="D557" s="3156" t="s">
        <v>6381</v>
      </c>
      <c r="E557" s="3126" t="s">
        <v>7601</v>
      </c>
      <c r="F557" s="3115" t="s">
        <v>7329</v>
      </c>
      <c r="G557" s="3115">
        <v>7.5</v>
      </c>
      <c r="H557" s="3115">
        <v>160.75</v>
      </c>
      <c r="I557" s="3115"/>
      <c r="J557" s="3114">
        <v>160.75</v>
      </c>
    </row>
    <row r="558" spans="1:10" s="3125" customFormat="1" ht="15">
      <c r="A558" s="3172">
        <v>554</v>
      </c>
      <c r="B558" s="3115" t="s">
        <v>7330</v>
      </c>
      <c r="C558" s="3115">
        <v>30</v>
      </c>
      <c r="D558" s="3156" t="s">
        <v>6381</v>
      </c>
      <c r="E558" s="3126" t="s">
        <v>7601</v>
      </c>
      <c r="F558" s="3115" t="s">
        <v>7331</v>
      </c>
      <c r="G558" s="3115">
        <v>7.5</v>
      </c>
      <c r="H558" s="3115">
        <v>160.75</v>
      </c>
      <c r="I558" s="3115"/>
      <c r="J558" s="3114">
        <v>160.75</v>
      </c>
    </row>
    <row r="559" spans="1:10" s="3125" customFormat="1" ht="15">
      <c r="A559" s="3154">
        <v>555</v>
      </c>
      <c r="B559" s="3115" t="s">
        <v>7332</v>
      </c>
      <c r="C559" s="3115">
        <v>30</v>
      </c>
      <c r="D559" s="3156" t="s">
        <v>6381</v>
      </c>
      <c r="E559" s="3126" t="s">
        <v>7601</v>
      </c>
      <c r="F559" s="3115" t="s">
        <v>7333</v>
      </c>
      <c r="G559" s="3115">
        <v>7.5</v>
      </c>
      <c r="H559" s="3115">
        <v>160.75</v>
      </c>
      <c r="I559" s="3115"/>
      <c r="J559" s="3114">
        <v>160.75</v>
      </c>
    </row>
    <row r="560" spans="1:10" s="3125" customFormat="1" ht="15">
      <c r="A560" s="3154">
        <v>556</v>
      </c>
      <c r="B560" s="3115" t="s">
        <v>7334</v>
      </c>
      <c r="C560" s="3115">
        <v>30</v>
      </c>
      <c r="D560" s="3156" t="s">
        <v>6381</v>
      </c>
      <c r="E560" s="3126" t="s">
        <v>7601</v>
      </c>
      <c r="F560" s="3115" t="s">
        <v>7335</v>
      </c>
      <c r="G560" s="3115">
        <v>7.5</v>
      </c>
      <c r="H560" s="3115">
        <v>160.75</v>
      </c>
      <c r="I560" s="3115"/>
      <c r="J560" s="3114">
        <v>160.75</v>
      </c>
    </row>
    <row r="561" spans="1:10" s="3125" customFormat="1" ht="15">
      <c r="A561" s="3154">
        <v>557</v>
      </c>
      <c r="B561" s="3115" t="s">
        <v>7336</v>
      </c>
      <c r="C561" s="3115">
        <v>30</v>
      </c>
      <c r="D561" s="3156" t="s">
        <v>6381</v>
      </c>
      <c r="E561" s="3126" t="s">
        <v>7601</v>
      </c>
      <c r="F561" s="3115" t="s">
        <v>7337</v>
      </c>
      <c r="G561" s="3115">
        <v>6.5</v>
      </c>
      <c r="H561" s="3115">
        <v>138.51</v>
      </c>
      <c r="I561" s="3115"/>
      <c r="J561" s="3114">
        <v>138.51</v>
      </c>
    </row>
    <row r="562" spans="1:10" s="3125" customFormat="1" ht="15">
      <c r="A562" s="3154">
        <v>558</v>
      </c>
      <c r="B562" s="3116" t="s">
        <v>7338</v>
      </c>
      <c r="C562" s="3115">
        <v>30</v>
      </c>
      <c r="D562" s="3156" t="s">
        <v>6381</v>
      </c>
      <c r="E562" s="3157" t="s">
        <v>7600</v>
      </c>
      <c r="F562" s="3115" t="s">
        <v>7622</v>
      </c>
      <c r="G562" s="3115">
        <v>7.5</v>
      </c>
      <c r="H562" s="3115">
        <v>160.75</v>
      </c>
      <c r="I562" s="3115">
        <v>7.5</v>
      </c>
      <c r="J562" s="3115">
        <v>160.75</v>
      </c>
    </row>
    <row r="563" spans="1:10" s="3125" customFormat="1" ht="15">
      <c r="A563" s="3154">
        <v>559</v>
      </c>
      <c r="B563" s="3116" t="s">
        <v>7339</v>
      </c>
      <c r="C563" s="3115">
        <v>30</v>
      </c>
      <c r="D563" s="3156" t="s">
        <v>6381</v>
      </c>
      <c r="E563" s="3157" t="s">
        <v>6443</v>
      </c>
      <c r="F563" s="3115" t="s">
        <v>7628</v>
      </c>
      <c r="G563" s="3115">
        <v>4.0999999999999996</v>
      </c>
      <c r="H563" s="3115">
        <v>88.16</v>
      </c>
      <c r="I563" s="3115">
        <v>4.0999999999999996</v>
      </c>
      <c r="J563" s="3115">
        <v>88.16</v>
      </c>
    </row>
    <row r="564" spans="1:10" s="3125" customFormat="1" ht="15">
      <c r="A564" s="3154">
        <v>560</v>
      </c>
      <c r="B564" s="3116" t="s">
        <v>7340</v>
      </c>
      <c r="C564" s="3115">
        <v>30</v>
      </c>
      <c r="D564" s="3156" t="s">
        <v>6391</v>
      </c>
      <c r="E564" s="3157" t="s">
        <v>6443</v>
      </c>
      <c r="F564" s="3115" t="s">
        <v>7624</v>
      </c>
      <c r="G564" s="3115">
        <v>6.4</v>
      </c>
      <c r="H564" s="3115">
        <v>136.66999999999999</v>
      </c>
      <c r="I564" s="3115">
        <v>6.4</v>
      </c>
      <c r="J564" s="3115">
        <v>139.66999999999999</v>
      </c>
    </row>
    <row r="565" spans="1:10" s="3125" customFormat="1" ht="15">
      <c r="A565" s="3154">
        <v>561</v>
      </c>
      <c r="B565" s="3116" t="s">
        <v>7341</v>
      </c>
      <c r="C565" s="3115">
        <v>30</v>
      </c>
      <c r="D565" s="3156" t="s">
        <v>6391</v>
      </c>
      <c r="E565" s="3157" t="s">
        <v>6443</v>
      </c>
      <c r="F565" s="3115" t="s">
        <v>7627</v>
      </c>
      <c r="G565" s="3115">
        <v>6.4</v>
      </c>
      <c r="H565" s="3115">
        <v>136.66999999999999</v>
      </c>
      <c r="I565" s="3115">
        <v>6.4</v>
      </c>
      <c r="J565" s="3115">
        <v>136.66999999999999</v>
      </c>
    </row>
    <row r="566" spans="1:10" s="3125" customFormat="1" ht="15">
      <c r="A566" s="3154">
        <v>562</v>
      </c>
      <c r="B566" s="3116" t="s">
        <v>7342</v>
      </c>
      <c r="C566" s="3115">
        <v>30</v>
      </c>
      <c r="D566" s="3156" t="s">
        <v>6391</v>
      </c>
      <c r="E566" s="3157" t="s">
        <v>6443</v>
      </c>
      <c r="F566" s="3115" t="s">
        <v>7625</v>
      </c>
      <c r="G566" s="3115">
        <v>6.4</v>
      </c>
      <c r="H566" s="3115">
        <v>136.66999999999999</v>
      </c>
      <c r="I566" s="3115">
        <v>6.4</v>
      </c>
      <c r="J566" s="3115">
        <v>136.66999999999999</v>
      </c>
    </row>
    <row r="567" spans="1:10" s="3167" customFormat="1" ht="15">
      <c r="A567" s="3164">
        <v>563</v>
      </c>
      <c r="B567" s="3165" t="s">
        <v>7343</v>
      </c>
      <c r="C567" s="3165">
        <v>30</v>
      </c>
      <c r="D567" s="3166" t="s">
        <v>6381</v>
      </c>
      <c r="E567" s="3166" t="s">
        <v>6443</v>
      </c>
      <c r="F567" s="3115" t="s">
        <v>7798</v>
      </c>
      <c r="G567" s="3165">
        <v>5.8</v>
      </c>
      <c r="H567" s="3165">
        <v>110.76</v>
      </c>
      <c r="I567" s="3165">
        <v>5.8</v>
      </c>
      <c r="J567" s="3165">
        <v>110.76</v>
      </c>
    </row>
    <row r="568" spans="1:10" s="3162" customFormat="1" ht="15">
      <c r="A568" s="3158">
        <v>564</v>
      </c>
      <c r="B568" s="3159" t="s">
        <v>7344</v>
      </c>
      <c r="C568" s="3159">
        <v>30</v>
      </c>
      <c r="D568" s="3160" t="s">
        <v>6381</v>
      </c>
      <c r="E568" s="3160" t="s">
        <v>6443</v>
      </c>
      <c r="F568" s="3159" t="s">
        <v>7799</v>
      </c>
      <c r="G568" s="3159">
        <v>5.8</v>
      </c>
      <c r="H568" s="3159">
        <v>110.76</v>
      </c>
      <c r="I568" s="3159">
        <v>5.8</v>
      </c>
      <c r="J568" s="3159">
        <v>110.76</v>
      </c>
    </row>
    <row r="569" spans="1:10" s="3125" customFormat="1" ht="15">
      <c r="A569" s="3154">
        <v>565</v>
      </c>
      <c r="B569" s="3115" t="s">
        <v>7345</v>
      </c>
      <c r="C569" s="3115">
        <v>30</v>
      </c>
      <c r="D569" s="3156" t="s">
        <v>6381</v>
      </c>
      <c r="E569" s="3160" t="s">
        <v>6443</v>
      </c>
      <c r="F569" s="3115" t="s">
        <v>7800</v>
      </c>
      <c r="G569" s="3115">
        <v>5.9</v>
      </c>
      <c r="H569" s="3114">
        <v>110.89</v>
      </c>
      <c r="I569" s="3115">
        <v>5.9</v>
      </c>
      <c r="J569" s="3114">
        <v>110.89</v>
      </c>
    </row>
    <row r="570" spans="1:10" s="3125" customFormat="1" ht="15">
      <c r="A570" s="3154">
        <v>566</v>
      </c>
      <c r="B570" s="3115" t="s">
        <v>7346</v>
      </c>
      <c r="C570" s="3115">
        <v>30</v>
      </c>
      <c r="D570" s="3156" t="s">
        <v>6381</v>
      </c>
      <c r="E570" s="3160" t="s">
        <v>6443</v>
      </c>
      <c r="F570" s="3159" t="s">
        <v>7801</v>
      </c>
      <c r="G570" s="3115">
        <v>5.9</v>
      </c>
      <c r="H570" s="3114">
        <v>110.89</v>
      </c>
      <c r="I570" s="3115">
        <v>5.9</v>
      </c>
      <c r="J570" s="3114">
        <v>110.89</v>
      </c>
    </row>
    <row r="571" spans="1:10" s="3125" customFormat="1" ht="15">
      <c r="A571" s="3154">
        <v>567</v>
      </c>
      <c r="B571" s="3115" t="s">
        <v>7347</v>
      </c>
      <c r="C571" s="3115">
        <v>30</v>
      </c>
      <c r="D571" s="3156" t="s">
        <v>6381</v>
      </c>
      <c r="E571" s="3160" t="s">
        <v>6443</v>
      </c>
      <c r="F571" s="3115" t="s">
        <v>7802</v>
      </c>
      <c r="G571" s="3115">
        <v>5.9</v>
      </c>
      <c r="H571" s="3114">
        <v>110.89</v>
      </c>
      <c r="I571" s="3115">
        <v>5.9</v>
      </c>
      <c r="J571" s="3114">
        <v>110.89</v>
      </c>
    </row>
    <row r="572" spans="1:10" s="3125" customFormat="1" ht="15">
      <c r="A572" s="3154">
        <v>568</v>
      </c>
      <c r="B572" s="3115" t="s">
        <v>7348</v>
      </c>
      <c r="C572" s="3115">
        <v>30</v>
      </c>
      <c r="D572" s="3156" t="s">
        <v>6381</v>
      </c>
      <c r="E572" s="3160" t="s">
        <v>6443</v>
      </c>
      <c r="F572" s="3159" t="s">
        <v>7803</v>
      </c>
      <c r="G572" s="3115">
        <v>5.9</v>
      </c>
      <c r="H572" s="3114">
        <v>110.89</v>
      </c>
      <c r="I572" s="3115">
        <v>5.9</v>
      </c>
      <c r="J572" s="3114">
        <v>110.89</v>
      </c>
    </row>
    <row r="573" spans="1:10" s="3125" customFormat="1" ht="15">
      <c r="A573" s="3154">
        <v>569</v>
      </c>
      <c r="B573" s="3115" t="s">
        <v>7349</v>
      </c>
      <c r="C573" s="3115">
        <v>30</v>
      </c>
      <c r="D573" s="3156" t="s">
        <v>6381</v>
      </c>
      <c r="E573" s="3160" t="s">
        <v>6443</v>
      </c>
      <c r="F573" s="3115" t="s">
        <v>7804</v>
      </c>
      <c r="G573" s="3115">
        <v>5.9</v>
      </c>
      <c r="H573" s="3114">
        <v>110.89</v>
      </c>
      <c r="I573" s="3115">
        <v>5.9</v>
      </c>
      <c r="J573" s="3114">
        <v>110.89</v>
      </c>
    </row>
    <row r="574" spans="1:10" s="3125" customFormat="1" ht="15">
      <c r="A574" s="3154">
        <v>570</v>
      </c>
      <c r="B574" s="3115" t="s">
        <v>7350</v>
      </c>
      <c r="C574" s="3115">
        <v>30</v>
      </c>
      <c r="D574" s="3156" t="s">
        <v>6381</v>
      </c>
      <c r="E574" s="3160" t="s">
        <v>6443</v>
      </c>
      <c r="F574" s="3159" t="s">
        <v>7805</v>
      </c>
      <c r="G574" s="3115">
        <v>5.9</v>
      </c>
      <c r="H574" s="3114">
        <v>110.89</v>
      </c>
      <c r="I574" s="3115">
        <v>5.9</v>
      </c>
      <c r="J574" s="3114">
        <v>110.89</v>
      </c>
    </row>
    <row r="575" spans="1:10" s="3125" customFormat="1" ht="15">
      <c r="A575" s="3154">
        <v>571</v>
      </c>
      <c r="B575" s="3115" t="s">
        <v>7351</v>
      </c>
      <c r="C575" s="3115">
        <v>30</v>
      </c>
      <c r="D575" s="3156" t="s">
        <v>6381</v>
      </c>
      <c r="E575" s="3160" t="s">
        <v>6443</v>
      </c>
      <c r="F575" s="3115" t="s">
        <v>7806</v>
      </c>
      <c r="G575" s="3115">
        <v>5.9</v>
      </c>
      <c r="H575" s="3114">
        <v>110.89</v>
      </c>
      <c r="I575" s="3115">
        <v>5.9</v>
      </c>
      <c r="J575" s="3114">
        <v>110.89</v>
      </c>
    </row>
    <row r="576" spans="1:10" s="3125" customFormat="1" ht="15">
      <c r="A576" s="3154">
        <v>572</v>
      </c>
      <c r="B576" s="3115" t="s">
        <v>7352</v>
      </c>
      <c r="C576" s="3115">
        <v>30</v>
      </c>
      <c r="D576" s="3156" t="s">
        <v>6381</v>
      </c>
      <c r="E576" s="3160" t="s">
        <v>6443</v>
      </c>
      <c r="F576" s="3159" t="s">
        <v>7807</v>
      </c>
      <c r="G576" s="3115">
        <v>5.9</v>
      </c>
      <c r="H576" s="3114">
        <v>110.89</v>
      </c>
      <c r="I576" s="3115">
        <v>5.9</v>
      </c>
      <c r="J576" s="3114">
        <v>110.89</v>
      </c>
    </row>
    <row r="577" spans="1:10" s="3125" customFormat="1" ht="15">
      <c r="A577" s="3154">
        <v>573</v>
      </c>
      <c r="B577" s="3115" t="s">
        <v>7353</v>
      </c>
      <c r="C577" s="3115">
        <v>30</v>
      </c>
      <c r="D577" s="3156" t="s">
        <v>6381</v>
      </c>
      <c r="E577" s="3160" t="s">
        <v>6443</v>
      </c>
      <c r="F577" s="3115" t="s">
        <v>7808</v>
      </c>
      <c r="G577" s="3115">
        <v>5.9</v>
      </c>
      <c r="H577" s="3114">
        <v>110.89</v>
      </c>
      <c r="I577" s="3115">
        <v>5.9</v>
      </c>
      <c r="J577" s="3114">
        <v>110.89</v>
      </c>
    </row>
    <row r="578" spans="1:10" s="3125" customFormat="1" ht="15">
      <c r="A578" s="3154">
        <v>574</v>
      </c>
      <c r="B578" s="3115" t="s">
        <v>7354</v>
      </c>
      <c r="C578" s="3115">
        <v>30</v>
      </c>
      <c r="D578" s="3156" t="s">
        <v>6381</v>
      </c>
      <c r="E578" s="3160" t="s">
        <v>6443</v>
      </c>
      <c r="F578" s="3159" t="s">
        <v>7809</v>
      </c>
      <c r="G578" s="3115">
        <v>5.9</v>
      </c>
      <c r="H578" s="3114">
        <v>110.89</v>
      </c>
      <c r="I578" s="3115">
        <v>5.9</v>
      </c>
      <c r="J578" s="3114">
        <v>110.89</v>
      </c>
    </row>
    <row r="579" spans="1:10" s="3125" customFormat="1" ht="15">
      <c r="A579" s="3154">
        <v>575</v>
      </c>
      <c r="B579" s="3115" t="s">
        <v>7355</v>
      </c>
      <c r="C579" s="3115">
        <v>30</v>
      </c>
      <c r="D579" s="3156" t="s">
        <v>6381</v>
      </c>
      <c r="E579" s="3160" t="s">
        <v>6443</v>
      </c>
      <c r="F579" s="3115" t="s">
        <v>7810</v>
      </c>
      <c r="G579" s="3115">
        <v>5.9</v>
      </c>
      <c r="H579" s="3114">
        <v>110.89</v>
      </c>
      <c r="I579" s="3115">
        <v>5.9</v>
      </c>
      <c r="J579" s="3114">
        <v>110.89</v>
      </c>
    </row>
    <row r="580" spans="1:10" s="3125" customFormat="1" ht="15">
      <c r="A580" s="3154">
        <v>576</v>
      </c>
      <c r="B580" s="3115" t="s">
        <v>7356</v>
      </c>
      <c r="C580" s="3115">
        <v>30</v>
      </c>
      <c r="D580" s="3156" t="s">
        <v>6381</v>
      </c>
      <c r="E580" s="3160" t="s">
        <v>6443</v>
      </c>
      <c r="F580" s="3159" t="s">
        <v>7811</v>
      </c>
      <c r="G580" s="3115">
        <v>5.9</v>
      </c>
      <c r="H580" s="3114">
        <v>110.89</v>
      </c>
      <c r="I580" s="3115">
        <v>5.9</v>
      </c>
      <c r="J580" s="3114">
        <v>110.89</v>
      </c>
    </row>
    <row r="581" spans="1:10" s="3125" customFormat="1" ht="15">
      <c r="A581" s="3154">
        <v>577</v>
      </c>
      <c r="B581" s="3115" t="s">
        <v>7357</v>
      </c>
      <c r="C581" s="3115">
        <v>30</v>
      </c>
      <c r="D581" s="3156" t="s">
        <v>6381</v>
      </c>
      <c r="E581" s="3160" t="s">
        <v>6443</v>
      </c>
      <c r="F581" s="3115" t="s">
        <v>7812</v>
      </c>
      <c r="G581" s="3115">
        <v>5.9</v>
      </c>
      <c r="H581" s="3114">
        <v>110.89</v>
      </c>
      <c r="I581" s="3115">
        <v>5.9</v>
      </c>
      <c r="J581" s="3114">
        <v>110.89</v>
      </c>
    </row>
    <row r="582" spans="1:10" s="3125" customFormat="1" ht="15">
      <c r="A582" s="3154">
        <v>578</v>
      </c>
      <c r="B582" s="3115" t="s">
        <v>7358</v>
      </c>
      <c r="C582" s="3115">
        <v>30</v>
      </c>
      <c r="D582" s="3156" t="s">
        <v>6381</v>
      </c>
      <c r="E582" s="3160" t="s">
        <v>6443</v>
      </c>
      <c r="F582" s="3159" t="s">
        <v>7813</v>
      </c>
      <c r="G582" s="3115">
        <v>5.9</v>
      </c>
      <c r="H582" s="3114">
        <v>110.89</v>
      </c>
      <c r="I582" s="3115">
        <v>5.9</v>
      </c>
      <c r="J582" s="3114">
        <v>110.89</v>
      </c>
    </row>
    <row r="583" spans="1:10" s="3125" customFormat="1" ht="15">
      <c r="A583" s="3154">
        <v>579</v>
      </c>
      <c r="B583" s="3115" t="s">
        <v>7359</v>
      </c>
      <c r="C583" s="3115">
        <v>30</v>
      </c>
      <c r="D583" s="3156" t="s">
        <v>6381</v>
      </c>
      <c r="E583" s="3160" t="s">
        <v>6443</v>
      </c>
      <c r="F583" s="3115" t="s">
        <v>7814</v>
      </c>
      <c r="G583" s="3115">
        <v>5.9</v>
      </c>
      <c r="H583" s="3114">
        <v>110.89</v>
      </c>
      <c r="I583" s="3115">
        <v>5.9</v>
      </c>
      <c r="J583" s="3114">
        <v>110.89</v>
      </c>
    </row>
    <row r="584" spans="1:10" s="3125" customFormat="1" ht="15">
      <c r="A584" s="3154">
        <v>580</v>
      </c>
      <c r="B584" s="3115" t="s">
        <v>7360</v>
      </c>
      <c r="C584" s="3115">
        <v>30</v>
      </c>
      <c r="D584" s="3156" t="s">
        <v>6381</v>
      </c>
      <c r="E584" s="3160" t="s">
        <v>6443</v>
      </c>
      <c r="F584" s="3159" t="s">
        <v>7815</v>
      </c>
      <c r="G584" s="3115">
        <v>5.9</v>
      </c>
      <c r="H584" s="3114">
        <v>110.89</v>
      </c>
      <c r="I584" s="3115">
        <v>5.9</v>
      </c>
      <c r="J584" s="3114">
        <v>110.89</v>
      </c>
    </row>
    <row r="585" spans="1:10" s="3125" customFormat="1" ht="15">
      <c r="A585" s="3154">
        <v>581</v>
      </c>
      <c r="B585" s="3115" t="s">
        <v>7361</v>
      </c>
      <c r="C585" s="3115">
        <v>30</v>
      </c>
      <c r="D585" s="3156" t="s">
        <v>6381</v>
      </c>
      <c r="E585" s="3160" t="s">
        <v>6443</v>
      </c>
      <c r="F585" s="3115" t="s">
        <v>7816</v>
      </c>
      <c r="G585" s="3115">
        <v>5.9</v>
      </c>
      <c r="H585" s="3114">
        <v>110.89</v>
      </c>
      <c r="I585" s="3115">
        <v>5.9</v>
      </c>
      <c r="J585" s="3114">
        <v>110.89</v>
      </c>
    </row>
    <row r="586" spans="1:10" s="3125" customFormat="1" ht="15">
      <c r="A586" s="3154">
        <v>582</v>
      </c>
      <c r="B586" s="3115" t="s">
        <v>7362</v>
      </c>
      <c r="C586" s="3115">
        <v>30</v>
      </c>
      <c r="D586" s="3156" t="s">
        <v>6381</v>
      </c>
      <c r="E586" s="3160" t="s">
        <v>6443</v>
      </c>
      <c r="F586" s="3159" t="s">
        <v>7819</v>
      </c>
      <c r="G586" s="3115">
        <v>5.9</v>
      </c>
      <c r="H586" s="3114">
        <v>110.89</v>
      </c>
      <c r="I586" s="3115">
        <v>5.9</v>
      </c>
      <c r="J586" s="3114">
        <v>110.89</v>
      </c>
    </row>
    <row r="587" spans="1:10" s="3125" customFormat="1" ht="15">
      <c r="A587" s="3154">
        <v>583</v>
      </c>
      <c r="B587" s="3115" t="s">
        <v>7363</v>
      </c>
      <c r="C587" s="3115">
        <v>30</v>
      </c>
      <c r="D587" s="3156" t="s">
        <v>6381</v>
      </c>
      <c r="E587" s="3160" t="s">
        <v>6443</v>
      </c>
      <c r="F587" s="3115" t="s">
        <v>7820</v>
      </c>
      <c r="G587" s="3115">
        <v>5.9</v>
      </c>
      <c r="H587" s="3114">
        <v>110.89</v>
      </c>
      <c r="I587" s="3115">
        <v>5.9</v>
      </c>
      <c r="J587" s="3114">
        <v>110.89</v>
      </c>
    </row>
    <row r="588" spans="1:10" s="3125" customFormat="1" ht="15">
      <c r="A588" s="3154">
        <v>584</v>
      </c>
      <c r="B588" s="3115" t="s">
        <v>7364</v>
      </c>
      <c r="C588" s="3115">
        <v>30</v>
      </c>
      <c r="D588" s="3156" t="s">
        <v>6381</v>
      </c>
      <c r="E588" s="3160" t="s">
        <v>6443</v>
      </c>
      <c r="F588" s="3175" t="s">
        <v>7817</v>
      </c>
      <c r="G588" s="3115">
        <v>5.9</v>
      </c>
      <c r="H588" s="3114">
        <v>110.89</v>
      </c>
      <c r="I588" s="3115">
        <v>5.9</v>
      </c>
      <c r="J588" s="3114">
        <v>110.89</v>
      </c>
    </row>
    <row r="589" spans="1:10" s="3125" customFormat="1" ht="15">
      <c r="A589" s="3154">
        <v>585</v>
      </c>
      <c r="B589" s="3115" t="s">
        <v>7365</v>
      </c>
      <c r="C589" s="3115">
        <v>30</v>
      </c>
      <c r="D589" s="3156" t="s">
        <v>6381</v>
      </c>
      <c r="E589" s="3160" t="s">
        <v>6443</v>
      </c>
      <c r="F589" s="3115" t="s">
        <v>7821</v>
      </c>
      <c r="G589" s="3115">
        <v>5.9</v>
      </c>
      <c r="H589" s="3114">
        <v>110.89</v>
      </c>
      <c r="I589" s="3115">
        <v>5.9</v>
      </c>
      <c r="J589" s="3114">
        <v>110.89</v>
      </c>
    </row>
    <row r="590" spans="1:10" s="3125" customFormat="1" ht="15">
      <c r="A590" s="3154">
        <v>586</v>
      </c>
      <c r="B590" s="3115" t="s">
        <v>7366</v>
      </c>
      <c r="C590" s="3115">
        <v>30</v>
      </c>
      <c r="D590" s="3156" t="s">
        <v>6381</v>
      </c>
      <c r="E590" s="3160" t="s">
        <v>6443</v>
      </c>
      <c r="F590" s="3159" t="s">
        <v>7822</v>
      </c>
      <c r="G590" s="3115">
        <v>5.9</v>
      </c>
      <c r="H590" s="3114">
        <v>110.89</v>
      </c>
      <c r="I590" s="3115">
        <v>5.9</v>
      </c>
      <c r="J590" s="3114">
        <v>110.89</v>
      </c>
    </row>
    <row r="591" spans="1:10" s="3125" customFormat="1" ht="15">
      <c r="A591" s="3154">
        <v>587</v>
      </c>
      <c r="B591" s="3115" t="s">
        <v>7367</v>
      </c>
      <c r="C591" s="3115">
        <v>30</v>
      </c>
      <c r="D591" s="3156" t="s">
        <v>6381</v>
      </c>
      <c r="E591" s="3160" t="s">
        <v>6443</v>
      </c>
      <c r="F591" s="3176" t="s">
        <v>7823</v>
      </c>
      <c r="G591" s="3115">
        <v>5.9</v>
      </c>
      <c r="H591" s="3114">
        <v>110.89</v>
      </c>
      <c r="I591" s="3115">
        <v>5.9</v>
      </c>
      <c r="J591" s="3114">
        <v>110.89</v>
      </c>
    </row>
    <row r="592" spans="1:10" s="3125" customFormat="1" ht="15">
      <c r="A592" s="3154">
        <v>588</v>
      </c>
      <c r="B592" s="3115" t="s">
        <v>7368</v>
      </c>
      <c r="C592" s="3115">
        <v>30</v>
      </c>
      <c r="D592" s="3156" t="s">
        <v>6381</v>
      </c>
      <c r="E592" s="3160" t="s">
        <v>6443</v>
      </c>
      <c r="F592" s="3159" t="s">
        <v>7824</v>
      </c>
      <c r="G592" s="3115">
        <v>5.9</v>
      </c>
      <c r="H592" s="3114">
        <v>110.89</v>
      </c>
      <c r="I592" s="3115">
        <v>5.9</v>
      </c>
      <c r="J592" s="3114">
        <v>110.89</v>
      </c>
    </row>
    <row r="593" spans="1:10" s="3125" customFormat="1" ht="15">
      <c r="A593" s="3154">
        <v>589</v>
      </c>
      <c r="B593" s="3115" t="s">
        <v>7369</v>
      </c>
      <c r="C593" s="3115">
        <v>30</v>
      </c>
      <c r="D593" s="3156" t="s">
        <v>6381</v>
      </c>
      <c r="E593" s="3160" t="s">
        <v>6443</v>
      </c>
      <c r="F593" s="3176" t="s">
        <v>7818</v>
      </c>
      <c r="G593" s="3115">
        <v>5.9</v>
      </c>
      <c r="H593" s="3114">
        <v>110.89</v>
      </c>
      <c r="I593" s="3115">
        <v>5.9</v>
      </c>
      <c r="J593" s="3114">
        <v>110.89</v>
      </c>
    </row>
    <row r="594" spans="1:10" s="3125" customFormat="1" ht="15">
      <c r="A594" s="3154">
        <v>590</v>
      </c>
      <c r="B594" s="3115" t="s">
        <v>7370</v>
      </c>
      <c r="C594" s="3115">
        <v>30</v>
      </c>
      <c r="D594" s="3156" t="s">
        <v>6381</v>
      </c>
      <c r="E594" s="3160" t="s">
        <v>6443</v>
      </c>
      <c r="F594" s="3159" t="s">
        <v>7825</v>
      </c>
      <c r="G594" s="3115">
        <v>5.9</v>
      </c>
      <c r="H594" s="3114">
        <v>110.89</v>
      </c>
      <c r="I594" s="3115">
        <v>5.9</v>
      </c>
      <c r="J594" s="3114">
        <v>110.89</v>
      </c>
    </row>
    <row r="595" spans="1:10" s="3125" customFormat="1" ht="15">
      <c r="A595" s="3154">
        <v>591</v>
      </c>
      <c r="B595" s="3115" t="s">
        <v>7371</v>
      </c>
      <c r="C595" s="3115">
        <v>30</v>
      </c>
      <c r="D595" s="3156" t="s">
        <v>6381</v>
      </c>
      <c r="E595" s="3160" t="s">
        <v>6443</v>
      </c>
      <c r="F595" s="3115" t="s">
        <v>7826</v>
      </c>
      <c r="G595" s="3115">
        <v>5.9</v>
      </c>
      <c r="H595" s="3114">
        <v>110.89</v>
      </c>
      <c r="I595" s="3115">
        <v>5.9</v>
      </c>
      <c r="J595" s="3114">
        <v>110.89</v>
      </c>
    </row>
    <row r="596" spans="1:10" s="3125" customFormat="1" ht="15">
      <c r="A596" s="3154">
        <v>592</v>
      </c>
      <c r="B596" s="3115" t="s">
        <v>7372</v>
      </c>
      <c r="C596" s="3115">
        <v>30</v>
      </c>
      <c r="D596" s="3156" t="s">
        <v>6381</v>
      </c>
      <c r="E596" s="3160" t="s">
        <v>6443</v>
      </c>
      <c r="F596" s="3159" t="s">
        <v>7827</v>
      </c>
      <c r="G596" s="3115">
        <v>5.9</v>
      </c>
      <c r="H596" s="3114">
        <v>110.89</v>
      </c>
      <c r="I596" s="3115">
        <v>5.9</v>
      </c>
      <c r="J596" s="3114">
        <v>110.89</v>
      </c>
    </row>
    <row r="597" spans="1:10" s="3125" customFormat="1" ht="15">
      <c r="A597" s="3154">
        <v>593</v>
      </c>
      <c r="B597" s="3115" t="s">
        <v>7373</v>
      </c>
      <c r="C597" s="3115">
        <v>30</v>
      </c>
      <c r="D597" s="3156" t="s">
        <v>6381</v>
      </c>
      <c r="E597" s="3160" t="s">
        <v>6443</v>
      </c>
      <c r="F597" s="3115" t="s">
        <v>7828</v>
      </c>
      <c r="G597" s="3115">
        <v>5.9</v>
      </c>
      <c r="H597" s="3114">
        <v>110.89</v>
      </c>
      <c r="I597" s="3115">
        <v>5.9</v>
      </c>
      <c r="J597" s="3114">
        <v>110.89</v>
      </c>
    </row>
    <row r="598" spans="1:10" s="3125" customFormat="1" ht="15">
      <c r="A598" s="3154">
        <v>594</v>
      </c>
      <c r="B598" s="3115" t="s">
        <v>7374</v>
      </c>
      <c r="C598" s="3115">
        <v>30</v>
      </c>
      <c r="D598" s="3156" t="s">
        <v>6381</v>
      </c>
      <c r="E598" s="3160" t="s">
        <v>6443</v>
      </c>
      <c r="F598" s="3159" t="s">
        <v>7829</v>
      </c>
      <c r="G598" s="3115">
        <v>5.9</v>
      </c>
      <c r="H598" s="3114">
        <v>110.89</v>
      </c>
      <c r="I598" s="3115">
        <v>5.9</v>
      </c>
      <c r="J598" s="3114">
        <v>110.89</v>
      </c>
    </row>
    <row r="599" spans="1:10" s="3125" customFormat="1" ht="15">
      <c r="A599" s="3154">
        <v>595</v>
      </c>
      <c r="B599" s="3115" t="s">
        <v>7375</v>
      </c>
      <c r="C599" s="3115">
        <v>30</v>
      </c>
      <c r="D599" s="3156" t="s">
        <v>6381</v>
      </c>
      <c r="E599" s="3160" t="s">
        <v>6443</v>
      </c>
      <c r="F599" s="3115" t="s">
        <v>7830</v>
      </c>
      <c r="G599" s="3115">
        <v>5.9</v>
      </c>
      <c r="H599" s="3114">
        <v>110.89</v>
      </c>
      <c r="I599" s="3115">
        <v>5.9</v>
      </c>
      <c r="J599" s="3114">
        <v>110.89</v>
      </c>
    </row>
    <row r="600" spans="1:10" s="3125" customFormat="1" ht="15">
      <c r="A600" s="3154">
        <v>596</v>
      </c>
      <c r="B600" s="3115" t="s">
        <v>7376</v>
      </c>
      <c r="C600" s="3115">
        <v>30</v>
      </c>
      <c r="D600" s="3156" t="s">
        <v>6381</v>
      </c>
      <c r="E600" s="3160" t="s">
        <v>6443</v>
      </c>
      <c r="F600" s="3159" t="s">
        <v>7831</v>
      </c>
      <c r="G600" s="3115">
        <v>5.9</v>
      </c>
      <c r="H600" s="3114">
        <v>110.89</v>
      </c>
      <c r="I600" s="3115">
        <v>5.9</v>
      </c>
      <c r="J600" s="3114">
        <v>110.89</v>
      </c>
    </row>
    <row r="601" spans="1:10" s="3125" customFormat="1" ht="15">
      <c r="A601" s="3154">
        <v>597</v>
      </c>
      <c r="B601" s="3115" t="s">
        <v>7377</v>
      </c>
      <c r="C601" s="3115">
        <v>30</v>
      </c>
      <c r="D601" s="3156" t="s">
        <v>6381</v>
      </c>
      <c r="E601" s="3160" t="s">
        <v>6443</v>
      </c>
      <c r="F601" s="3115" t="s">
        <v>7832</v>
      </c>
      <c r="G601" s="3115">
        <v>5.9</v>
      </c>
      <c r="H601" s="3114">
        <v>110.89</v>
      </c>
      <c r="I601" s="3115">
        <v>5.9</v>
      </c>
      <c r="J601" s="3114">
        <v>110.89</v>
      </c>
    </row>
    <row r="602" spans="1:10" s="3125" customFormat="1" ht="15">
      <c r="A602" s="3154">
        <v>598</v>
      </c>
      <c r="B602" s="3115" t="s">
        <v>7378</v>
      </c>
      <c r="C602" s="3115">
        <v>30</v>
      </c>
      <c r="D602" s="3156" t="s">
        <v>6381</v>
      </c>
      <c r="E602" s="3160" t="s">
        <v>6443</v>
      </c>
      <c r="F602" s="3159" t="s">
        <v>7833</v>
      </c>
      <c r="G602" s="3115">
        <v>5.9</v>
      </c>
      <c r="H602" s="3114">
        <v>110.89</v>
      </c>
      <c r="I602" s="3115">
        <v>5.9</v>
      </c>
      <c r="J602" s="3114">
        <v>110.89</v>
      </c>
    </row>
    <row r="603" spans="1:10" s="3125" customFormat="1" ht="15">
      <c r="A603" s="3154">
        <v>599</v>
      </c>
      <c r="B603" s="3115" t="s">
        <v>7379</v>
      </c>
      <c r="C603" s="3115">
        <v>30</v>
      </c>
      <c r="D603" s="3156" t="s">
        <v>6381</v>
      </c>
      <c r="E603" s="3160" t="s">
        <v>6443</v>
      </c>
      <c r="F603" s="3115" t="s">
        <v>7834</v>
      </c>
      <c r="G603" s="3115">
        <v>5.9</v>
      </c>
      <c r="H603" s="3114">
        <v>110.89</v>
      </c>
      <c r="I603" s="3115">
        <v>5.9</v>
      </c>
      <c r="J603" s="3114">
        <v>110.89</v>
      </c>
    </row>
    <row r="604" spans="1:10" s="3125" customFormat="1" ht="15">
      <c r="A604" s="3154">
        <v>600</v>
      </c>
      <c r="B604" s="3115" t="s">
        <v>7380</v>
      </c>
      <c r="C604" s="3115">
        <v>30</v>
      </c>
      <c r="D604" s="3156" t="s">
        <v>6381</v>
      </c>
      <c r="E604" s="3160" t="s">
        <v>6443</v>
      </c>
      <c r="F604" s="3159" t="s">
        <v>7835</v>
      </c>
      <c r="G604" s="3115">
        <v>5.9</v>
      </c>
      <c r="H604" s="3114">
        <v>110.89</v>
      </c>
      <c r="I604" s="3115">
        <v>5.9</v>
      </c>
      <c r="J604" s="3114">
        <v>110.89</v>
      </c>
    </row>
    <row r="605" spans="1:10" s="3125" customFormat="1" ht="15">
      <c r="A605" s="3154">
        <v>601</v>
      </c>
      <c r="B605" s="3115" t="s">
        <v>7381</v>
      </c>
      <c r="C605" s="3115">
        <v>30</v>
      </c>
      <c r="D605" s="3156" t="s">
        <v>6381</v>
      </c>
      <c r="E605" s="3160" t="s">
        <v>6443</v>
      </c>
      <c r="F605" s="3115" t="s">
        <v>7836</v>
      </c>
      <c r="G605" s="3115">
        <v>5.9</v>
      </c>
      <c r="H605" s="3114">
        <v>110.89</v>
      </c>
      <c r="I605" s="3115">
        <v>5.9</v>
      </c>
      <c r="J605" s="3114">
        <v>110.89</v>
      </c>
    </row>
    <row r="606" spans="1:10" s="3125" customFormat="1" ht="15">
      <c r="A606" s="3154">
        <v>602</v>
      </c>
      <c r="B606" s="3115" t="s">
        <v>7382</v>
      </c>
      <c r="C606" s="3115">
        <v>30</v>
      </c>
      <c r="D606" s="3156" t="s">
        <v>6381</v>
      </c>
      <c r="E606" s="3160" t="s">
        <v>6443</v>
      </c>
      <c r="F606" s="3159" t="s">
        <v>7837</v>
      </c>
      <c r="G606" s="3115">
        <v>5.9</v>
      </c>
      <c r="H606" s="3114">
        <v>110.89</v>
      </c>
      <c r="I606" s="3115">
        <v>5.9</v>
      </c>
      <c r="J606" s="3114">
        <v>110.89</v>
      </c>
    </row>
    <row r="607" spans="1:10" s="3125" customFormat="1" ht="15">
      <c r="A607" s="3154">
        <v>603</v>
      </c>
      <c r="B607" s="3115" t="s">
        <v>7383</v>
      </c>
      <c r="C607" s="3115">
        <v>30</v>
      </c>
      <c r="D607" s="3156" t="s">
        <v>6381</v>
      </c>
      <c r="E607" s="3160" t="s">
        <v>6443</v>
      </c>
      <c r="F607" s="3115" t="s">
        <v>7838</v>
      </c>
      <c r="G607" s="3115">
        <v>5.9</v>
      </c>
      <c r="H607" s="3114">
        <v>110.89</v>
      </c>
      <c r="I607" s="3115">
        <v>5.9</v>
      </c>
      <c r="J607" s="3114">
        <v>110.89</v>
      </c>
    </row>
    <row r="608" spans="1:10" s="3125" customFormat="1" ht="15">
      <c r="A608" s="3154">
        <v>604</v>
      </c>
      <c r="B608" s="3115" t="s">
        <v>7384</v>
      </c>
      <c r="C608" s="3115">
        <v>30</v>
      </c>
      <c r="D608" s="3156" t="s">
        <v>6381</v>
      </c>
      <c r="E608" s="3160" t="s">
        <v>6443</v>
      </c>
      <c r="F608" s="3159" t="s">
        <v>7839</v>
      </c>
      <c r="G608" s="3115">
        <v>5.9</v>
      </c>
      <c r="H608" s="3114">
        <v>110.89</v>
      </c>
      <c r="I608" s="3115">
        <v>5.9</v>
      </c>
      <c r="J608" s="3114">
        <v>110.89</v>
      </c>
    </row>
    <row r="609" spans="1:10" s="3125" customFormat="1" ht="15">
      <c r="A609" s="3154">
        <v>605</v>
      </c>
      <c r="B609" s="3115" t="s">
        <v>7385</v>
      </c>
      <c r="C609" s="3115">
        <v>30</v>
      </c>
      <c r="D609" s="3156" t="s">
        <v>6381</v>
      </c>
      <c r="E609" s="3160" t="s">
        <v>6443</v>
      </c>
      <c r="F609" s="3115" t="s">
        <v>7840</v>
      </c>
      <c r="G609" s="3115">
        <v>5.9</v>
      </c>
      <c r="H609" s="3114">
        <v>110.89</v>
      </c>
      <c r="I609" s="3115">
        <v>5.9</v>
      </c>
      <c r="J609" s="3114">
        <v>110.89</v>
      </c>
    </row>
    <row r="610" spans="1:10" s="3125" customFormat="1" ht="15">
      <c r="A610" s="3154">
        <v>606</v>
      </c>
      <c r="B610" s="3115" t="s">
        <v>7386</v>
      </c>
      <c r="C610" s="3115">
        <v>30</v>
      </c>
      <c r="D610" s="3156" t="s">
        <v>6381</v>
      </c>
      <c r="E610" s="3160" t="s">
        <v>6443</v>
      </c>
      <c r="F610" s="3159" t="s">
        <v>7841</v>
      </c>
      <c r="G610" s="3115">
        <v>5.9</v>
      </c>
      <c r="H610" s="3114">
        <v>110.89</v>
      </c>
      <c r="I610" s="3115">
        <v>5.9</v>
      </c>
      <c r="J610" s="3114">
        <v>110.89</v>
      </c>
    </row>
    <row r="611" spans="1:10" s="3125" customFormat="1" ht="15">
      <c r="A611" s="3154">
        <v>607</v>
      </c>
      <c r="B611" s="3115" t="s">
        <v>7387</v>
      </c>
      <c r="C611" s="3115">
        <v>30</v>
      </c>
      <c r="D611" s="3156" t="s">
        <v>6381</v>
      </c>
      <c r="E611" s="3160" t="s">
        <v>6443</v>
      </c>
      <c r="F611" s="3115" t="s">
        <v>7842</v>
      </c>
      <c r="G611" s="3115">
        <v>5.9</v>
      </c>
      <c r="H611" s="3114">
        <v>110.89</v>
      </c>
      <c r="I611" s="3115">
        <v>5.9</v>
      </c>
      <c r="J611" s="3114">
        <v>110.89</v>
      </c>
    </row>
    <row r="612" spans="1:10" s="3125" customFormat="1" ht="15">
      <c r="A612" s="3154">
        <v>608</v>
      </c>
      <c r="B612" s="3115" t="s">
        <v>7388</v>
      </c>
      <c r="C612" s="3115">
        <v>30</v>
      </c>
      <c r="D612" s="3156" t="s">
        <v>6381</v>
      </c>
      <c r="E612" s="3160" t="s">
        <v>6443</v>
      </c>
      <c r="F612" s="3159" t="s">
        <v>7843</v>
      </c>
      <c r="G612" s="3115">
        <v>5.9</v>
      </c>
      <c r="H612" s="3114">
        <v>110.89</v>
      </c>
      <c r="I612" s="3115">
        <v>5.9</v>
      </c>
      <c r="J612" s="3114">
        <v>110.89</v>
      </c>
    </row>
    <row r="613" spans="1:10" s="3125" customFormat="1" ht="15">
      <c r="A613" s="3154">
        <v>609</v>
      </c>
      <c r="B613" s="3115" t="s">
        <v>7389</v>
      </c>
      <c r="C613" s="3115">
        <v>30</v>
      </c>
      <c r="D613" s="3156" t="s">
        <v>6381</v>
      </c>
      <c r="E613" s="3160" t="s">
        <v>6443</v>
      </c>
      <c r="F613" s="3115" t="s">
        <v>7844</v>
      </c>
      <c r="G613" s="3115">
        <v>5.9</v>
      </c>
      <c r="H613" s="3114">
        <v>110.89</v>
      </c>
      <c r="I613" s="3115">
        <v>5.9</v>
      </c>
      <c r="J613" s="3114">
        <v>110.89</v>
      </c>
    </row>
    <row r="614" spans="1:10" s="3125" customFormat="1" ht="15">
      <c r="A614" s="3154">
        <v>610</v>
      </c>
      <c r="B614" s="3115" t="s">
        <v>7390</v>
      </c>
      <c r="C614" s="3115">
        <v>30</v>
      </c>
      <c r="D614" s="3156" t="s">
        <v>6381</v>
      </c>
      <c r="E614" s="3160" t="s">
        <v>6443</v>
      </c>
      <c r="F614" s="3159" t="s">
        <v>7845</v>
      </c>
      <c r="G614" s="3115">
        <v>5.9</v>
      </c>
      <c r="H614" s="3114">
        <v>110.89</v>
      </c>
      <c r="I614" s="3115">
        <v>5.9</v>
      </c>
      <c r="J614" s="3114">
        <v>110.89</v>
      </c>
    </row>
    <row r="615" spans="1:10" s="3125" customFormat="1" ht="15">
      <c r="A615" s="3154">
        <v>611</v>
      </c>
      <c r="B615" s="3115" t="s">
        <v>7391</v>
      </c>
      <c r="C615" s="3115">
        <v>30</v>
      </c>
      <c r="D615" s="3156" t="s">
        <v>6381</v>
      </c>
      <c r="E615" s="3160" t="s">
        <v>6443</v>
      </c>
      <c r="F615" s="3115" t="s">
        <v>7846</v>
      </c>
      <c r="G615" s="3115">
        <v>5.9</v>
      </c>
      <c r="H615" s="3114">
        <v>110.89</v>
      </c>
      <c r="I615" s="3115">
        <v>5.9</v>
      </c>
      <c r="J615" s="3114">
        <v>110.89</v>
      </c>
    </row>
    <row r="616" spans="1:10" s="3125" customFormat="1" ht="15">
      <c r="A616" s="3154">
        <v>612</v>
      </c>
      <c r="B616" s="3115" t="s">
        <v>7392</v>
      </c>
      <c r="C616" s="3115">
        <v>30</v>
      </c>
      <c r="D616" s="3156" t="s">
        <v>6381</v>
      </c>
      <c r="E616" s="3160" t="s">
        <v>6443</v>
      </c>
      <c r="F616" s="3159" t="s">
        <v>7847</v>
      </c>
      <c r="G616" s="3115">
        <v>5.9</v>
      </c>
      <c r="H616" s="3114">
        <v>110.89</v>
      </c>
      <c r="I616" s="3115">
        <v>5.9</v>
      </c>
      <c r="J616" s="3114">
        <v>110.89</v>
      </c>
    </row>
    <row r="617" spans="1:10" s="3125" customFormat="1" ht="15">
      <c r="A617" s="3154">
        <v>613</v>
      </c>
      <c r="B617" s="3115" t="s">
        <v>7393</v>
      </c>
      <c r="C617" s="3115">
        <v>30</v>
      </c>
      <c r="D617" s="3156" t="s">
        <v>6381</v>
      </c>
      <c r="E617" s="3160" t="s">
        <v>6443</v>
      </c>
      <c r="F617" s="3115" t="s">
        <v>7848</v>
      </c>
      <c r="G617" s="3115">
        <v>5.9</v>
      </c>
      <c r="H617" s="3114">
        <v>110.89</v>
      </c>
      <c r="I617" s="3115">
        <v>5.9</v>
      </c>
      <c r="J617" s="3114">
        <v>110.89</v>
      </c>
    </row>
    <row r="618" spans="1:10" s="3171" customFormat="1" ht="15">
      <c r="A618" s="3168">
        <v>614</v>
      </c>
      <c r="B618" s="3169" t="s">
        <v>7394</v>
      </c>
      <c r="C618" s="3169">
        <v>30</v>
      </c>
      <c r="D618" s="3170" t="s">
        <v>6381</v>
      </c>
      <c r="E618" s="3166" t="s">
        <v>6443</v>
      </c>
      <c r="F618" s="3175" t="s">
        <v>7817</v>
      </c>
      <c r="G618" s="3169">
        <v>5.8</v>
      </c>
      <c r="H618" s="3127">
        <v>110.76</v>
      </c>
      <c r="I618" s="3169">
        <v>5.8</v>
      </c>
      <c r="J618" s="3127">
        <v>110.76</v>
      </c>
    </row>
    <row r="619" spans="1:10" s="3125" customFormat="1" ht="15">
      <c r="A619" s="3154">
        <v>615</v>
      </c>
      <c r="B619" s="3115" t="s">
        <v>7395</v>
      </c>
      <c r="C619" s="3115">
        <v>30</v>
      </c>
      <c r="D619" s="3156" t="s">
        <v>6381</v>
      </c>
      <c r="E619" s="3126" t="s">
        <v>7600</v>
      </c>
      <c r="F619" s="3115" t="s">
        <v>7849</v>
      </c>
      <c r="G619" s="3115">
        <v>6.5</v>
      </c>
      <c r="H619" s="3114">
        <v>138.16999999999999</v>
      </c>
      <c r="I619" s="3115">
        <v>6.5</v>
      </c>
      <c r="J619" s="3114">
        <v>138.16999999999999</v>
      </c>
    </row>
    <row r="620" spans="1:10" s="3125" customFormat="1" ht="15">
      <c r="A620" s="3154">
        <v>616</v>
      </c>
      <c r="B620" s="3115" t="s">
        <v>7396</v>
      </c>
      <c r="C620" s="3115">
        <v>30</v>
      </c>
      <c r="D620" s="3156" t="s">
        <v>6381</v>
      </c>
      <c r="E620" s="3126" t="s">
        <v>7600</v>
      </c>
      <c r="F620" s="3159" t="s">
        <v>7850</v>
      </c>
      <c r="G620" s="3115">
        <v>6.5</v>
      </c>
      <c r="H620" s="3114">
        <v>138.16999999999999</v>
      </c>
      <c r="I620" s="3115">
        <v>6.5</v>
      </c>
      <c r="J620" s="3114">
        <v>138.16999999999999</v>
      </c>
    </row>
    <row r="621" spans="1:10" s="3125" customFormat="1" ht="15">
      <c r="A621" s="3154">
        <v>617</v>
      </c>
      <c r="B621" s="3115" t="s">
        <v>7397</v>
      </c>
      <c r="C621" s="3115">
        <v>30</v>
      </c>
      <c r="D621" s="3156" t="s">
        <v>6381</v>
      </c>
      <c r="E621" s="3126" t="s">
        <v>7600</v>
      </c>
      <c r="F621" s="3115" t="s">
        <v>7851</v>
      </c>
      <c r="G621" s="3115">
        <v>6.5</v>
      </c>
      <c r="H621" s="3114">
        <v>138.16999999999999</v>
      </c>
      <c r="I621" s="3115">
        <v>6.5</v>
      </c>
      <c r="J621" s="3114">
        <v>138.16999999999999</v>
      </c>
    </row>
    <row r="622" spans="1:10" s="3125" customFormat="1" ht="15">
      <c r="A622" s="3154">
        <v>618</v>
      </c>
      <c r="B622" s="3115" t="s">
        <v>7398</v>
      </c>
      <c r="C622" s="3115">
        <v>30</v>
      </c>
      <c r="D622" s="3156" t="s">
        <v>6381</v>
      </c>
      <c r="E622" s="3126" t="s">
        <v>7600</v>
      </c>
      <c r="F622" s="3159" t="s">
        <v>7852</v>
      </c>
      <c r="G622" s="3115">
        <v>6.5</v>
      </c>
      <c r="H622" s="3114">
        <v>138.16999999999999</v>
      </c>
      <c r="I622" s="3115">
        <v>6.5</v>
      </c>
      <c r="J622" s="3114">
        <v>138.16999999999999</v>
      </c>
    </row>
    <row r="623" spans="1:10" s="3125" customFormat="1" ht="15">
      <c r="A623" s="3154">
        <v>619</v>
      </c>
      <c r="B623" s="3115" t="s">
        <v>7399</v>
      </c>
      <c r="C623" s="3115">
        <v>30</v>
      </c>
      <c r="D623" s="3156" t="s">
        <v>6381</v>
      </c>
      <c r="E623" s="3126" t="s">
        <v>7600</v>
      </c>
      <c r="F623" s="3115" t="s">
        <v>7853</v>
      </c>
      <c r="G623" s="3115">
        <v>6.5</v>
      </c>
      <c r="H623" s="3114">
        <v>138.16999999999999</v>
      </c>
      <c r="I623" s="3115">
        <v>6.5</v>
      </c>
      <c r="J623" s="3114">
        <v>138.16999999999999</v>
      </c>
    </row>
    <row r="624" spans="1:10" s="3125" customFormat="1" ht="15">
      <c r="A624" s="3154">
        <v>620</v>
      </c>
      <c r="B624" s="3115" t="s">
        <v>7400</v>
      </c>
      <c r="C624" s="3115">
        <v>30</v>
      </c>
      <c r="D624" s="3156" t="s">
        <v>6381</v>
      </c>
      <c r="E624" s="3126" t="s">
        <v>7600</v>
      </c>
      <c r="F624" s="3159" t="s">
        <v>7854</v>
      </c>
      <c r="G624" s="3115">
        <v>6.5</v>
      </c>
      <c r="H624" s="3114">
        <v>138.16999999999999</v>
      </c>
      <c r="I624" s="3115">
        <v>6.5</v>
      </c>
      <c r="J624" s="3114">
        <v>138.16999999999999</v>
      </c>
    </row>
    <row r="625" spans="1:10" s="3125" customFormat="1" ht="15">
      <c r="A625" s="3154">
        <v>621</v>
      </c>
      <c r="B625" s="3115" t="s">
        <v>7401</v>
      </c>
      <c r="C625" s="3115">
        <v>30</v>
      </c>
      <c r="D625" s="3156" t="s">
        <v>6381</v>
      </c>
      <c r="E625" s="3126" t="s">
        <v>7600</v>
      </c>
      <c r="F625" s="3115" t="s">
        <v>7855</v>
      </c>
      <c r="G625" s="3115">
        <v>6.5</v>
      </c>
      <c r="H625" s="3114">
        <v>138.16999999999999</v>
      </c>
      <c r="I625" s="3115">
        <v>6.5</v>
      </c>
      <c r="J625" s="3114">
        <v>138.16999999999999</v>
      </c>
    </row>
    <row r="626" spans="1:10" s="3125" customFormat="1" ht="15">
      <c r="A626" s="3154">
        <v>622</v>
      </c>
      <c r="B626" s="3115" t="s">
        <v>7402</v>
      </c>
      <c r="C626" s="3115">
        <v>30</v>
      </c>
      <c r="D626" s="3156" t="s">
        <v>6381</v>
      </c>
      <c r="E626" s="3126" t="s">
        <v>7600</v>
      </c>
      <c r="F626" s="3159" t="s">
        <v>7856</v>
      </c>
      <c r="G626" s="3115">
        <v>6.5</v>
      </c>
      <c r="H626" s="3114">
        <v>138.16999999999999</v>
      </c>
      <c r="I626" s="3115">
        <v>6.5</v>
      </c>
      <c r="J626" s="3114">
        <v>138.16999999999999</v>
      </c>
    </row>
    <row r="627" spans="1:10" s="3125" customFormat="1" ht="15">
      <c r="A627" s="3154">
        <v>623</v>
      </c>
      <c r="B627" s="3115" t="s">
        <v>7403</v>
      </c>
      <c r="C627" s="3115">
        <v>30</v>
      </c>
      <c r="D627" s="3156" t="s">
        <v>6381</v>
      </c>
      <c r="E627" s="3126" t="s">
        <v>7600</v>
      </c>
      <c r="F627" s="3115" t="s">
        <v>7857</v>
      </c>
      <c r="G627" s="3115">
        <v>6.5</v>
      </c>
      <c r="H627" s="3114">
        <v>138.16999999999999</v>
      </c>
      <c r="I627" s="3115">
        <v>6.5</v>
      </c>
      <c r="J627" s="3114">
        <v>138.16999999999999</v>
      </c>
    </row>
    <row r="628" spans="1:10" s="3125" customFormat="1" ht="15">
      <c r="A628" s="3154">
        <v>624</v>
      </c>
      <c r="B628" s="3115" t="s">
        <v>7404</v>
      </c>
      <c r="C628" s="3115">
        <v>30</v>
      </c>
      <c r="D628" s="3156" t="s">
        <v>6381</v>
      </c>
      <c r="E628" s="3126" t="s">
        <v>7600</v>
      </c>
      <c r="F628" s="3159" t="s">
        <v>7858</v>
      </c>
      <c r="G628" s="3115">
        <v>6.5</v>
      </c>
      <c r="H628" s="3114">
        <v>138.16999999999999</v>
      </c>
      <c r="I628" s="3115">
        <v>6.5</v>
      </c>
      <c r="J628" s="3114">
        <v>138.16999999999999</v>
      </c>
    </row>
    <row r="629" spans="1:10" s="3125" customFormat="1" ht="15">
      <c r="A629" s="3154">
        <v>625</v>
      </c>
      <c r="B629" s="3115" t="s">
        <v>7405</v>
      </c>
      <c r="C629" s="3115">
        <v>30</v>
      </c>
      <c r="D629" s="3156" t="s">
        <v>6381</v>
      </c>
      <c r="E629" s="3126" t="s">
        <v>7600</v>
      </c>
      <c r="F629" s="3115" t="s">
        <v>7859</v>
      </c>
      <c r="G629" s="3115">
        <v>6.5</v>
      </c>
      <c r="H629" s="3114">
        <v>138.16999999999999</v>
      </c>
      <c r="I629" s="3115">
        <v>6.5</v>
      </c>
      <c r="J629" s="3114">
        <v>138.16999999999999</v>
      </c>
    </row>
    <row r="630" spans="1:10" s="3125" customFormat="1" ht="15">
      <c r="A630" s="3154">
        <v>626</v>
      </c>
      <c r="B630" s="3115" t="s">
        <v>7406</v>
      </c>
      <c r="C630" s="3115">
        <v>30</v>
      </c>
      <c r="D630" s="3156" t="s">
        <v>6381</v>
      </c>
      <c r="E630" s="3126" t="s">
        <v>7600</v>
      </c>
      <c r="F630" s="3159" t="s">
        <v>7860</v>
      </c>
      <c r="G630" s="3115">
        <v>6.5</v>
      </c>
      <c r="H630" s="3114">
        <v>138.16999999999999</v>
      </c>
      <c r="I630" s="3115">
        <v>6.5</v>
      </c>
      <c r="J630" s="3114">
        <v>138.16999999999999</v>
      </c>
    </row>
    <row r="631" spans="1:10" s="3125" customFormat="1" ht="15">
      <c r="A631" s="3154">
        <v>627</v>
      </c>
      <c r="B631" s="3115" t="s">
        <v>7407</v>
      </c>
      <c r="C631" s="3115">
        <v>30</v>
      </c>
      <c r="D631" s="3156" t="s">
        <v>6381</v>
      </c>
      <c r="E631" s="3126" t="s">
        <v>7600</v>
      </c>
      <c r="F631" s="3115" t="s">
        <v>7861</v>
      </c>
      <c r="G631" s="3115">
        <v>6.5</v>
      </c>
      <c r="H631" s="3114">
        <v>138.16999999999999</v>
      </c>
      <c r="I631" s="3115">
        <v>6.5</v>
      </c>
      <c r="J631" s="3114">
        <v>138.16999999999999</v>
      </c>
    </row>
    <row r="632" spans="1:10" s="3125" customFormat="1" ht="15">
      <c r="A632" s="3154">
        <v>628</v>
      </c>
      <c r="B632" s="3115" t="s">
        <v>7408</v>
      </c>
      <c r="C632" s="3115">
        <v>30</v>
      </c>
      <c r="D632" s="3156" t="s">
        <v>6381</v>
      </c>
      <c r="E632" s="3126" t="s">
        <v>7600</v>
      </c>
      <c r="F632" s="3159" t="s">
        <v>7862</v>
      </c>
      <c r="G632" s="3115">
        <v>6.5</v>
      </c>
      <c r="H632" s="3114">
        <v>138.16999999999999</v>
      </c>
      <c r="I632" s="3115">
        <v>6.5</v>
      </c>
      <c r="J632" s="3114">
        <v>138.16999999999999</v>
      </c>
    </row>
    <row r="633" spans="1:10" s="3125" customFormat="1" ht="15">
      <c r="A633" s="3154">
        <v>629</v>
      </c>
      <c r="B633" s="3115" t="s">
        <v>7409</v>
      </c>
      <c r="C633" s="3115">
        <v>30</v>
      </c>
      <c r="D633" s="3156" t="s">
        <v>6381</v>
      </c>
      <c r="E633" s="3126" t="s">
        <v>7600</v>
      </c>
      <c r="F633" s="3115" t="s">
        <v>7863</v>
      </c>
      <c r="G633" s="3115">
        <v>6.5</v>
      </c>
      <c r="H633" s="3114">
        <v>138.16999999999999</v>
      </c>
      <c r="I633" s="3115">
        <v>6.5</v>
      </c>
      <c r="J633" s="3114">
        <v>138.16999999999999</v>
      </c>
    </row>
    <row r="634" spans="1:10" s="3125" customFormat="1" ht="15">
      <c r="A634" s="3154">
        <v>630</v>
      </c>
      <c r="B634" s="3115" t="s">
        <v>7410</v>
      </c>
      <c r="C634" s="3115">
        <v>30</v>
      </c>
      <c r="D634" s="3156" t="s">
        <v>6381</v>
      </c>
      <c r="E634" s="3126" t="s">
        <v>7600</v>
      </c>
      <c r="F634" s="3159" t="s">
        <v>7864</v>
      </c>
      <c r="G634" s="3115">
        <v>6.5</v>
      </c>
      <c r="H634" s="3114">
        <v>138.16999999999999</v>
      </c>
      <c r="I634" s="3115">
        <v>6.5</v>
      </c>
      <c r="J634" s="3114">
        <v>138.16999999999999</v>
      </c>
    </row>
    <row r="635" spans="1:10" s="3125" customFormat="1" ht="15">
      <c r="A635" s="3154">
        <v>631</v>
      </c>
      <c r="B635" s="3115" t="s">
        <v>7411</v>
      </c>
      <c r="C635" s="3115">
        <v>30</v>
      </c>
      <c r="D635" s="3156" t="s">
        <v>6381</v>
      </c>
      <c r="E635" s="3126" t="s">
        <v>7600</v>
      </c>
      <c r="F635" s="3115" t="s">
        <v>7865</v>
      </c>
      <c r="G635" s="3115">
        <v>6.5</v>
      </c>
      <c r="H635" s="3114">
        <v>138.16999999999999</v>
      </c>
      <c r="I635" s="3115">
        <v>6.5</v>
      </c>
      <c r="J635" s="3114">
        <v>138.16999999999999</v>
      </c>
    </row>
    <row r="636" spans="1:10" s="3125" customFormat="1" ht="15">
      <c r="A636" s="3154">
        <v>632</v>
      </c>
      <c r="B636" s="3115" t="s">
        <v>7412</v>
      </c>
      <c r="C636" s="3115">
        <v>30</v>
      </c>
      <c r="D636" s="3156" t="s">
        <v>6381</v>
      </c>
      <c r="E636" s="3126" t="s">
        <v>7600</v>
      </c>
      <c r="F636" s="3159" t="s">
        <v>7866</v>
      </c>
      <c r="G636" s="3115">
        <v>6.5</v>
      </c>
      <c r="H636" s="3114">
        <v>138.16999999999999</v>
      </c>
      <c r="I636" s="3115">
        <v>6.5</v>
      </c>
      <c r="J636" s="3114">
        <v>138.16999999999999</v>
      </c>
    </row>
    <row r="637" spans="1:10" s="3125" customFormat="1" ht="15">
      <c r="A637" s="3154">
        <v>633</v>
      </c>
      <c r="B637" s="3115" t="s">
        <v>7413</v>
      </c>
      <c r="C637" s="3115">
        <v>30</v>
      </c>
      <c r="D637" s="3156" t="s">
        <v>6381</v>
      </c>
      <c r="E637" s="3126" t="s">
        <v>7600</v>
      </c>
      <c r="F637" s="3115" t="s">
        <v>7867</v>
      </c>
      <c r="G637" s="3115">
        <v>6.5</v>
      </c>
      <c r="H637" s="3114">
        <v>138.16999999999999</v>
      </c>
      <c r="I637" s="3115">
        <v>6.5</v>
      </c>
      <c r="J637" s="3114">
        <v>138.16999999999999</v>
      </c>
    </row>
    <row r="638" spans="1:10" s="3125" customFormat="1" ht="15">
      <c r="A638" s="3154">
        <v>634</v>
      </c>
      <c r="B638" s="3115" t="s">
        <v>7414</v>
      </c>
      <c r="C638" s="3115">
        <v>30</v>
      </c>
      <c r="D638" s="3156" t="s">
        <v>6381</v>
      </c>
      <c r="E638" s="3126" t="s">
        <v>7600</v>
      </c>
      <c r="F638" s="3159" t="s">
        <v>7868</v>
      </c>
      <c r="G638" s="3115">
        <v>6.5</v>
      </c>
      <c r="H638" s="3114">
        <v>138.16999999999999</v>
      </c>
      <c r="I638" s="3115">
        <v>6.5</v>
      </c>
      <c r="J638" s="3114">
        <v>138.16999999999999</v>
      </c>
    </row>
    <row r="639" spans="1:10" s="3125" customFormat="1" ht="15">
      <c r="A639" s="3154">
        <v>635</v>
      </c>
      <c r="B639" s="3115" t="s">
        <v>7415</v>
      </c>
      <c r="C639" s="3115">
        <v>30</v>
      </c>
      <c r="D639" s="3156" t="s">
        <v>6381</v>
      </c>
      <c r="E639" s="3126" t="s">
        <v>7600</v>
      </c>
      <c r="F639" s="3115" t="s">
        <v>7869</v>
      </c>
      <c r="G639" s="3115">
        <v>6.5</v>
      </c>
      <c r="H639" s="3114">
        <v>138.16999999999999</v>
      </c>
      <c r="I639" s="3115">
        <v>6.5</v>
      </c>
      <c r="J639" s="3114">
        <v>138.16999999999999</v>
      </c>
    </row>
    <row r="640" spans="1:10" s="3125" customFormat="1" ht="15">
      <c r="A640" s="3154">
        <v>636</v>
      </c>
      <c r="B640" s="3115" t="s">
        <v>7416</v>
      </c>
      <c r="C640" s="3115">
        <v>30</v>
      </c>
      <c r="D640" s="3156" t="s">
        <v>6381</v>
      </c>
      <c r="E640" s="3126" t="s">
        <v>7600</v>
      </c>
      <c r="F640" s="3159" t="s">
        <v>7870</v>
      </c>
      <c r="G640" s="3115">
        <v>6.5</v>
      </c>
      <c r="H640" s="3114">
        <v>138.16999999999999</v>
      </c>
      <c r="I640" s="3115">
        <v>6.5</v>
      </c>
      <c r="J640" s="3114">
        <v>138.16999999999999</v>
      </c>
    </row>
    <row r="641" spans="1:10" s="3125" customFormat="1" ht="15">
      <c r="A641" s="3154">
        <v>637</v>
      </c>
      <c r="B641" s="3115" t="s">
        <v>7417</v>
      </c>
      <c r="C641" s="3115">
        <v>30</v>
      </c>
      <c r="D641" s="3156" t="s">
        <v>6381</v>
      </c>
      <c r="E641" s="3126" t="s">
        <v>7600</v>
      </c>
      <c r="F641" s="3115" t="s">
        <v>7871</v>
      </c>
      <c r="G641" s="3115">
        <v>6.5</v>
      </c>
      <c r="H641" s="3114">
        <v>138.16999999999999</v>
      </c>
      <c r="I641" s="3115">
        <v>6.5</v>
      </c>
      <c r="J641" s="3114">
        <v>138.16999999999999</v>
      </c>
    </row>
    <row r="642" spans="1:10" s="3125" customFormat="1" ht="15">
      <c r="A642" s="3154">
        <v>638</v>
      </c>
      <c r="B642" s="3115" t="s">
        <v>7418</v>
      </c>
      <c r="C642" s="3115">
        <v>30</v>
      </c>
      <c r="D642" s="3156" t="s">
        <v>6381</v>
      </c>
      <c r="E642" s="3126" t="s">
        <v>7600</v>
      </c>
      <c r="F642" s="3159" t="s">
        <v>7872</v>
      </c>
      <c r="G642" s="3115">
        <v>6.5</v>
      </c>
      <c r="H642" s="3114">
        <v>138.16999999999999</v>
      </c>
      <c r="I642" s="3115">
        <v>6.5</v>
      </c>
      <c r="J642" s="3114">
        <v>138.16999999999999</v>
      </c>
    </row>
    <row r="643" spans="1:10" s="3125" customFormat="1" ht="15">
      <c r="A643" s="3154">
        <v>639</v>
      </c>
      <c r="B643" s="3115" t="s">
        <v>7419</v>
      </c>
      <c r="C643" s="3115">
        <v>30</v>
      </c>
      <c r="D643" s="3156" t="s">
        <v>6381</v>
      </c>
      <c r="E643" s="3126" t="s">
        <v>7600</v>
      </c>
      <c r="F643" s="3115" t="s">
        <v>7873</v>
      </c>
      <c r="G643" s="3115">
        <v>6.5</v>
      </c>
      <c r="H643" s="3114">
        <v>138.16999999999999</v>
      </c>
      <c r="I643" s="3115">
        <v>6.5</v>
      </c>
      <c r="J643" s="3114">
        <v>138.16999999999999</v>
      </c>
    </row>
    <row r="644" spans="1:10" s="3125" customFormat="1" ht="15">
      <c r="A644" s="3154">
        <v>640</v>
      </c>
      <c r="B644" s="3115" t="s">
        <v>7420</v>
      </c>
      <c r="C644" s="3115">
        <v>30</v>
      </c>
      <c r="D644" s="3156" t="s">
        <v>6381</v>
      </c>
      <c r="E644" s="3126" t="s">
        <v>7600</v>
      </c>
      <c r="F644" s="3159" t="s">
        <v>7874</v>
      </c>
      <c r="G644" s="3115">
        <v>6.5</v>
      </c>
      <c r="H644" s="3114">
        <v>138.16999999999999</v>
      </c>
      <c r="I644" s="3115">
        <v>6.5</v>
      </c>
      <c r="J644" s="3114">
        <v>138.16999999999999</v>
      </c>
    </row>
    <row r="645" spans="1:10" s="3125" customFormat="1" ht="15">
      <c r="A645" s="3154">
        <v>641</v>
      </c>
      <c r="B645" s="3115" t="s">
        <v>7421</v>
      </c>
      <c r="C645" s="3115">
        <v>30</v>
      </c>
      <c r="D645" s="3156" t="s">
        <v>6381</v>
      </c>
      <c r="E645" s="3126" t="s">
        <v>7600</v>
      </c>
      <c r="F645" s="3115" t="s">
        <v>7875</v>
      </c>
      <c r="G645" s="3115">
        <v>6.5</v>
      </c>
      <c r="H645" s="3114">
        <v>138.16999999999999</v>
      </c>
      <c r="I645" s="3115">
        <v>6.5</v>
      </c>
      <c r="J645" s="3114">
        <v>138.16999999999999</v>
      </c>
    </row>
    <row r="646" spans="1:10" s="3125" customFormat="1" ht="15">
      <c r="A646" s="3154">
        <v>642</v>
      </c>
      <c r="B646" s="3115" t="s">
        <v>7422</v>
      </c>
      <c r="C646" s="3115">
        <v>30</v>
      </c>
      <c r="D646" s="3156" t="s">
        <v>6381</v>
      </c>
      <c r="E646" s="3126" t="s">
        <v>7600</v>
      </c>
      <c r="F646" s="3159" t="s">
        <v>7876</v>
      </c>
      <c r="G646" s="3115">
        <v>6.5</v>
      </c>
      <c r="H646" s="3114">
        <v>138.16999999999999</v>
      </c>
      <c r="I646" s="3115">
        <v>6.5</v>
      </c>
      <c r="J646" s="3114">
        <v>138.16999999999999</v>
      </c>
    </row>
    <row r="647" spans="1:10" s="3125" customFormat="1" ht="15">
      <c r="A647" s="3154">
        <v>643</v>
      </c>
      <c r="B647" s="3115" t="s">
        <v>7423</v>
      </c>
      <c r="C647" s="3115">
        <v>30</v>
      </c>
      <c r="D647" s="3156" t="s">
        <v>6381</v>
      </c>
      <c r="E647" s="3126" t="s">
        <v>7600</v>
      </c>
      <c r="F647" s="3115" t="s">
        <v>7877</v>
      </c>
      <c r="G647" s="3115">
        <v>5.8</v>
      </c>
      <c r="H647" s="3114">
        <v>123.9</v>
      </c>
      <c r="I647" s="3115">
        <v>5.8</v>
      </c>
      <c r="J647" s="3114">
        <v>123.9</v>
      </c>
    </row>
    <row r="648" spans="1:10" s="3125" customFormat="1" ht="15">
      <c r="A648" s="3154">
        <v>644</v>
      </c>
      <c r="B648" s="3115" t="s">
        <v>7424</v>
      </c>
      <c r="C648" s="3115">
        <v>30</v>
      </c>
      <c r="D648" s="3156" t="s">
        <v>6381</v>
      </c>
      <c r="E648" s="3126" t="s">
        <v>6443</v>
      </c>
      <c r="F648" s="3159" t="s">
        <v>7878</v>
      </c>
      <c r="G648" s="3115">
        <v>4.0999999999999996</v>
      </c>
      <c r="H648" s="3114">
        <v>88.18</v>
      </c>
      <c r="I648" s="3115">
        <v>4.0999999999999996</v>
      </c>
      <c r="J648" s="3114">
        <v>88.18</v>
      </c>
    </row>
    <row r="649" spans="1:10" s="3125" customFormat="1" ht="15">
      <c r="A649" s="3154">
        <v>645</v>
      </c>
      <c r="B649" s="3115" t="s">
        <v>7425</v>
      </c>
      <c r="C649" s="3115">
        <v>30</v>
      </c>
      <c r="D649" s="3156" t="s">
        <v>6381</v>
      </c>
      <c r="E649" s="3126" t="s">
        <v>6443</v>
      </c>
      <c r="F649" s="3115" t="s">
        <v>7879</v>
      </c>
      <c r="G649" s="3115">
        <v>4.0999999999999996</v>
      </c>
      <c r="H649" s="3114">
        <v>88.18</v>
      </c>
      <c r="I649" s="3115">
        <v>4.0999999999999996</v>
      </c>
      <c r="J649" s="3114">
        <v>88.18</v>
      </c>
    </row>
    <row r="650" spans="1:10" s="3125" customFormat="1" ht="15">
      <c r="A650" s="3154">
        <v>646</v>
      </c>
      <c r="B650" s="3115" t="s">
        <v>7426</v>
      </c>
      <c r="C650" s="3115">
        <v>30</v>
      </c>
      <c r="D650" s="3156" t="s">
        <v>6381</v>
      </c>
      <c r="E650" s="3126" t="s">
        <v>6443</v>
      </c>
      <c r="F650" s="3159" t="s">
        <v>7880</v>
      </c>
      <c r="G650" s="3115">
        <v>4.0999999999999996</v>
      </c>
      <c r="H650" s="3114">
        <v>88.18</v>
      </c>
      <c r="I650" s="3115">
        <v>4.0999999999999996</v>
      </c>
      <c r="J650" s="3114">
        <v>88.18</v>
      </c>
    </row>
    <row r="651" spans="1:10" s="3125" customFormat="1" ht="15">
      <c r="A651" s="3154">
        <v>647</v>
      </c>
      <c r="B651" s="3115" t="s">
        <v>7427</v>
      </c>
      <c r="C651" s="3115">
        <v>30</v>
      </c>
      <c r="D651" s="3156" t="s">
        <v>6381</v>
      </c>
      <c r="E651" s="3126" t="s">
        <v>6443</v>
      </c>
      <c r="F651" s="3115" t="s">
        <v>7881</v>
      </c>
      <c r="G651" s="3115">
        <v>4.0999999999999996</v>
      </c>
      <c r="H651" s="3114">
        <v>88.18</v>
      </c>
      <c r="I651" s="3115">
        <v>4.0999999999999996</v>
      </c>
      <c r="J651" s="3114">
        <v>88.18</v>
      </c>
    </row>
    <row r="652" spans="1:10" s="3125" customFormat="1" ht="15">
      <c r="A652" s="3154">
        <v>648</v>
      </c>
      <c r="B652" s="3115" t="s">
        <v>7428</v>
      </c>
      <c r="C652" s="3115">
        <v>30</v>
      </c>
      <c r="D652" s="3156" t="s">
        <v>6381</v>
      </c>
      <c r="E652" s="3126" t="s">
        <v>6443</v>
      </c>
      <c r="F652" s="3159" t="s">
        <v>7882</v>
      </c>
      <c r="G652" s="3115">
        <v>4.0999999999999996</v>
      </c>
      <c r="H652" s="3114">
        <v>88.18</v>
      </c>
      <c r="I652" s="3115">
        <v>4.0999999999999996</v>
      </c>
      <c r="J652" s="3114">
        <v>88.18</v>
      </c>
    </row>
    <row r="653" spans="1:10" s="3125" customFormat="1" ht="15">
      <c r="A653" s="3154">
        <v>649</v>
      </c>
      <c r="B653" s="3115" t="s">
        <v>7429</v>
      </c>
      <c r="C653" s="3115">
        <v>30</v>
      </c>
      <c r="D653" s="3156" t="s">
        <v>6381</v>
      </c>
      <c r="E653" s="3126" t="s">
        <v>6443</v>
      </c>
      <c r="F653" s="3115" t="s">
        <v>7883</v>
      </c>
      <c r="G653" s="3115">
        <v>4.0999999999999996</v>
      </c>
      <c r="H653" s="3114">
        <v>88.18</v>
      </c>
      <c r="I653" s="3115">
        <v>4.0999999999999996</v>
      </c>
      <c r="J653" s="3114">
        <v>88.18</v>
      </c>
    </row>
    <row r="654" spans="1:10" s="3125" customFormat="1" ht="15">
      <c r="A654" s="3154">
        <v>650</v>
      </c>
      <c r="B654" s="3115" t="s">
        <v>7430</v>
      </c>
      <c r="C654" s="3115">
        <v>30</v>
      </c>
      <c r="D654" s="3156" t="s">
        <v>6381</v>
      </c>
      <c r="E654" s="3126" t="s">
        <v>6443</v>
      </c>
      <c r="F654" s="3159" t="s">
        <v>7884</v>
      </c>
      <c r="G654" s="3115">
        <v>4.0999999999999996</v>
      </c>
      <c r="H654" s="3114">
        <v>88.18</v>
      </c>
      <c r="I654" s="3115">
        <v>4.0999999999999996</v>
      </c>
      <c r="J654" s="3114">
        <v>88.18</v>
      </c>
    </row>
    <row r="655" spans="1:10" s="3125" customFormat="1" ht="15">
      <c r="A655" s="3154">
        <v>651</v>
      </c>
      <c r="B655" s="3115" t="s">
        <v>7431</v>
      </c>
      <c r="C655" s="3115">
        <v>30</v>
      </c>
      <c r="D655" s="3156" t="s">
        <v>6381</v>
      </c>
      <c r="E655" s="3126" t="s">
        <v>6443</v>
      </c>
      <c r="F655" s="3115" t="s">
        <v>7885</v>
      </c>
      <c r="G655" s="3115">
        <v>4.0999999999999996</v>
      </c>
      <c r="H655" s="3114">
        <v>88.18</v>
      </c>
      <c r="I655" s="3115">
        <v>4.0999999999999996</v>
      </c>
      <c r="J655" s="3114">
        <v>88.18</v>
      </c>
    </row>
    <row r="656" spans="1:10" s="3125" customFormat="1" ht="15">
      <c r="A656" s="3154">
        <v>652</v>
      </c>
      <c r="B656" s="3115" t="s">
        <v>7432</v>
      </c>
      <c r="C656" s="3115">
        <v>30</v>
      </c>
      <c r="D656" s="3156" t="s">
        <v>6381</v>
      </c>
      <c r="E656" s="3126" t="s">
        <v>6443</v>
      </c>
      <c r="F656" s="3159" t="s">
        <v>7886</v>
      </c>
      <c r="G656" s="3115">
        <v>4.0999999999999996</v>
      </c>
      <c r="H656" s="3114">
        <v>88.18</v>
      </c>
      <c r="I656" s="3115">
        <v>4.0999999999999996</v>
      </c>
      <c r="J656" s="3114">
        <v>88.18</v>
      </c>
    </row>
    <row r="657" spans="1:10" s="3125" customFormat="1" ht="15">
      <c r="A657" s="3154">
        <v>653</v>
      </c>
      <c r="B657" s="3115" t="s">
        <v>7433</v>
      </c>
      <c r="C657" s="3115">
        <v>30</v>
      </c>
      <c r="D657" s="3156" t="s">
        <v>6381</v>
      </c>
      <c r="E657" s="3126" t="s">
        <v>6443</v>
      </c>
      <c r="F657" s="3115" t="s">
        <v>7887</v>
      </c>
      <c r="G657" s="3115">
        <v>4.0999999999999996</v>
      </c>
      <c r="H657" s="3114">
        <v>88.18</v>
      </c>
      <c r="I657" s="3115">
        <v>4.0999999999999996</v>
      </c>
      <c r="J657" s="3114">
        <v>88.18</v>
      </c>
    </row>
    <row r="658" spans="1:10" s="3125" customFormat="1" ht="15">
      <c r="A658" s="3154">
        <v>654</v>
      </c>
      <c r="B658" s="3115" t="s">
        <v>7434</v>
      </c>
      <c r="C658" s="3115">
        <v>30</v>
      </c>
      <c r="D658" s="3156" t="s">
        <v>6381</v>
      </c>
      <c r="E658" s="3126" t="s">
        <v>6443</v>
      </c>
      <c r="F658" s="3159" t="s">
        <v>7888</v>
      </c>
      <c r="G658" s="3115">
        <v>4.0999999999999996</v>
      </c>
      <c r="H658" s="3114">
        <v>88.18</v>
      </c>
      <c r="I658" s="3115">
        <v>4.0999999999999996</v>
      </c>
      <c r="J658" s="3114">
        <v>88.18</v>
      </c>
    </row>
    <row r="659" spans="1:10" s="3125" customFormat="1" ht="15">
      <c r="A659" s="3154">
        <v>655</v>
      </c>
      <c r="B659" s="3115" t="s">
        <v>7435</v>
      </c>
      <c r="C659" s="3115">
        <v>30</v>
      </c>
      <c r="D659" s="3156" t="s">
        <v>6381</v>
      </c>
      <c r="E659" s="3126" t="s">
        <v>6412</v>
      </c>
      <c r="F659" s="3115" t="s">
        <v>7889</v>
      </c>
      <c r="G659" s="3115">
        <v>4.0999999999999996</v>
      </c>
      <c r="H659" s="3114">
        <v>88.18</v>
      </c>
      <c r="I659" s="3115">
        <v>4.0999999999999996</v>
      </c>
      <c r="J659" s="3114">
        <v>88.18</v>
      </c>
    </row>
    <row r="660" spans="1:10" s="3125" customFormat="1" ht="15">
      <c r="A660" s="3154">
        <v>656</v>
      </c>
      <c r="B660" s="3115" t="s">
        <v>7436</v>
      </c>
      <c r="C660" s="3115">
        <v>30</v>
      </c>
      <c r="D660" s="3156" t="s">
        <v>6381</v>
      </c>
      <c r="E660" s="3126" t="s">
        <v>6412</v>
      </c>
      <c r="F660" s="3159" t="s">
        <v>7890</v>
      </c>
      <c r="G660" s="3115">
        <v>4.0999999999999996</v>
      </c>
      <c r="H660" s="3114">
        <v>88.18</v>
      </c>
      <c r="I660" s="3115">
        <v>4.0999999999999996</v>
      </c>
      <c r="J660" s="3114">
        <v>88.18</v>
      </c>
    </row>
    <row r="661" spans="1:10" s="3125" customFormat="1" ht="15">
      <c r="A661" s="3154">
        <v>657</v>
      </c>
      <c r="B661" s="3115" t="s">
        <v>7437</v>
      </c>
      <c r="C661" s="3115">
        <v>30</v>
      </c>
      <c r="D661" s="3156" t="s">
        <v>6381</v>
      </c>
      <c r="E661" s="3126" t="s">
        <v>6443</v>
      </c>
      <c r="F661" s="3115" t="s">
        <v>7891</v>
      </c>
      <c r="G661" s="3115">
        <v>4.0999999999999996</v>
      </c>
      <c r="H661" s="3114">
        <v>88.18</v>
      </c>
      <c r="I661" s="3115">
        <v>4.0999999999999996</v>
      </c>
      <c r="J661" s="3114">
        <v>88.18</v>
      </c>
    </row>
    <row r="662" spans="1:10" s="3125" customFormat="1" ht="15">
      <c r="A662" s="3154">
        <v>658</v>
      </c>
      <c r="B662" s="3115" t="s">
        <v>7438</v>
      </c>
      <c r="C662" s="3115">
        <v>30</v>
      </c>
      <c r="D662" s="3156" t="s">
        <v>6381</v>
      </c>
      <c r="E662" s="3126" t="s">
        <v>6412</v>
      </c>
      <c r="F662" s="3159" t="s">
        <v>7892</v>
      </c>
      <c r="G662" s="3115">
        <v>4.0999999999999996</v>
      </c>
      <c r="H662" s="3114">
        <v>88.18</v>
      </c>
      <c r="I662" s="3115">
        <v>4.0999999999999996</v>
      </c>
      <c r="J662" s="3114">
        <v>88.18</v>
      </c>
    </row>
    <row r="663" spans="1:10" s="3125" customFormat="1" ht="15">
      <c r="A663" s="3154">
        <v>659</v>
      </c>
      <c r="B663" s="3115" t="s">
        <v>7439</v>
      </c>
      <c r="C663" s="3115">
        <v>30</v>
      </c>
      <c r="D663" s="3156" t="s">
        <v>6381</v>
      </c>
      <c r="E663" s="3126" t="s">
        <v>6412</v>
      </c>
      <c r="F663" s="3115" t="s">
        <v>7893</v>
      </c>
      <c r="G663" s="3115">
        <v>4.0999999999999996</v>
      </c>
      <c r="H663" s="3114">
        <v>88.18</v>
      </c>
      <c r="I663" s="3115">
        <v>4.0999999999999996</v>
      </c>
      <c r="J663" s="3114">
        <v>88.18</v>
      </c>
    </row>
    <row r="664" spans="1:10" s="3125" customFormat="1" ht="15">
      <c r="A664" s="3154">
        <v>660</v>
      </c>
      <c r="B664" s="3115" t="s">
        <v>7440</v>
      </c>
      <c r="C664" s="3115">
        <v>30</v>
      </c>
      <c r="D664" s="3156" t="s">
        <v>6381</v>
      </c>
      <c r="E664" s="3126" t="s">
        <v>6412</v>
      </c>
      <c r="F664" s="3159" t="s">
        <v>7894</v>
      </c>
      <c r="G664" s="3115">
        <v>4.0999999999999996</v>
      </c>
      <c r="H664" s="3114">
        <v>88.18</v>
      </c>
      <c r="I664" s="3115">
        <v>4.0999999999999996</v>
      </c>
      <c r="J664" s="3114">
        <v>88.18</v>
      </c>
    </row>
    <row r="665" spans="1:10" s="3125" customFormat="1" ht="15">
      <c r="A665" s="3154">
        <v>661</v>
      </c>
      <c r="B665" s="3115" t="s">
        <v>7441</v>
      </c>
      <c r="C665" s="3115">
        <v>30</v>
      </c>
      <c r="D665" s="3156" t="s">
        <v>6381</v>
      </c>
      <c r="E665" s="3126" t="s">
        <v>6412</v>
      </c>
      <c r="F665" s="3115" t="s">
        <v>7895</v>
      </c>
      <c r="G665" s="3115">
        <v>4.0999999999999996</v>
      </c>
      <c r="H665" s="3114">
        <v>88.18</v>
      </c>
      <c r="I665" s="3115">
        <v>4.0999999999999996</v>
      </c>
      <c r="J665" s="3114">
        <v>88.18</v>
      </c>
    </row>
    <row r="666" spans="1:10" s="3125" customFormat="1" ht="15">
      <c r="A666" s="3154">
        <v>662</v>
      </c>
      <c r="B666" s="3115" t="s">
        <v>7442</v>
      </c>
      <c r="C666" s="3115">
        <v>30</v>
      </c>
      <c r="D666" s="3156" t="s">
        <v>6381</v>
      </c>
      <c r="E666" s="3126" t="s">
        <v>6412</v>
      </c>
      <c r="F666" s="3159" t="s">
        <v>7896</v>
      </c>
      <c r="G666" s="3115">
        <v>4.0999999999999996</v>
      </c>
      <c r="H666" s="3114">
        <v>88.18</v>
      </c>
      <c r="I666" s="3115">
        <v>4.0999999999999996</v>
      </c>
      <c r="J666" s="3114">
        <v>88.18</v>
      </c>
    </row>
    <row r="667" spans="1:10" s="3125" customFormat="1" ht="15">
      <c r="A667" s="3154">
        <v>663</v>
      </c>
      <c r="B667" s="3115" t="s">
        <v>7443</v>
      </c>
      <c r="C667" s="3115">
        <v>30</v>
      </c>
      <c r="D667" s="3156" t="s">
        <v>6381</v>
      </c>
      <c r="E667" s="3126" t="s">
        <v>6412</v>
      </c>
      <c r="F667" s="3115" t="s">
        <v>7897</v>
      </c>
      <c r="G667" s="3115">
        <v>4.0999999999999996</v>
      </c>
      <c r="H667" s="3114">
        <v>88.18</v>
      </c>
      <c r="I667" s="3115">
        <v>4.0999999999999996</v>
      </c>
      <c r="J667" s="3114">
        <v>88.18</v>
      </c>
    </row>
    <row r="668" spans="1:10" s="3125" customFormat="1" ht="15">
      <c r="A668" s="3154">
        <v>664</v>
      </c>
      <c r="B668" s="3115" t="s">
        <v>7444</v>
      </c>
      <c r="C668" s="3115">
        <v>30</v>
      </c>
      <c r="D668" s="3156" t="s">
        <v>6381</v>
      </c>
      <c r="E668" s="3126" t="s">
        <v>6412</v>
      </c>
      <c r="F668" s="3159" t="s">
        <v>7898</v>
      </c>
      <c r="G668" s="3115">
        <v>4.0999999999999996</v>
      </c>
      <c r="H668" s="3114">
        <v>88.18</v>
      </c>
      <c r="I668" s="3115">
        <v>4.0999999999999996</v>
      </c>
      <c r="J668" s="3114">
        <v>88.18</v>
      </c>
    </row>
    <row r="669" spans="1:10" s="3125" customFormat="1" ht="15">
      <c r="A669" s="3154">
        <v>665</v>
      </c>
      <c r="B669" s="3116" t="s">
        <v>7445</v>
      </c>
      <c r="C669" s="3115">
        <v>30</v>
      </c>
      <c r="D669" s="3156" t="s">
        <v>6381</v>
      </c>
      <c r="E669" s="3126" t="s">
        <v>6412</v>
      </c>
      <c r="F669" s="3115" t="s">
        <v>7899</v>
      </c>
      <c r="G669" s="3115">
        <v>4.0999999999999996</v>
      </c>
      <c r="H669" s="3127">
        <v>88.18</v>
      </c>
      <c r="I669" s="3115">
        <v>4.0999999999999996</v>
      </c>
      <c r="J669" s="3127">
        <v>88.18</v>
      </c>
    </row>
    <row r="670" spans="1:10" s="3125" customFormat="1" ht="15">
      <c r="A670" s="3154">
        <v>666</v>
      </c>
      <c r="B670" s="3115" t="s">
        <v>7446</v>
      </c>
      <c r="C670" s="3115">
        <v>30</v>
      </c>
      <c r="D670" s="3156" t="s">
        <v>6381</v>
      </c>
      <c r="E670" s="3126" t="s">
        <v>6412</v>
      </c>
      <c r="F670" s="3159" t="s">
        <v>7900</v>
      </c>
      <c r="G670" s="3115">
        <v>4.0999999999999996</v>
      </c>
      <c r="H670" s="3114">
        <v>88.18</v>
      </c>
      <c r="I670" s="3115">
        <v>4.0999999999999996</v>
      </c>
      <c r="J670" s="3114">
        <v>88.18</v>
      </c>
    </row>
    <row r="671" spans="1:10" s="3125" customFormat="1" ht="15">
      <c r="A671" s="3154">
        <v>667</v>
      </c>
      <c r="B671" s="3115" t="s">
        <v>7447</v>
      </c>
      <c r="C671" s="3115">
        <v>30</v>
      </c>
      <c r="D671" s="3156" t="s">
        <v>6381</v>
      </c>
      <c r="E671" s="3126" t="s">
        <v>6412</v>
      </c>
      <c r="F671" s="3115" t="s">
        <v>7901</v>
      </c>
      <c r="G671" s="3115">
        <v>4.0999999999999996</v>
      </c>
      <c r="H671" s="3114">
        <v>88.18</v>
      </c>
      <c r="I671" s="3115">
        <v>4.0999999999999996</v>
      </c>
      <c r="J671" s="3114">
        <v>88.18</v>
      </c>
    </row>
    <row r="672" spans="1:10" s="3125" customFormat="1" ht="15">
      <c r="A672" s="3154">
        <v>668</v>
      </c>
      <c r="B672" s="3115" t="s">
        <v>7448</v>
      </c>
      <c r="C672" s="3115">
        <v>30</v>
      </c>
      <c r="D672" s="3156" t="s">
        <v>6381</v>
      </c>
      <c r="E672" s="3126" t="s">
        <v>6412</v>
      </c>
      <c r="F672" s="3159" t="s">
        <v>7902</v>
      </c>
      <c r="G672" s="3115">
        <v>4.0999999999999996</v>
      </c>
      <c r="H672" s="3114">
        <v>88.18</v>
      </c>
      <c r="I672" s="3115">
        <v>4.0999999999999996</v>
      </c>
      <c r="J672" s="3114">
        <v>88.18</v>
      </c>
    </row>
    <row r="673" spans="1:10" s="3125" customFormat="1" ht="15">
      <c r="A673" s="3154">
        <v>669</v>
      </c>
      <c r="B673" s="3115" t="s">
        <v>7449</v>
      </c>
      <c r="C673" s="3115">
        <v>30</v>
      </c>
      <c r="D673" s="3156" t="s">
        <v>6381</v>
      </c>
      <c r="E673" s="3126" t="s">
        <v>6407</v>
      </c>
      <c r="F673" s="3115" t="s">
        <v>7903</v>
      </c>
      <c r="G673" s="3115">
        <v>4.0999999999999996</v>
      </c>
      <c r="H673" s="3114">
        <v>88.18</v>
      </c>
      <c r="I673" s="3115">
        <v>4.0999999999999996</v>
      </c>
      <c r="J673" s="3114">
        <v>88.18</v>
      </c>
    </row>
    <row r="674" spans="1:10" s="3125" customFormat="1" ht="15">
      <c r="A674" s="3154">
        <v>670</v>
      </c>
      <c r="B674" s="3115" t="s">
        <v>7450</v>
      </c>
      <c r="C674" s="3115">
        <v>30</v>
      </c>
      <c r="D674" s="3156" t="s">
        <v>6381</v>
      </c>
      <c r="E674" s="3126" t="s">
        <v>6407</v>
      </c>
      <c r="F674" s="3159" t="s">
        <v>7904</v>
      </c>
      <c r="G674" s="3115">
        <v>4.0999999999999996</v>
      </c>
      <c r="H674" s="3114">
        <v>88.18</v>
      </c>
      <c r="I674" s="3115">
        <v>4.0999999999999996</v>
      </c>
      <c r="J674" s="3114">
        <v>88.18</v>
      </c>
    </row>
    <row r="675" spans="1:10" s="3125" customFormat="1" ht="15">
      <c r="A675" s="3154">
        <v>671</v>
      </c>
      <c r="B675" s="3115" t="s">
        <v>7451</v>
      </c>
      <c r="C675" s="3115">
        <v>30</v>
      </c>
      <c r="D675" s="3156" t="s">
        <v>6381</v>
      </c>
      <c r="E675" s="3126" t="s">
        <v>6407</v>
      </c>
      <c r="F675" s="3115" t="s">
        <v>7905</v>
      </c>
      <c r="G675" s="3115">
        <v>4.0999999999999996</v>
      </c>
      <c r="H675" s="3114">
        <v>88.18</v>
      </c>
      <c r="I675" s="3115">
        <v>4.0999999999999996</v>
      </c>
      <c r="J675" s="3114">
        <v>88.18</v>
      </c>
    </row>
    <row r="676" spans="1:10" s="3125" customFormat="1" ht="15">
      <c r="A676" s="3154">
        <v>672</v>
      </c>
      <c r="B676" s="3115" t="s">
        <v>7452</v>
      </c>
      <c r="C676" s="3115">
        <v>30</v>
      </c>
      <c r="D676" s="3156" t="s">
        <v>6381</v>
      </c>
      <c r="E676" s="3126" t="s">
        <v>6407</v>
      </c>
      <c r="F676" s="3159" t="s">
        <v>7906</v>
      </c>
      <c r="G676" s="3115">
        <v>4.0999999999999996</v>
      </c>
      <c r="H676" s="3114">
        <v>88.18</v>
      </c>
      <c r="I676" s="3115">
        <v>4.0999999999999996</v>
      </c>
      <c r="J676" s="3114">
        <v>88.18</v>
      </c>
    </row>
    <row r="677" spans="1:10" s="3125" customFormat="1" ht="15">
      <c r="A677" s="3154">
        <v>673</v>
      </c>
      <c r="B677" s="3115" t="s">
        <v>7453</v>
      </c>
      <c r="C677" s="3115">
        <v>30</v>
      </c>
      <c r="D677" s="3156" t="s">
        <v>6381</v>
      </c>
      <c r="E677" s="3126" t="s">
        <v>6407</v>
      </c>
      <c r="F677" s="3115" t="s">
        <v>7907</v>
      </c>
      <c r="G677" s="3115">
        <v>4.0999999999999996</v>
      </c>
      <c r="H677" s="3114">
        <v>88.31</v>
      </c>
      <c r="I677" s="3115">
        <v>4.0999999999999996</v>
      </c>
      <c r="J677" s="3114">
        <v>88.31</v>
      </c>
    </row>
    <row r="678" spans="1:10" s="3125" customFormat="1" ht="15">
      <c r="A678" s="3154">
        <v>674</v>
      </c>
      <c r="B678" s="3115" t="s">
        <v>7454</v>
      </c>
      <c r="C678" s="3115">
        <v>30</v>
      </c>
      <c r="D678" s="3156" t="s">
        <v>6381</v>
      </c>
      <c r="E678" s="3126" t="s">
        <v>6407</v>
      </c>
      <c r="F678" s="3159" t="s">
        <v>7908</v>
      </c>
      <c r="G678" s="3115">
        <v>4.0999999999999996</v>
      </c>
      <c r="H678" s="3114">
        <v>88.31</v>
      </c>
      <c r="I678" s="3115">
        <v>4.0999999999999996</v>
      </c>
      <c r="J678" s="3114">
        <v>88.31</v>
      </c>
    </row>
    <row r="679" spans="1:10" s="3125" customFormat="1" ht="15">
      <c r="A679" s="3154">
        <v>675</v>
      </c>
      <c r="B679" s="3115" t="s">
        <v>7455</v>
      </c>
      <c r="C679" s="3115">
        <v>30</v>
      </c>
      <c r="D679" s="3156" t="s">
        <v>6381</v>
      </c>
      <c r="E679" s="3126" t="s">
        <v>6407</v>
      </c>
      <c r="F679" s="3115" t="s">
        <v>7909</v>
      </c>
      <c r="G679" s="3115">
        <v>4.0999999999999996</v>
      </c>
      <c r="H679" s="3114">
        <v>88.31</v>
      </c>
      <c r="I679" s="3115">
        <v>4.0999999999999996</v>
      </c>
      <c r="J679" s="3114">
        <v>88.31</v>
      </c>
    </row>
    <row r="680" spans="1:10" s="3125" customFormat="1" ht="15">
      <c r="A680" s="3154">
        <v>676</v>
      </c>
      <c r="B680" s="3115" t="s">
        <v>7456</v>
      </c>
      <c r="C680" s="3115">
        <v>30</v>
      </c>
      <c r="D680" s="3156" t="s">
        <v>6381</v>
      </c>
      <c r="E680" s="3126" t="s">
        <v>6407</v>
      </c>
      <c r="F680" s="3159" t="s">
        <v>7910</v>
      </c>
      <c r="G680" s="3115">
        <v>4.0999999999999996</v>
      </c>
      <c r="H680" s="3114">
        <v>88.31</v>
      </c>
      <c r="I680" s="3115">
        <v>4.0999999999999996</v>
      </c>
      <c r="J680" s="3114">
        <v>88.31</v>
      </c>
    </row>
    <row r="681" spans="1:10" s="3125" customFormat="1" ht="15">
      <c r="A681" s="3154">
        <v>677</v>
      </c>
      <c r="B681" s="3115" t="s">
        <v>7457</v>
      </c>
      <c r="C681" s="3115">
        <v>30</v>
      </c>
      <c r="D681" s="3156" t="s">
        <v>6381</v>
      </c>
      <c r="E681" s="3126" t="s">
        <v>6407</v>
      </c>
      <c r="F681" s="3115" t="s">
        <v>7911</v>
      </c>
      <c r="G681" s="3115">
        <v>4.0999999999999996</v>
      </c>
      <c r="H681" s="3114">
        <v>88.31</v>
      </c>
      <c r="I681" s="3115">
        <v>4.0999999999999996</v>
      </c>
      <c r="J681" s="3114">
        <v>88.31</v>
      </c>
    </row>
    <row r="682" spans="1:10" s="3125" customFormat="1" ht="15">
      <c r="A682" s="3154">
        <v>678</v>
      </c>
      <c r="B682" s="3115" t="s">
        <v>7458</v>
      </c>
      <c r="C682" s="3115">
        <v>30</v>
      </c>
      <c r="D682" s="3156" t="s">
        <v>6381</v>
      </c>
      <c r="E682" s="3126" t="s">
        <v>6407</v>
      </c>
      <c r="F682" s="3159" t="s">
        <v>7912</v>
      </c>
      <c r="G682" s="3115">
        <v>4.0999999999999996</v>
      </c>
      <c r="H682" s="3114">
        <v>88.31</v>
      </c>
      <c r="I682" s="3115">
        <v>4.0999999999999996</v>
      </c>
      <c r="J682" s="3114">
        <v>88.31</v>
      </c>
    </row>
    <row r="683" spans="1:10" s="3125" customFormat="1" ht="15">
      <c r="A683" s="3154">
        <v>679</v>
      </c>
      <c r="B683" s="3115" t="s">
        <v>7459</v>
      </c>
      <c r="C683" s="3115">
        <v>30</v>
      </c>
      <c r="D683" s="3156" t="s">
        <v>6381</v>
      </c>
      <c r="E683" s="3126" t="s">
        <v>6407</v>
      </c>
      <c r="F683" s="3115" t="s">
        <v>7913</v>
      </c>
      <c r="G683" s="3115">
        <v>4.0999999999999996</v>
      </c>
      <c r="H683" s="3114">
        <v>88.31</v>
      </c>
      <c r="I683" s="3115">
        <v>4.0999999999999996</v>
      </c>
      <c r="J683" s="3114">
        <v>88.31</v>
      </c>
    </row>
    <row r="684" spans="1:10" s="3125" customFormat="1" ht="15">
      <c r="A684" s="3154">
        <v>680</v>
      </c>
      <c r="B684" s="3115" t="s">
        <v>7460</v>
      </c>
      <c r="C684" s="3115">
        <v>30</v>
      </c>
      <c r="D684" s="3156" t="s">
        <v>6381</v>
      </c>
      <c r="E684" s="3126" t="s">
        <v>6407</v>
      </c>
      <c r="F684" s="3159" t="s">
        <v>7914</v>
      </c>
      <c r="G684" s="3115">
        <v>4.0999999999999996</v>
      </c>
      <c r="H684" s="3114">
        <v>88.31</v>
      </c>
      <c r="I684" s="3115">
        <v>4.0999999999999996</v>
      </c>
      <c r="J684" s="3114">
        <v>88.31</v>
      </c>
    </row>
    <row r="685" spans="1:10" s="3125" customFormat="1" ht="15">
      <c r="A685" s="3154">
        <v>681</v>
      </c>
      <c r="B685" s="3115" t="s">
        <v>7461</v>
      </c>
      <c r="C685" s="3115">
        <v>30</v>
      </c>
      <c r="D685" s="3156" t="s">
        <v>6381</v>
      </c>
      <c r="E685" s="3126" t="s">
        <v>6407</v>
      </c>
      <c r="F685" s="3115" t="s">
        <v>7915</v>
      </c>
      <c r="G685" s="3115">
        <v>4.0999999999999996</v>
      </c>
      <c r="H685" s="3114">
        <v>88.31</v>
      </c>
      <c r="I685" s="3115">
        <v>4.0999999999999996</v>
      </c>
      <c r="J685" s="3114">
        <v>88.31</v>
      </c>
    </row>
    <row r="686" spans="1:10" s="3125" customFormat="1" ht="15">
      <c r="A686" s="3154">
        <v>682</v>
      </c>
      <c r="B686" s="3115" t="s">
        <v>7462</v>
      </c>
      <c r="C686" s="3115">
        <v>30</v>
      </c>
      <c r="D686" s="3156" t="s">
        <v>6381</v>
      </c>
      <c r="E686" s="3126" t="s">
        <v>6407</v>
      </c>
      <c r="F686" s="3159" t="s">
        <v>7916</v>
      </c>
      <c r="G686" s="3115">
        <v>4.0999999999999996</v>
      </c>
      <c r="H686" s="3114">
        <v>88.31</v>
      </c>
      <c r="I686" s="3115">
        <v>4.0999999999999996</v>
      </c>
      <c r="J686" s="3114">
        <v>88.31</v>
      </c>
    </row>
    <row r="687" spans="1:10" s="3125" customFormat="1" ht="15">
      <c r="A687" s="3154">
        <v>683</v>
      </c>
      <c r="B687" s="3115" t="s">
        <v>7463</v>
      </c>
      <c r="C687" s="3115">
        <v>30</v>
      </c>
      <c r="D687" s="3156" t="s">
        <v>6381</v>
      </c>
      <c r="E687" s="3126" t="s">
        <v>6407</v>
      </c>
      <c r="F687" s="3115" t="s">
        <v>7917</v>
      </c>
      <c r="G687" s="3115">
        <v>4.0999999999999996</v>
      </c>
      <c r="H687" s="3114">
        <v>88.31</v>
      </c>
      <c r="I687" s="3115">
        <v>4.0999999999999996</v>
      </c>
      <c r="J687" s="3114">
        <v>88.31</v>
      </c>
    </row>
    <row r="688" spans="1:10" s="3125" customFormat="1" ht="15">
      <c r="A688" s="3154">
        <v>684</v>
      </c>
      <c r="B688" s="3115" t="s">
        <v>7464</v>
      </c>
      <c r="C688" s="3115">
        <v>30</v>
      </c>
      <c r="D688" s="3156" t="s">
        <v>6381</v>
      </c>
      <c r="E688" s="3126" t="s">
        <v>6407</v>
      </c>
      <c r="F688" s="3159" t="s">
        <v>7918</v>
      </c>
      <c r="G688" s="3115">
        <v>4.0999999999999996</v>
      </c>
      <c r="H688" s="3114">
        <v>88.31</v>
      </c>
      <c r="I688" s="3115">
        <v>4.0999999999999996</v>
      </c>
      <c r="J688" s="3114">
        <v>88.31</v>
      </c>
    </row>
    <row r="689" spans="1:10" s="3125" customFormat="1" ht="15">
      <c r="A689" s="3154">
        <v>685</v>
      </c>
      <c r="B689" s="3115" t="s">
        <v>7465</v>
      </c>
      <c r="C689" s="3115">
        <v>30</v>
      </c>
      <c r="D689" s="3156" t="s">
        <v>6381</v>
      </c>
      <c r="E689" s="3126" t="s">
        <v>6407</v>
      </c>
      <c r="F689" s="3115" t="s">
        <v>7919</v>
      </c>
      <c r="G689" s="3115">
        <v>4.0999999999999996</v>
      </c>
      <c r="H689" s="3114">
        <v>88.31</v>
      </c>
      <c r="I689" s="3115">
        <v>4.0999999999999996</v>
      </c>
      <c r="J689" s="3114">
        <v>88.31</v>
      </c>
    </row>
    <row r="690" spans="1:10" s="3125" customFormat="1" ht="15">
      <c r="A690" s="3154">
        <v>686</v>
      </c>
      <c r="B690" s="3115" t="s">
        <v>7466</v>
      </c>
      <c r="C690" s="3115">
        <v>30</v>
      </c>
      <c r="D690" s="3156" t="s">
        <v>6381</v>
      </c>
      <c r="E690" s="3126" t="s">
        <v>6407</v>
      </c>
      <c r="F690" s="3159" t="s">
        <v>7920</v>
      </c>
      <c r="G690" s="3115">
        <v>4.0999999999999996</v>
      </c>
      <c r="H690" s="3114">
        <v>88.31</v>
      </c>
      <c r="I690" s="3115">
        <v>4.0999999999999996</v>
      </c>
      <c r="J690" s="3114">
        <v>88.31</v>
      </c>
    </row>
    <row r="691" spans="1:10" s="3125" customFormat="1" ht="15">
      <c r="A691" s="3154">
        <v>687</v>
      </c>
      <c r="B691" s="3115" t="s">
        <v>7467</v>
      </c>
      <c r="C691" s="3115">
        <v>30</v>
      </c>
      <c r="D691" s="3156" t="s">
        <v>6381</v>
      </c>
      <c r="E691" s="3126" t="s">
        <v>6407</v>
      </c>
      <c r="F691" s="3115" t="s">
        <v>7921</v>
      </c>
      <c r="G691" s="3115">
        <v>4.0999999999999996</v>
      </c>
      <c r="H691" s="3114">
        <v>88.31</v>
      </c>
      <c r="I691" s="3115">
        <v>4.0999999999999996</v>
      </c>
      <c r="J691" s="3114">
        <v>88.31</v>
      </c>
    </row>
    <row r="692" spans="1:10" s="3125" customFormat="1" ht="15">
      <c r="A692" s="3154">
        <v>688</v>
      </c>
      <c r="B692" s="3115" t="s">
        <v>7468</v>
      </c>
      <c r="C692" s="3115">
        <v>30</v>
      </c>
      <c r="D692" s="3156" t="s">
        <v>6381</v>
      </c>
      <c r="E692" s="3126" t="s">
        <v>6407</v>
      </c>
      <c r="F692" s="3159" t="s">
        <v>7922</v>
      </c>
      <c r="G692" s="3115">
        <v>4.0999999999999996</v>
      </c>
      <c r="H692" s="3114">
        <v>88.31</v>
      </c>
      <c r="I692" s="3115">
        <v>4.0999999999999996</v>
      </c>
      <c r="J692" s="3114">
        <v>88.31</v>
      </c>
    </row>
    <row r="693" spans="1:10" s="3125" customFormat="1" ht="15">
      <c r="A693" s="3154">
        <v>689</v>
      </c>
      <c r="B693" s="3115" t="s">
        <v>7469</v>
      </c>
      <c r="C693" s="3115">
        <v>30</v>
      </c>
      <c r="D693" s="3156" t="s">
        <v>6381</v>
      </c>
      <c r="E693" s="3126" t="s">
        <v>6407</v>
      </c>
      <c r="F693" s="3115" t="s">
        <v>7923</v>
      </c>
      <c r="G693" s="3115">
        <v>4.0999999999999996</v>
      </c>
      <c r="H693" s="3114">
        <v>88.31</v>
      </c>
      <c r="I693" s="3115">
        <v>4.0999999999999996</v>
      </c>
      <c r="J693" s="3114">
        <v>88.31</v>
      </c>
    </row>
    <row r="694" spans="1:10" s="3125" customFormat="1" ht="15">
      <c r="A694" s="3154">
        <v>690</v>
      </c>
      <c r="B694" s="3115" t="s">
        <v>7470</v>
      </c>
      <c r="C694" s="3115">
        <v>30</v>
      </c>
      <c r="D694" s="3156" t="s">
        <v>6381</v>
      </c>
      <c r="E694" s="3126" t="s">
        <v>6407</v>
      </c>
      <c r="F694" s="3159" t="s">
        <v>7924</v>
      </c>
      <c r="G694" s="3115">
        <v>4.0999999999999996</v>
      </c>
      <c r="H694" s="3114">
        <v>88.31</v>
      </c>
      <c r="I694" s="3115">
        <v>4.0999999999999996</v>
      </c>
      <c r="J694" s="3114">
        <v>88.31</v>
      </c>
    </row>
    <row r="695" spans="1:10" s="3125" customFormat="1" ht="15">
      <c r="A695" s="3154">
        <v>691</v>
      </c>
      <c r="B695" s="3115" t="s">
        <v>7471</v>
      </c>
      <c r="C695" s="3115">
        <v>30</v>
      </c>
      <c r="D695" s="3156" t="s">
        <v>6381</v>
      </c>
      <c r="E695" s="3126" t="s">
        <v>6407</v>
      </c>
      <c r="F695" s="3115" t="s">
        <v>7925</v>
      </c>
      <c r="G695" s="3115">
        <v>4.0999999999999996</v>
      </c>
      <c r="H695" s="3114">
        <v>88.31</v>
      </c>
      <c r="I695" s="3115">
        <v>4.0999999999999996</v>
      </c>
      <c r="J695" s="3114">
        <v>88.31</v>
      </c>
    </row>
    <row r="696" spans="1:10" s="3125" customFormat="1" ht="15">
      <c r="A696" s="3154">
        <v>692</v>
      </c>
      <c r="B696" s="3115" t="s">
        <v>7472</v>
      </c>
      <c r="C696" s="3115">
        <v>30</v>
      </c>
      <c r="D696" s="3156" t="s">
        <v>6381</v>
      </c>
      <c r="E696" s="3126" t="s">
        <v>6407</v>
      </c>
      <c r="F696" s="3159" t="s">
        <v>7926</v>
      </c>
      <c r="G696" s="3115">
        <v>4.0999999999999996</v>
      </c>
      <c r="H696" s="3114">
        <v>88.31</v>
      </c>
      <c r="I696" s="3115">
        <v>4.0999999999999996</v>
      </c>
      <c r="J696" s="3114">
        <v>88.31</v>
      </c>
    </row>
    <row r="697" spans="1:10" s="3125" customFormat="1" ht="15">
      <c r="A697" s="3154">
        <v>693</v>
      </c>
      <c r="B697" s="3115" t="s">
        <v>7473</v>
      </c>
      <c r="C697" s="3115">
        <v>30</v>
      </c>
      <c r="D697" s="3156" t="s">
        <v>6381</v>
      </c>
      <c r="E697" s="3126" t="s">
        <v>6407</v>
      </c>
      <c r="F697" s="3115" t="s">
        <v>7927</v>
      </c>
      <c r="G697" s="3115">
        <v>4.0999999999999996</v>
      </c>
      <c r="H697" s="3114">
        <v>88.31</v>
      </c>
      <c r="I697" s="3115">
        <v>4.0999999999999996</v>
      </c>
      <c r="J697" s="3114">
        <v>88.31</v>
      </c>
    </row>
    <row r="698" spans="1:10" s="3125" customFormat="1" ht="15">
      <c r="A698" s="3154">
        <v>694</v>
      </c>
      <c r="B698" s="3115" t="s">
        <v>7474</v>
      </c>
      <c r="C698" s="3115">
        <v>30</v>
      </c>
      <c r="D698" s="3156" t="s">
        <v>6381</v>
      </c>
      <c r="E698" s="3126" t="s">
        <v>6407</v>
      </c>
      <c r="F698" s="3159" t="s">
        <v>7928</v>
      </c>
      <c r="G698" s="3115">
        <v>4.0999999999999996</v>
      </c>
      <c r="H698" s="3114">
        <v>88.31</v>
      </c>
      <c r="I698" s="3115">
        <v>4.0999999999999996</v>
      </c>
      <c r="J698" s="3114">
        <v>88.31</v>
      </c>
    </row>
    <row r="699" spans="1:10" s="3125" customFormat="1" ht="15">
      <c r="A699" s="3154">
        <v>695</v>
      </c>
      <c r="B699" s="3115" t="s">
        <v>7475</v>
      </c>
      <c r="C699" s="3115">
        <v>30</v>
      </c>
      <c r="D699" s="3156" t="s">
        <v>6381</v>
      </c>
      <c r="E699" s="3126" t="s">
        <v>6407</v>
      </c>
      <c r="F699" s="3115" t="s">
        <v>7929</v>
      </c>
      <c r="G699" s="3115">
        <v>4.0999999999999996</v>
      </c>
      <c r="H699" s="3114">
        <v>88.31</v>
      </c>
      <c r="I699" s="3115">
        <v>4.0999999999999996</v>
      </c>
      <c r="J699" s="3114">
        <v>88.31</v>
      </c>
    </row>
    <row r="700" spans="1:10" s="3125" customFormat="1" ht="15">
      <c r="A700" s="3154">
        <v>696</v>
      </c>
      <c r="B700" s="3115" t="s">
        <v>7476</v>
      </c>
      <c r="C700" s="3115">
        <v>30</v>
      </c>
      <c r="D700" s="3156" t="s">
        <v>6381</v>
      </c>
      <c r="E700" s="3126" t="s">
        <v>6481</v>
      </c>
      <c r="F700" s="3159" t="s">
        <v>7930</v>
      </c>
      <c r="G700" s="3115">
        <v>4.0999999999999996</v>
      </c>
      <c r="H700" s="3114">
        <v>88.31</v>
      </c>
      <c r="I700" s="3115">
        <v>4.0999999999999996</v>
      </c>
      <c r="J700" s="3114">
        <v>88.31</v>
      </c>
    </row>
    <row r="701" spans="1:10" s="3125" customFormat="1" ht="15">
      <c r="A701" s="3154">
        <v>697</v>
      </c>
      <c r="B701" s="3115" t="s">
        <v>7477</v>
      </c>
      <c r="C701" s="3115">
        <v>30</v>
      </c>
      <c r="D701" s="3156" t="s">
        <v>6381</v>
      </c>
      <c r="E701" s="3126" t="s">
        <v>6481</v>
      </c>
      <c r="F701" s="3115" t="s">
        <v>7931</v>
      </c>
      <c r="G701" s="3115">
        <v>4.0999999999999996</v>
      </c>
      <c r="H701" s="3114">
        <v>88.31</v>
      </c>
      <c r="I701" s="3115">
        <v>4.0999999999999996</v>
      </c>
      <c r="J701" s="3114">
        <v>88.31</v>
      </c>
    </row>
    <row r="702" spans="1:10" s="3125" customFormat="1" ht="15">
      <c r="A702" s="3154">
        <v>698</v>
      </c>
      <c r="B702" s="3115" t="s">
        <v>7478</v>
      </c>
      <c r="C702" s="3115">
        <v>30</v>
      </c>
      <c r="D702" s="3156" t="s">
        <v>6381</v>
      </c>
      <c r="E702" s="3126" t="s">
        <v>6481</v>
      </c>
      <c r="F702" s="3159" t="s">
        <v>7932</v>
      </c>
      <c r="G702" s="3115">
        <v>4.0999999999999996</v>
      </c>
      <c r="H702" s="3114">
        <v>88.31</v>
      </c>
      <c r="I702" s="3115">
        <v>4.0999999999999996</v>
      </c>
      <c r="J702" s="3114">
        <v>88.31</v>
      </c>
    </row>
    <row r="703" spans="1:10" s="3125" customFormat="1" ht="15">
      <c r="A703" s="3154">
        <v>699</v>
      </c>
      <c r="B703" s="3115" t="s">
        <v>7479</v>
      </c>
      <c r="C703" s="3115">
        <v>30</v>
      </c>
      <c r="D703" s="3156" t="s">
        <v>6381</v>
      </c>
      <c r="E703" s="3126" t="s">
        <v>6481</v>
      </c>
      <c r="F703" s="3115" t="s">
        <v>7933</v>
      </c>
      <c r="G703" s="3115">
        <v>4.0999999999999996</v>
      </c>
      <c r="H703" s="3114">
        <v>88.31</v>
      </c>
      <c r="I703" s="3115">
        <v>4.0999999999999996</v>
      </c>
      <c r="J703" s="3114">
        <v>88.31</v>
      </c>
    </row>
    <row r="704" spans="1:10" s="3125" customFormat="1" ht="15">
      <c r="A704" s="3154">
        <v>700</v>
      </c>
      <c r="B704" s="3115" t="s">
        <v>7480</v>
      </c>
      <c r="C704" s="3115">
        <v>30</v>
      </c>
      <c r="D704" s="3156" t="s">
        <v>6381</v>
      </c>
      <c r="E704" s="3126" t="s">
        <v>6481</v>
      </c>
      <c r="F704" s="3159" t="s">
        <v>7934</v>
      </c>
      <c r="G704" s="3115">
        <v>4.0999999999999996</v>
      </c>
      <c r="H704" s="3114">
        <v>88.31</v>
      </c>
      <c r="I704" s="3115">
        <v>4.0999999999999996</v>
      </c>
      <c r="J704" s="3114">
        <v>88.31</v>
      </c>
    </row>
    <row r="705" spans="1:10" s="3125" customFormat="1" ht="15">
      <c r="A705" s="3154">
        <v>701</v>
      </c>
      <c r="B705" s="3115" t="s">
        <v>7481</v>
      </c>
      <c r="C705" s="3115">
        <v>30</v>
      </c>
      <c r="D705" s="3156" t="s">
        <v>6381</v>
      </c>
      <c r="E705" s="3126" t="s">
        <v>6481</v>
      </c>
      <c r="F705" s="3115" t="s">
        <v>7935</v>
      </c>
      <c r="G705" s="3115">
        <v>4.0999999999999996</v>
      </c>
      <c r="H705" s="3114">
        <v>88.31</v>
      </c>
      <c r="I705" s="3115">
        <v>4.0999999999999996</v>
      </c>
      <c r="J705" s="3114">
        <v>88.31</v>
      </c>
    </row>
    <row r="706" spans="1:10" s="3125" customFormat="1" ht="15">
      <c r="A706" s="3154">
        <v>702</v>
      </c>
      <c r="B706" s="3115" t="s">
        <v>7482</v>
      </c>
      <c r="C706" s="3115">
        <v>30</v>
      </c>
      <c r="D706" s="3156" t="s">
        <v>6391</v>
      </c>
      <c r="E706" s="3126" t="s">
        <v>6481</v>
      </c>
      <c r="F706" s="3159" t="s">
        <v>7936</v>
      </c>
      <c r="G706" s="3115">
        <v>6.4</v>
      </c>
      <c r="H706" s="3114">
        <v>136.94999999999999</v>
      </c>
      <c r="I706" s="3115">
        <v>6.4</v>
      </c>
      <c r="J706" s="3114">
        <v>136.94999999999999</v>
      </c>
    </row>
    <row r="707" spans="1:10" s="3125" customFormat="1" ht="15">
      <c r="A707" s="3154">
        <v>703</v>
      </c>
      <c r="B707" s="3115" t="s">
        <v>7483</v>
      </c>
      <c r="C707" s="3115">
        <v>30</v>
      </c>
      <c r="D707" s="3156" t="s">
        <v>6391</v>
      </c>
      <c r="E707" s="3126" t="s">
        <v>6481</v>
      </c>
      <c r="F707" s="3115" t="s">
        <v>7937</v>
      </c>
      <c r="G707" s="3115">
        <v>6.4</v>
      </c>
      <c r="H707" s="3114">
        <v>136.94999999999999</v>
      </c>
      <c r="I707" s="3115">
        <v>6.4</v>
      </c>
      <c r="J707" s="3114">
        <v>136.94999999999999</v>
      </c>
    </row>
    <row r="708" spans="1:10" s="3125" customFormat="1" ht="15">
      <c r="A708" s="3154">
        <v>704</v>
      </c>
      <c r="B708" s="3115" t="s">
        <v>7484</v>
      </c>
      <c r="C708" s="3115">
        <v>30</v>
      </c>
      <c r="D708" s="3156" t="s">
        <v>6391</v>
      </c>
      <c r="E708" s="3126" t="s">
        <v>6481</v>
      </c>
      <c r="F708" s="3159" t="s">
        <v>7938</v>
      </c>
      <c r="G708" s="3115">
        <v>6.4</v>
      </c>
      <c r="H708" s="3114">
        <v>136.94999999999999</v>
      </c>
      <c r="I708" s="3115">
        <v>6.4</v>
      </c>
      <c r="J708" s="3114">
        <v>136.94999999999999</v>
      </c>
    </row>
    <row r="709" spans="1:10" s="3125" customFormat="1" ht="15">
      <c r="A709" s="3154">
        <v>705</v>
      </c>
      <c r="B709" s="3115" t="s">
        <v>7485</v>
      </c>
      <c r="C709" s="3115">
        <v>30</v>
      </c>
      <c r="D709" s="3156" t="s">
        <v>6391</v>
      </c>
      <c r="E709" s="3126" t="s">
        <v>6481</v>
      </c>
      <c r="F709" s="3115" t="s">
        <v>7939</v>
      </c>
      <c r="G709" s="3115">
        <v>6.4</v>
      </c>
      <c r="H709" s="3114">
        <v>136.94999999999999</v>
      </c>
      <c r="I709" s="3115">
        <v>6.4</v>
      </c>
      <c r="J709" s="3114">
        <v>136.94999999999999</v>
      </c>
    </row>
    <row r="710" spans="1:10" s="3125" customFormat="1" ht="15">
      <c r="A710" s="3154">
        <v>706</v>
      </c>
      <c r="B710" s="3115" t="s">
        <v>7486</v>
      </c>
      <c r="C710" s="3115">
        <v>30</v>
      </c>
      <c r="D710" s="3156" t="s">
        <v>6391</v>
      </c>
      <c r="E710" s="3126" t="s">
        <v>6481</v>
      </c>
      <c r="F710" s="3159" t="s">
        <v>7940</v>
      </c>
      <c r="G710" s="3115">
        <v>6.4</v>
      </c>
      <c r="H710" s="3114">
        <v>136.94999999999999</v>
      </c>
      <c r="I710" s="3115">
        <v>6.4</v>
      </c>
      <c r="J710" s="3114">
        <v>136.94999999999999</v>
      </c>
    </row>
    <row r="711" spans="1:10" s="3125" customFormat="1" ht="15">
      <c r="A711" s="3154">
        <v>707</v>
      </c>
      <c r="B711" s="3115" t="s">
        <v>7487</v>
      </c>
      <c r="C711" s="3115">
        <v>30</v>
      </c>
      <c r="D711" s="3156" t="s">
        <v>6391</v>
      </c>
      <c r="E711" s="3126" t="s">
        <v>6481</v>
      </c>
      <c r="F711" s="3115" t="s">
        <v>7941</v>
      </c>
      <c r="G711" s="3115">
        <v>6.4</v>
      </c>
      <c r="H711" s="3114">
        <v>136.94999999999999</v>
      </c>
      <c r="I711" s="3115">
        <v>6.4</v>
      </c>
      <c r="J711" s="3114">
        <v>136.94999999999999</v>
      </c>
    </row>
    <row r="712" spans="1:10" s="3125" customFormat="1" ht="15">
      <c r="A712" s="3154">
        <v>708</v>
      </c>
      <c r="B712" s="3115" t="s">
        <v>7488</v>
      </c>
      <c r="C712" s="3115">
        <v>30</v>
      </c>
      <c r="D712" s="3156" t="s">
        <v>6391</v>
      </c>
      <c r="E712" s="3126" t="s">
        <v>6481</v>
      </c>
      <c r="F712" s="3159" t="s">
        <v>7942</v>
      </c>
      <c r="G712" s="3115">
        <v>6.4</v>
      </c>
      <c r="H712" s="3114">
        <v>136.94999999999999</v>
      </c>
      <c r="I712" s="3115">
        <v>6.4</v>
      </c>
      <c r="J712" s="3114">
        <v>136.94999999999999</v>
      </c>
    </row>
    <row r="713" spans="1:10" s="3125" customFormat="1" ht="15">
      <c r="A713" s="3154">
        <v>709</v>
      </c>
      <c r="B713" s="3115" t="s">
        <v>7489</v>
      </c>
      <c r="C713" s="3115">
        <v>30</v>
      </c>
      <c r="D713" s="3156" t="s">
        <v>6391</v>
      </c>
      <c r="E713" s="3126" t="s">
        <v>6481</v>
      </c>
      <c r="F713" s="3115" t="s">
        <v>7943</v>
      </c>
      <c r="G713" s="3115">
        <v>6.4</v>
      </c>
      <c r="H713" s="3114">
        <v>136.94999999999999</v>
      </c>
      <c r="I713" s="3115">
        <v>6.4</v>
      </c>
      <c r="J713" s="3114">
        <v>136.94999999999999</v>
      </c>
    </row>
    <row r="714" spans="1:10" s="3125" customFormat="1" ht="15">
      <c r="A714" s="3154">
        <v>710</v>
      </c>
      <c r="B714" s="3115" t="s">
        <v>7490</v>
      </c>
      <c r="C714" s="3115">
        <v>30</v>
      </c>
      <c r="D714" s="3156" t="s">
        <v>6391</v>
      </c>
      <c r="E714" s="3126" t="s">
        <v>6481</v>
      </c>
      <c r="F714" s="3159" t="s">
        <v>7944</v>
      </c>
      <c r="G714" s="3115">
        <v>6.4</v>
      </c>
      <c r="H714" s="3114">
        <v>136.94999999999999</v>
      </c>
      <c r="I714" s="3115">
        <v>6.4</v>
      </c>
      <c r="J714" s="3114">
        <v>136.94999999999999</v>
      </c>
    </row>
    <row r="715" spans="1:10" s="3125" customFormat="1" ht="15">
      <c r="A715" s="3154">
        <v>711</v>
      </c>
      <c r="B715" s="3115" t="s">
        <v>7491</v>
      </c>
      <c r="C715" s="3115">
        <v>30</v>
      </c>
      <c r="D715" s="3156" t="s">
        <v>6391</v>
      </c>
      <c r="E715" s="3126" t="s">
        <v>6481</v>
      </c>
      <c r="F715" s="3115" t="s">
        <v>7945</v>
      </c>
      <c r="G715" s="3115">
        <v>6.4</v>
      </c>
      <c r="H715" s="3114">
        <v>136.94999999999999</v>
      </c>
      <c r="I715" s="3115">
        <v>6.4</v>
      </c>
      <c r="J715" s="3114">
        <v>136.94999999999999</v>
      </c>
    </row>
    <row r="716" spans="1:10" s="3125" customFormat="1" ht="15">
      <c r="A716" s="3154">
        <v>712</v>
      </c>
      <c r="B716" s="3115" t="s">
        <v>7492</v>
      </c>
      <c r="C716" s="3115">
        <v>30</v>
      </c>
      <c r="D716" s="3156" t="s">
        <v>6391</v>
      </c>
      <c r="E716" s="3126" t="s">
        <v>6481</v>
      </c>
      <c r="F716" s="3159" t="s">
        <v>7946</v>
      </c>
      <c r="G716" s="3115">
        <v>6.4</v>
      </c>
      <c r="H716" s="3114">
        <v>136.94999999999999</v>
      </c>
      <c r="I716" s="3115">
        <v>6.4</v>
      </c>
      <c r="J716" s="3114">
        <v>136.94999999999999</v>
      </c>
    </row>
    <row r="717" spans="1:10" s="3125" customFormat="1" ht="15">
      <c r="A717" s="3154">
        <v>713</v>
      </c>
      <c r="B717" s="3115" t="s">
        <v>7493</v>
      </c>
      <c r="C717" s="3115">
        <v>30</v>
      </c>
      <c r="D717" s="3156" t="s">
        <v>6391</v>
      </c>
      <c r="E717" s="3126" t="s">
        <v>6481</v>
      </c>
      <c r="F717" s="3115" t="s">
        <v>7947</v>
      </c>
      <c r="G717" s="3115">
        <v>6.4</v>
      </c>
      <c r="H717" s="3114">
        <v>136.94999999999999</v>
      </c>
      <c r="I717" s="3115">
        <v>6.4</v>
      </c>
      <c r="J717" s="3114">
        <v>136.94999999999999</v>
      </c>
    </row>
    <row r="718" spans="1:10" s="3125" customFormat="1" ht="15">
      <c r="A718" s="3154">
        <v>714</v>
      </c>
      <c r="B718" s="3115" t="s">
        <v>7494</v>
      </c>
      <c r="C718" s="3115">
        <v>30</v>
      </c>
      <c r="D718" s="3156" t="s">
        <v>6391</v>
      </c>
      <c r="E718" s="3126" t="s">
        <v>6481</v>
      </c>
      <c r="F718" s="3159" t="s">
        <v>7948</v>
      </c>
      <c r="G718" s="3115">
        <v>6.4</v>
      </c>
      <c r="H718" s="3114">
        <v>136.94999999999999</v>
      </c>
      <c r="I718" s="3115">
        <v>6.4</v>
      </c>
      <c r="J718" s="3114">
        <v>136.94999999999999</v>
      </c>
    </row>
    <row r="719" spans="1:10" s="3125" customFormat="1" ht="15">
      <c r="A719" s="3154">
        <v>715</v>
      </c>
      <c r="B719" s="3115" t="s">
        <v>7495</v>
      </c>
      <c r="C719" s="3115">
        <v>30</v>
      </c>
      <c r="D719" s="3156" t="s">
        <v>6391</v>
      </c>
      <c r="E719" s="3126" t="s">
        <v>6481</v>
      </c>
      <c r="F719" s="3115" t="s">
        <v>7949</v>
      </c>
      <c r="G719" s="3115">
        <v>6.4</v>
      </c>
      <c r="H719" s="3114">
        <v>136.94999999999999</v>
      </c>
      <c r="I719" s="3115">
        <v>6.4</v>
      </c>
      <c r="J719" s="3114">
        <v>136.94999999999999</v>
      </c>
    </row>
    <row r="720" spans="1:10" s="3125" customFormat="1" ht="15">
      <c r="A720" s="3154">
        <v>716</v>
      </c>
      <c r="B720" s="3115" t="s">
        <v>7496</v>
      </c>
      <c r="C720" s="3115">
        <v>30</v>
      </c>
      <c r="D720" s="3156" t="s">
        <v>6381</v>
      </c>
      <c r="E720" s="3126" t="s">
        <v>6481</v>
      </c>
      <c r="F720" s="3159" t="s">
        <v>7950</v>
      </c>
      <c r="G720" s="3115">
        <v>3.2</v>
      </c>
      <c r="H720" s="3114">
        <v>68.84</v>
      </c>
      <c r="I720" s="3115">
        <v>3.2</v>
      </c>
      <c r="J720" s="3114">
        <v>68.84</v>
      </c>
    </row>
    <row r="721" spans="1:10" s="3125" customFormat="1" ht="15">
      <c r="A721" s="3154">
        <v>717</v>
      </c>
      <c r="B721" s="3115" t="s">
        <v>7497</v>
      </c>
      <c r="C721" s="3115">
        <v>30</v>
      </c>
      <c r="D721" s="3156" t="s">
        <v>6391</v>
      </c>
      <c r="E721" s="3126" t="s">
        <v>6481</v>
      </c>
      <c r="F721" s="3115" t="s">
        <v>8009</v>
      </c>
      <c r="G721" s="3115">
        <v>6.4</v>
      </c>
      <c r="H721" s="3114">
        <v>136.94999999999999</v>
      </c>
      <c r="I721" s="3115">
        <v>6.4</v>
      </c>
      <c r="J721" s="3114">
        <v>136.94999999999999</v>
      </c>
    </row>
    <row r="722" spans="1:10" s="3125" customFormat="1" ht="15">
      <c r="A722" s="3154">
        <v>718</v>
      </c>
      <c r="B722" s="3115" t="s">
        <v>7498</v>
      </c>
      <c r="C722" s="3115">
        <v>30</v>
      </c>
      <c r="D722" s="3156" t="s">
        <v>6391</v>
      </c>
      <c r="E722" s="3126" t="s">
        <v>6481</v>
      </c>
      <c r="F722" s="3159" t="s">
        <v>8010</v>
      </c>
      <c r="G722" s="3115">
        <v>6.4</v>
      </c>
      <c r="H722" s="3114">
        <v>136.94999999999999</v>
      </c>
      <c r="I722" s="3115">
        <v>6.4</v>
      </c>
      <c r="J722" s="3114">
        <v>136.94999999999999</v>
      </c>
    </row>
    <row r="723" spans="1:10" s="3125" customFormat="1" ht="15">
      <c r="A723" s="3154">
        <v>719</v>
      </c>
      <c r="B723" s="3115" t="s">
        <v>7499</v>
      </c>
      <c r="C723" s="3115">
        <v>30</v>
      </c>
      <c r="D723" s="3156" t="s">
        <v>6391</v>
      </c>
      <c r="E723" s="3126" t="s">
        <v>6481</v>
      </c>
      <c r="F723" s="3115" t="s">
        <v>8011</v>
      </c>
      <c r="G723" s="3115">
        <v>6.4</v>
      </c>
      <c r="H723" s="3114">
        <v>136.94999999999999</v>
      </c>
      <c r="I723" s="3115">
        <v>6.4</v>
      </c>
      <c r="J723" s="3114">
        <v>136.94999999999999</v>
      </c>
    </row>
    <row r="724" spans="1:10" ht="15">
      <c r="A724" s="3154">
        <v>720</v>
      </c>
      <c r="B724" s="3115" t="s">
        <v>7500</v>
      </c>
      <c r="C724" s="3115">
        <v>30</v>
      </c>
      <c r="D724" s="3156" t="s">
        <v>6391</v>
      </c>
      <c r="E724" s="3126" t="s">
        <v>6481</v>
      </c>
      <c r="F724" s="3159" t="s">
        <v>8012</v>
      </c>
      <c r="G724" s="3115">
        <v>6.4</v>
      </c>
      <c r="H724" s="3114">
        <v>136.94999999999999</v>
      </c>
      <c r="I724" s="3115">
        <v>6.4</v>
      </c>
      <c r="J724" s="3114">
        <v>136.94999999999999</v>
      </c>
    </row>
    <row r="725" spans="1:10" ht="15">
      <c r="A725" s="3154">
        <v>721</v>
      </c>
      <c r="B725" s="3115" t="s">
        <v>7501</v>
      </c>
      <c r="C725" s="3115">
        <v>30</v>
      </c>
      <c r="D725" s="3156" t="s">
        <v>6391</v>
      </c>
      <c r="E725" s="3126" t="s">
        <v>6481</v>
      </c>
      <c r="F725" s="3115" t="s">
        <v>8013</v>
      </c>
      <c r="G725" s="3115">
        <v>6.4</v>
      </c>
      <c r="H725" s="3114">
        <v>136.94999999999999</v>
      </c>
      <c r="I725" s="3115">
        <v>6.4</v>
      </c>
      <c r="J725" s="3114">
        <v>136.94999999999999</v>
      </c>
    </row>
    <row r="726" spans="1:10" ht="15">
      <c r="A726" s="3154">
        <v>722</v>
      </c>
      <c r="B726" s="3115" t="s">
        <v>7502</v>
      </c>
      <c r="C726" s="3115">
        <v>30</v>
      </c>
      <c r="D726" s="3156" t="s">
        <v>6391</v>
      </c>
      <c r="E726" s="3126" t="s">
        <v>6481</v>
      </c>
      <c r="F726" s="3159" t="s">
        <v>8014</v>
      </c>
      <c r="G726" s="3115">
        <v>6.4</v>
      </c>
      <c r="H726" s="3114">
        <v>136.94999999999999</v>
      </c>
      <c r="I726" s="3115">
        <v>6.4</v>
      </c>
      <c r="J726" s="3114">
        <v>136.94999999999999</v>
      </c>
    </row>
    <row r="727" spans="1:10" ht="15">
      <c r="A727" s="3154">
        <v>723</v>
      </c>
      <c r="B727" s="3115" t="s">
        <v>7503</v>
      </c>
      <c r="C727" s="3115">
        <v>30</v>
      </c>
      <c r="D727" s="3156" t="s">
        <v>6391</v>
      </c>
      <c r="E727" s="3126" t="s">
        <v>6481</v>
      </c>
      <c r="F727" s="3115" t="s">
        <v>8015</v>
      </c>
      <c r="G727" s="3115">
        <v>6.4</v>
      </c>
      <c r="H727" s="3114">
        <v>136.94999999999999</v>
      </c>
      <c r="I727" s="3115">
        <v>6.4</v>
      </c>
      <c r="J727" s="3114">
        <v>136.94999999999999</v>
      </c>
    </row>
    <row r="728" spans="1:10" ht="15">
      <c r="A728" s="3154">
        <v>724</v>
      </c>
      <c r="B728" s="3115" t="s">
        <v>7504</v>
      </c>
      <c r="C728" s="3115">
        <v>30</v>
      </c>
      <c r="D728" s="3156" t="s">
        <v>6391</v>
      </c>
      <c r="E728" s="3126" t="s">
        <v>6481</v>
      </c>
      <c r="F728" s="3159" t="s">
        <v>8016</v>
      </c>
      <c r="G728" s="3115">
        <v>6.4</v>
      </c>
      <c r="H728" s="3114">
        <v>136.94999999999999</v>
      </c>
      <c r="I728" s="3115">
        <v>6.4</v>
      </c>
      <c r="J728" s="3114">
        <v>136.94999999999999</v>
      </c>
    </row>
    <row r="729" spans="1:10" ht="15">
      <c r="A729" s="3154">
        <v>725</v>
      </c>
      <c r="B729" s="3115" t="s">
        <v>7505</v>
      </c>
      <c r="C729" s="3115">
        <v>30</v>
      </c>
      <c r="D729" s="3156" t="s">
        <v>6391</v>
      </c>
      <c r="E729" s="3126" t="s">
        <v>6481</v>
      </c>
      <c r="F729" s="3115" t="s">
        <v>8017</v>
      </c>
      <c r="G729" s="3115">
        <v>6.4</v>
      </c>
      <c r="H729" s="3114">
        <v>136.94999999999999</v>
      </c>
      <c r="I729" s="3115">
        <v>6.4</v>
      </c>
      <c r="J729" s="3114">
        <v>136.94999999999999</v>
      </c>
    </row>
    <row r="730" spans="1:10" ht="15">
      <c r="A730" s="3154">
        <v>726</v>
      </c>
      <c r="B730" s="3115" t="s">
        <v>7506</v>
      </c>
      <c r="C730" s="3115">
        <v>30</v>
      </c>
      <c r="D730" s="3156" t="s">
        <v>6391</v>
      </c>
      <c r="E730" s="3126" t="s">
        <v>6481</v>
      </c>
      <c r="F730" s="3159" t="s">
        <v>8018</v>
      </c>
      <c r="G730" s="3115">
        <v>6.4</v>
      </c>
      <c r="H730" s="3114">
        <v>136.94999999999999</v>
      </c>
      <c r="I730" s="3115">
        <v>6.4</v>
      </c>
      <c r="J730" s="3114">
        <v>136.94999999999999</v>
      </c>
    </row>
    <row r="731" spans="1:10" ht="15">
      <c r="A731" s="3154">
        <v>727</v>
      </c>
      <c r="B731" s="3115" t="s">
        <v>7507</v>
      </c>
      <c r="C731" s="3115">
        <v>30</v>
      </c>
      <c r="D731" s="3156" t="s">
        <v>6391</v>
      </c>
      <c r="E731" s="3126" t="s">
        <v>6481</v>
      </c>
      <c r="F731" s="3115" t="s">
        <v>8019</v>
      </c>
      <c r="G731" s="3115">
        <v>6.4</v>
      </c>
      <c r="H731" s="3114">
        <v>136.94999999999999</v>
      </c>
      <c r="I731" s="3115">
        <v>6.4</v>
      </c>
      <c r="J731" s="3114">
        <v>136.94999999999999</v>
      </c>
    </row>
    <row r="732" spans="1:10" ht="15">
      <c r="A732" s="3154">
        <v>728</v>
      </c>
      <c r="B732" s="3115" t="s">
        <v>7508</v>
      </c>
      <c r="C732" s="3115">
        <v>30</v>
      </c>
      <c r="D732" s="3156" t="s">
        <v>6391</v>
      </c>
      <c r="E732" s="3126" t="s">
        <v>6481</v>
      </c>
      <c r="F732" s="3159" t="s">
        <v>8020</v>
      </c>
      <c r="G732" s="3115">
        <v>6.4</v>
      </c>
      <c r="H732" s="3114">
        <v>136.94999999999999</v>
      </c>
      <c r="I732" s="3115">
        <v>6.4</v>
      </c>
      <c r="J732" s="3114">
        <v>136.94999999999999</v>
      </c>
    </row>
    <row r="733" spans="1:10" ht="15">
      <c r="A733" s="3154">
        <v>729</v>
      </c>
      <c r="B733" s="3115" t="s">
        <v>7509</v>
      </c>
      <c r="C733" s="3115">
        <v>30</v>
      </c>
      <c r="D733" s="3156" t="s">
        <v>6391</v>
      </c>
      <c r="E733" s="3126" t="s">
        <v>6481</v>
      </c>
      <c r="F733" s="3115" t="s">
        <v>8021</v>
      </c>
      <c r="G733" s="3115">
        <v>6.4</v>
      </c>
      <c r="H733" s="3114">
        <v>136.94999999999999</v>
      </c>
      <c r="I733" s="3115">
        <v>6.4</v>
      </c>
      <c r="J733" s="3114">
        <v>136.94999999999999</v>
      </c>
    </row>
    <row r="734" spans="1:10" ht="15">
      <c r="A734" s="3154">
        <v>730</v>
      </c>
      <c r="B734" s="3115" t="s">
        <v>7510</v>
      </c>
      <c r="C734" s="3115">
        <v>30</v>
      </c>
      <c r="D734" s="3156" t="s">
        <v>6391</v>
      </c>
      <c r="E734" s="3126" t="s">
        <v>6481</v>
      </c>
      <c r="F734" s="3159" t="s">
        <v>8022</v>
      </c>
      <c r="G734" s="3115">
        <v>6.4</v>
      </c>
      <c r="H734" s="3114">
        <v>136.94999999999999</v>
      </c>
      <c r="I734" s="3115">
        <v>6.4</v>
      </c>
      <c r="J734" s="3114">
        <v>136.94999999999999</v>
      </c>
    </row>
    <row r="735" spans="1:10" ht="15">
      <c r="A735" s="3154">
        <v>731</v>
      </c>
      <c r="B735" s="3115" t="s">
        <v>7511</v>
      </c>
      <c r="C735" s="3115">
        <v>30</v>
      </c>
      <c r="D735" s="3156" t="s">
        <v>6381</v>
      </c>
      <c r="E735" s="3126" t="s">
        <v>6481</v>
      </c>
      <c r="F735" s="3115" t="s">
        <v>8023</v>
      </c>
      <c r="G735" s="3115">
        <v>3.2</v>
      </c>
      <c r="H735" s="3114">
        <v>68.84</v>
      </c>
      <c r="I735" s="3115">
        <v>3.2</v>
      </c>
      <c r="J735" s="3114">
        <v>68.84</v>
      </c>
    </row>
    <row r="736" spans="1:10" s="3125" customFormat="1" ht="15">
      <c r="A736" s="3154">
        <v>732</v>
      </c>
      <c r="B736" s="3115" t="s">
        <v>7512</v>
      </c>
      <c r="C736" s="3115">
        <v>30</v>
      </c>
      <c r="D736" s="3156" t="s">
        <v>6381</v>
      </c>
      <c r="E736" s="3126" t="s">
        <v>6481</v>
      </c>
      <c r="F736" s="3159" t="s">
        <v>7951</v>
      </c>
      <c r="G736" s="3115">
        <v>4.0999999999999996</v>
      </c>
      <c r="H736" s="3116">
        <v>88.31</v>
      </c>
      <c r="I736" s="3115">
        <v>4.0999999999999996</v>
      </c>
      <c r="J736" s="3116">
        <v>88.31</v>
      </c>
    </row>
    <row r="737" spans="1:10" ht="15">
      <c r="A737" s="3154">
        <v>733</v>
      </c>
      <c r="B737" s="3115" t="s">
        <v>7513</v>
      </c>
      <c r="C737" s="3115">
        <v>30</v>
      </c>
      <c r="D737" s="3156" t="s">
        <v>6381</v>
      </c>
      <c r="E737" s="3126" t="s">
        <v>6481</v>
      </c>
      <c r="F737" s="3115" t="s">
        <v>7952</v>
      </c>
      <c r="G737" s="3115">
        <v>4.0999999999999996</v>
      </c>
      <c r="H737" s="3116">
        <v>88.31</v>
      </c>
      <c r="I737" s="3115">
        <v>4.0999999999999996</v>
      </c>
      <c r="J737" s="3116">
        <v>88.31</v>
      </c>
    </row>
    <row r="738" spans="1:10" ht="15">
      <c r="A738" s="3154">
        <v>734</v>
      </c>
      <c r="B738" s="3115" t="s">
        <v>7514</v>
      </c>
      <c r="C738" s="3115">
        <v>30</v>
      </c>
      <c r="D738" s="3156" t="s">
        <v>6381</v>
      </c>
      <c r="E738" s="3126" t="s">
        <v>6481</v>
      </c>
      <c r="F738" s="3159" t="s">
        <v>7953</v>
      </c>
      <c r="G738" s="3115">
        <v>4.0999999999999996</v>
      </c>
      <c r="H738" s="3116">
        <v>88.31</v>
      </c>
      <c r="I738" s="3115">
        <v>4.0999999999999996</v>
      </c>
      <c r="J738" s="3116">
        <v>88.31</v>
      </c>
    </row>
    <row r="739" spans="1:10" ht="15">
      <c r="A739" s="3154">
        <v>735</v>
      </c>
      <c r="B739" s="3115" t="s">
        <v>7515</v>
      </c>
      <c r="C739" s="3115">
        <v>30</v>
      </c>
      <c r="D739" s="3156" t="s">
        <v>6381</v>
      </c>
      <c r="E739" s="3126" t="s">
        <v>6481</v>
      </c>
      <c r="F739" s="3115" t="s">
        <v>7954</v>
      </c>
      <c r="G739" s="3115">
        <v>4.0999999999999996</v>
      </c>
      <c r="H739" s="3116">
        <v>88.31</v>
      </c>
      <c r="I739" s="3115">
        <v>4.0999999999999996</v>
      </c>
      <c r="J739" s="3116">
        <v>88.31</v>
      </c>
    </row>
    <row r="740" spans="1:10" ht="15">
      <c r="A740" s="3154">
        <v>736</v>
      </c>
      <c r="B740" s="3115" t="s">
        <v>7516</v>
      </c>
      <c r="C740" s="3115">
        <v>30</v>
      </c>
      <c r="D740" s="3156" t="s">
        <v>6381</v>
      </c>
      <c r="E740" s="3126" t="s">
        <v>6481</v>
      </c>
      <c r="F740" s="3159" t="s">
        <v>7955</v>
      </c>
      <c r="G740" s="3115">
        <v>4.0999999999999996</v>
      </c>
      <c r="H740" s="3116">
        <v>88.31</v>
      </c>
      <c r="I740" s="3115">
        <v>4.0999999999999996</v>
      </c>
      <c r="J740" s="3116">
        <v>88.31</v>
      </c>
    </row>
    <row r="741" spans="1:10" ht="15">
      <c r="A741" s="3154">
        <v>737</v>
      </c>
      <c r="B741" s="3115" t="s">
        <v>7517</v>
      </c>
      <c r="C741" s="3115">
        <v>30</v>
      </c>
      <c r="D741" s="3156" t="s">
        <v>6381</v>
      </c>
      <c r="E741" s="3126" t="s">
        <v>6481</v>
      </c>
      <c r="F741" s="3115" t="s">
        <v>7956</v>
      </c>
      <c r="G741" s="3115">
        <v>4.0999999999999996</v>
      </c>
      <c r="H741" s="3116">
        <v>88.31</v>
      </c>
      <c r="I741" s="3115">
        <v>4.0999999999999996</v>
      </c>
      <c r="J741" s="3116">
        <v>88.31</v>
      </c>
    </row>
    <row r="742" spans="1:10" ht="15">
      <c r="A742" s="3154">
        <v>738</v>
      </c>
      <c r="B742" s="3115" t="s">
        <v>7518</v>
      </c>
      <c r="C742" s="3115">
        <v>30</v>
      </c>
      <c r="D742" s="3156" t="s">
        <v>6381</v>
      </c>
      <c r="E742" s="3126" t="s">
        <v>6481</v>
      </c>
      <c r="F742" s="3159" t="s">
        <v>7957</v>
      </c>
      <c r="G742" s="3115">
        <v>4.0999999999999996</v>
      </c>
      <c r="H742" s="3114">
        <v>88.31</v>
      </c>
      <c r="I742" s="3115">
        <v>4.0999999999999996</v>
      </c>
      <c r="J742" s="3114">
        <v>88.31</v>
      </c>
    </row>
    <row r="743" spans="1:10" ht="15">
      <c r="A743" s="3154">
        <v>739</v>
      </c>
      <c r="B743" s="3115" t="s">
        <v>7519</v>
      </c>
      <c r="C743" s="3115">
        <v>30</v>
      </c>
      <c r="D743" s="3156" t="s">
        <v>6381</v>
      </c>
      <c r="E743" s="3126" t="s">
        <v>6481</v>
      </c>
      <c r="F743" s="3115" t="s">
        <v>7958</v>
      </c>
      <c r="G743" s="3115">
        <v>4.0999999999999996</v>
      </c>
      <c r="H743" s="3114">
        <v>88.31</v>
      </c>
      <c r="I743" s="3115">
        <v>4.0999999999999996</v>
      </c>
      <c r="J743" s="3114">
        <v>88.31</v>
      </c>
    </row>
    <row r="744" spans="1:10" ht="15">
      <c r="A744" s="3154">
        <v>740</v>
      </c>
      <c r="B744" s="3115" t="s">
        <v>7520</v>
      </c>
      <c r="C744" s="3115">
        <v>30</v>
      </c>
      <c r="D744" s="3156" t="s">
        <v>6381</v>
      </c>
      <c r="E744" s="3126" t="s">
        <v>6481</v>
      </c>
      <c r="F744" s="3159" t="s">
        <v>7959</v>
      </c>
      <c r="G744" s="3115">
        <v>4.0999999999999996</v>
      </c>
      <c r="H744" s="3114">
        <v>88.31</v>
      </c>
      <c r="I744" s="3115">
        <v>4.0999999999999996</v>
      </c>
      <c r="J744" s="3114">
        <v>88.31</v>
      </c>
    </row>
    <row r="745" spans="1:10" ht="15">
      <c r="A745" s="3154">
        <v>741</v>
      </c>
      <c r="B745" s="3115" t="s">
        <v>7521</v>
      </c>
      <c r="C745" s="3115">
        <v>30</v>
      </c>
      <c r="D745" s="3156" t="s">
        <v>6381</v>
      </c>
      <c r="E745" s="3126" t="s">
        <v>6481</v>
      </c>
      <c r="F745" s="3115" t="s">
        <v>7960</v>
      </c>
      <c r="G745" s="3115">
        <v>4.0999999999999996</v>
      </c>
      <c r="H745" s="3114">
        <v>88.31</v>
      </c>
      <c r="I745" s="3115">
        <v>4.0999999999999996</v>
      </c>
      <c r="J745" s="3114">
        <v>88.31</v>
      </c>
    </row>
    <row r="746" spans="1:10" ht="15">
      <c r="A746" s="3154">
        <v>742</v>
      </c>
      <c r="B746" s="3115" t="s">
        <v>7522</v>
      </c>
      <c r="C746" s="3115">
        <v>30</v>
      </c>
      <c r="D746" s="3156" t="s">
        <v>6381</v>
      </c>
      <c r="E746" s="3126" t="s">
        <v>6481</v>
      </c>
      <c r="F746" s="3159" t="s">
        <v>7961</v>
      </c>
      <c r="G746" s="3115">
        <v>4.0999999999999996</v>
      </c>
      <c r="H746" s="3114">
        <v>88.31</v>
      </c>
      <c r="I746" s="3115">
        <v>4.0999999999999996</v>
      </c>
      <c r="J746" s="3114">
        <v>88.31</v>
      </c>
    </row>
    <row r="747" spans="1:10" ht="15">
      <c r="A747" s="3154">
        <v>743</v>
      </c>
      <c r="B747" s="3115" t="s">
        <v>7523</v>
      </c>
      <c r="C747" s="3115">
        <v>30</v>
      </c>
      <c r="D747" s="3156" t="s">
        <v>6381</v>
      </c>
      <c r="E747" s="3126" t="s">
        <v>6481</v>
      </c>
      <c r="F747" s="3115" t="s">
        <v>7962</v>
      </c>
      <c r="G747" s="3115">
        <v>4.0999999999999996</v>
      </c>
      <c r="H747" s="3114">
        <v>88.31</v>
      </c>
      <c r="I747" s="3115">
        <v>4.0999999999999996</v>
      </c>
      <c r="J747" s="3114">
        <v>88.31</v>
      </c>
    </row>
    <row r="748" spans="1:10" ht="15">
      <c r="A748" s="3154">
        <v>744</v>
      </c>
      <c r="B748" s="3115" t="s">
        <v>7524</v>
      </c>
      <c r="C748" s="3115">
        <v>30</v>
      </c>
      <c r="D748" s="3156" t="s">
        <v>6381</v>
      </c>
      <c r="E748" s="3126" t="s">
        <v>6481</v>
      </c>
      <c r="F748" s="3159" t="s">
        <v>7963</v>
      </c>
      <c r="G748" s="3115">
        <v>4.0999999999999996</v>
      </c>
      <c r="H748" s="3114">
        <v>88.31</v>
      </c>
      <c r="I748" s="3115">
        <v>4.0999999999999996</v>
      </c>
      <c r="J748" s="3114">
        <v>88.31</v>
      </c>
    </row>
    <row r="749" spans="1:10" ht="15">
      <c r="A749" s="3154">
        <v>745</v>
      </c>
      <c r="B749" s="3115" t="s">
        <v>7525</v>
      </c>
      <c r="C749" s="3115">
        <v>30</v>
      </c>
      <c r="D749" s="3156" t="s">
        <v>6381</v>
      </c>
      <c r="E749" s="3126" t="s">
        <v>6481</v>
      </c>
      <c r="F749" s="3115" t="s">
        <v>7964</v>
      </c>
      <c r="G749" s="3115">
        <v>4.0999999999999996</v>
      </c>
      <c r="H749" s="3114">
        <v>88.31</v>
      </c>
      <c r="I749" s="3115">
        <v>4.0999999999999996</v>
      </c>
      <c r="J749" s="3114">
        <v>88.31</v>
      </c>
    </row>
    <row r="750" spans="1:10" ht="15">
      <c r="A750" s="3154">
        <v>746</v>
      </c>
      <c r="B750" s="3115" t="s">
        <v>7526</v>
      </c>
      <c r="C750" s="3115">
        <v>30</v>
      </c>
      <c r="D750" s="3156" t="s">
        <v>6381</v>
      </c>
      <c r="E750" s="3126" t="s">
        <v>6481</v>
      </c>
      <c r="F750" s="3159" t="s">
        <v>7965</v>
      </c>
      <c r="G750" s="3115">
        <v>4.0999999999999996</v>
      </c>
      <c r="H750" s="3114">
        <v>88.31</v>
      </c>
      <c r="I750" s="3115">
        <v>4.0999999999999996</v>
      </c>
      <c r="J750" s="3114">
        <v>88.31</v>
      </c>
    </row>
    <row r="751" spans="1:10" ht="15">
      <c r="A751" s="3154">
        <v>747</v>
      </c>
      <c r="B751" s="3115" t="s">
        <v>7527</v>
      </c>
      <c r="C751" s="3115">
        <v>30</v>
      </c>
      <c r="D751" s="3156" t="s">
        <v>6381</v>
      </c>
      <c r="E751" s="3126" t="s">
        <v>6481</v>
      </c>
      <c r="F751" s="3115" t="s">
        <v>7966</v>
      </c>
      <c r="G751" s="3115">
        <v>4.0999999999999996</v>
      </c>
      <c r="H751" s="3114">
        <v>88.31</v>
      </c>
      <c r="I751" s="3115">
        <v>4.0999999999999996</v>
      </c>
      <c r="J751" s="3114">
        <v>88.31</v>
      </c>
    </row>
    <row r="752" spans="1:10" ht="15">
      <c r="A752" s="3154">
        <v>748</v>
      </c>
      <c r="B752" s="3115" t="s">
        <v>7528</v>
      </c>
      <c r="C752" s="3115">
        <v>30</v>
      </c>
      <c r="D752" s="3156" t="s">
        <v>6381</v>
      </c>
      <c r="E752" s="3126" t="s">
        <v>6481</v>
      </c>
      <c r="F752" s="3159" t="s">
        <v>7967</v>
      </c>
      <c r="G752" s="3115">
        <v>4.0999999999999996</v>
      </c>
      <c r="H752" s="3114">
        <v>88.31</v>
      </c>
      <c r="I752" s="3115">
        <v>4.0999999999999996</v>
      </c>
      <c r="J752" s="3114">
        <v>88.31</v>
      </c>
    </row>
    <row r="753" spans="1:10" ht="15">
      <c r="A753" s="3154">
        <v>749</v>
      </c>
      <c r="B753" s="3115" t="s">
        <v>7529</v>
      </c>
      <c r="C753" s="3115">
        <v>30</v>
      </c>
      <c r="D753" s="3156" t="s">
        <v>6381</v>
      </c>
      <c r="E753" s="3126" t="s">
        <v>6481</v>
      </c>
      <c r="F753" s="3115" t="s">
        <v>7968</v>
      </c>
      <c r="G753" s="3115">
        <v>4.0999999999999996</v>
      </c>
      <c r="H753" s="3114">
        <v>88.31</v>
      </c>
      <c r="I753" s="3115">
        <v>4.0999999999999996</v>
      </c>
      <c r="J753" s="3114">
        <v>88.31</v>
      </c>
    </row>
    <row r="754" spans="1:10" ht="15">
      <c r="A754" s="3154">
        <v>750</v>
      </c>
      <c r="B754" s="3115" t="s">
        <v>7530</v>
      </c>
      <c r="C754" s="3115">
        <v>30</v>
      </c>
      <c r="D754" s="3156" t="s">
        <v>6381</v>
      </c>
      <c r="E754" s="3126" t="s">
        <v>6481</v>
      </c>
      <c r="F754" s="3159" t="s">
        <v>7969</v>
      </c>
      <c r="G754" s="3115">
        <v>4.0999999999999996</v>
      </c>
      <c r="H754" s="3114">
        <v>88.31</v>
      </c>
      <c r="I754" s="3115">
        <v>4.0999999999999996</v>
      </c>
      <c r="J754" s="3114">
        <v>88.31</v>
      </c>
    </row>
    <row r="755" spans="1:10" ht="15">
      <c r="A755" s="3154">
        <v>751</v>
      </c>
      <c r="B755" s="3115" t="s">
        <v>7531</v>
      </c>
      <c r="C755" s="3115">
        <v>30</v>
      </c>
      <c r="D755" s="3156" t="s">
        <v>6381</v>
      </c>
      <c r="E755" s="3126" t="s">
        <v>6481</v>
      </c>
      <c r="F755" s="3115" t="s">
        <v>7970</v>
      </c>
      <c r="G755" s="3115">
        <v>4.0999999999999996</v>
      </c>
      <c r="H755" s="3114">
        <v>88.31</v>
      </c>
      <c r="I755" s="3115">
        <v>4.0999999999999996</v>
      </c>
      <c r="J755" s="3114">
        <v>88.31</v>
      </c>
    </row>
    <row r="756" spans="1:10" ht="15">
      <c r="A756" s="3154">
        <v>752</v>
      </c>
      <c r="B756" s="3115" t="s">
        <v>7532</v>
      </c>
      <c r="C756" s="3115">
        <v>30</v>
      </c>
      <c r="D756" s="3156" t="s">
        <v>6381</v>
      </c>
      <c r="E756" s="3126" t="s">
        <v>6481</v>
      </c>
      <c r="F756" s="3159" t="s">
        <v>7971</v>
      </c>
      <c r="G756" s="3115">
        <v>4.0999999999999996</v>
      </c>
      <c r="H756" s="3114">
        <v>88.31</v>
      </c>
      <c r="I756" s="3115">
        <v>4.0999999999999996</v>
      </c>
      <c r="J756" s="3114">
        <v>88.31</v>
      </c>
    </row>
    <row r="757" spans="1:10" ht="15">
      <c r="A757" s="3154">
        <v>753</v>
      </c>
      <c r="B757" s="3115" t="s">
        <v>7533</v>
      </c>
      <c r="C757" s="3115">
        <v>30</v>
      </c>
      <c r="D757" s="3156" t="s">
        <v>6381</v>
      </c>
      <c r="E757" s="3126" t="s">
        <v>6481</v>
      </c>
      <c r="F757" s="3115" t="s">
        <v>7972</v>
      </c>
      <c r="G757" s="3115">
        <v>4.0999999999999996</v>
      </c>
      <c r="H757" s="3114">
        <v>88.31</v>
      </c>
      <c r="I757" s="3115">
        <v>4.0999999999999996</v>
      </c>
      <c r="J757" s="3114">
        <v>88.31</v>
      </c>
    </row>
    <row r="758" spans="1:10" ht="15">
      <c r="A758" s="3154">
        <v>754</v>
      </c>
      <c r="B758" s="3115" t="s">
        <v>7534</v>
      </c>
      <c r="C758" s="3115">
        <v>30</v>
      </c>
      <c r="D758" s="3156" t="s">
        <v>6381</v>
      </c>
      <c r="E758" s="3126" t="s">
        <v>6481</v>
      </c>
      <c r="F758" s="3159" t="s">
        <v>7973</v>
      </c>
      <c r="G758" s="3115">
        <v>4.0999999999999996</v>
      </c>
      <c r="H758" s="3114">
        <v>88.31</v>
      </c>
      <c r="I758" s="3115">
        <v>4.0999999999999996</v>
      </c>
      <c r="J758" s="3114">
        <v>88.31</v>
      </c>
    </row>
    <row r="759" spans="1:10" ht="15">
      <c r="A759" s="3154">
        <v>755</v>
      </c>
      <c r="B759" s="3115" t="s">
        <v>7535</v>
      </c>
      <c r="C759" s="3115">
        <v>30</v>
      </c>
      <c r="D759" s="3156" t="s">
        <v>6381</v>
      </c>
      <c r="E759" s="3126" t="s">
        <v>6481</v>
      </c>
      <c r="F759" s="3115" t="s">
        <v>7974</v>
      </c>
      <c r="G759" s="3115">
        <v>4.0999999999999996</v>
      </c>
      <c r="H759" s="3114">
        <v>88.31</v>
      </c>
      <c r="I759" s="3115">
        <v>4.0999999999999996</v>
      </c>
      <c r="J759" s="3114">
        <v>88.31</v>
      </c>
    </row>
    <row r="760" spans="1:10" ht="15">
      <c r="A760" s="3154">
        <v>756</v>
      </c>
      <c r="B760" s="3115" t="s">
        <v>7536</v>
      </c>
      <c r="C760" s="3115">
        <v>30</v>
      </c>
      <c r="D760" s="3156" t="s">
        <v>6381</v>
      </c>
      <c r="E760" s="3126" t="s">
        <v>6481</v>
      </c>
      <c r="F760" s="3159" t="s">
        <v>7975</v>
      </c>
      <c r="G760" s="3115">
        <v>4.0999999999999996</v>
      </c>
      <c r="H760" s="3114">
        <v>88.31</v>
      </c>
      <c r="I760" s="3115">
        <v>4.0999999999999996</v>
      </c>
      <c r="J760" s="3114">
        <v>88.31</v>
      </c>
    </row>
    <row r="761" spans="1:10" ht="15">
      <c r="A761" s="3154">
        <v>757</v>
      </c>
      <c r="B761" s="3115" t="s">
        <v>7537</v>
      </c>
      <c r="C761" s="3115">
        <v>30</v>
      </c>
      <c r="D761" s="3156" t="s">
        <v>6381</v>
      </c>
      <c r="E761" s="3126" t="s">
        <v>6481</v>
      </c>
      <c r="F761" s="3115" t="s">
        <v>7976</v>
      </c>
      <c r="G761" s="3115">
        <v>4.0999999999999996</v>
      </c>
      <c r="H761" s="3114">
        <v>88.31</v>
      </c>
      <c r="I761" s="3115">
        <v>4.0999999999999996</v>
      </c>
      <c r="J761" s="3114">
        <v>88.31</v>
      </c>
    </row>
    <row r="762" spans="1:10" ht="15">
      <c r="A762" s="3154">
        <v>758</v>
      </c>
      <c r="B762" s="3115" t="s">
        <v>7538</v>
      </c>
      <c r="C762" s="3115">
        <v>30</v>
      </c>
      <c r="D762" s="3156" t="s">
        <v>6381</v>
      </c>
      <c r="E762" s="3126" t="s">
        <v>6481</v>
      </c>
      <c r="F762" s="3159" t="s">
        <v>7977</v>
      </c>
      <c r="G762" s="3115">
        <v>4.0999999999999996</v>
      </c>
      <c r="H762" s="3114">
        <v>88.31</v>
      </c>
      <c r="I762" s="3115">
        <v>4.0999999999999996</v>
      </c>
      <c r="J762" s="3114">
        <v>88.31</v>
      </c>
    </row>
    <row r="763" spans="1:10" ht="15">
      <c r="A763" s="3154">
        <v>759</v>
      </c>
      <c r="B763" s="3115" t="s">
        <v>7539</v>
      </c>
      <c r="C763" s="3115">
        <v>30</v>
      </c>
      <c r="D763" s="3156" t="s">
        <v>6381</v>
      </c>
      <c r="E763" s="3126" t="s">
        <v>6481</v>
      </c>
      <c r="F763" s="3115" t="s">
        <v>7978</v>
      </c>
      <c r="G763" s="3115">
        <v>4.0999999999999996</v>
      </c>
      <c r="H763" s="3114">
        <v>88.31</v>
      </c>
      <c r="I763" s="3115">
        <v>4.0999999999999996</v>
      </c>
      <c r="J763" s="3114">
        <v>88.31</v>
      </c>
    </row>
    <row r="764" spans="1:10" ht="15">
      <c r="A764" s="3154">
        <v>760</v>
      </c>
      <c r="B764" s="3115" t="s">
        <v>7540</v>
      </c>
      <c r="C764" s="3115">
        <v>30</v>
      </c>
      <c r="D764" s="3156" t="s">
        <v>6381</v>
      </c>
      <c r="E764" s="3126" t="s">
        <v>6481</v>
      </c>
      <c r="F764" s="3159" t="s">
        <v>7979</v>
      </c>
      <c r="G764" s="3115">
        <v>4.0999999999999996</v>
      </c>
      <c r="H764" s="3114">
        <v>88.31</v>
      </c>
      <c r="I764" s="3115">
        <v>4.0999999999999996</v>
      </c>
      <c r="J764" s="3114">
        <v>88.31</v>
      </c>
    </row>
    <row r="765" spans="1:10" ht="15">
      <c r="A765" s="3154">
        <v>761</v>
      </c>
      <c r="B765" s="3115" t="s">
        <v>7541</v>
      </c>
      <c r="C765" s="3115">
        <v>30</v>
      </c>
      <c r="D765" s="3156" t="s">
        <v>6381</v>
      </c>
      <c r="E765" s="3126" t="s">
        <v>6481</v>
      </c>
      <c r="F765" s="3115" t="s">
        <v>7980</v>
      </c>
      <c r="G765" s="3115">
        <v>4.0999999999999996</v>
      </c>
      <c r="H765" s="3114">
        <v>88.18</v>
      </c>
      <c r="I765" s="3115">
        <v>4.0999999999999996</v>
      </c>
      <c r="J765" s="3114">
        <v>88.18</v>
      </c>
    </row>
    <row r="766" spans="1:10" ht="15">
      <c r="A766" s="3154">
        <v>762</v>
      </c>
      <c r="B766" s="3115" t="s">
        <v>7542</v>
      </c>
      <c r="C766" s="3115">
        <v>30</v>
      </c>
      <c r="D766" s="3156" t="s">
        <v>6381</v>
      </c>
      <c r="E766" s="3126" t="s">
        <v>6481</v>
      </c>
      <c r="F766" s="3159" t="s">
        <v>7981</v>
      </c>
      <c r="G766" s="3115">
        <v>4.0999999999999996</v>
      </c>
      <c r="H766" s="3114">
        <v>88.18</v>
      </c>
      <c r="I766" s="3115">
        <v>4.0999999999999996</v>
      </c>
      <c r="J766" s="3114">
        <v>88.18</v>
      </c>
    </row>
    <row r="767" spans="1:10" ht="15">
      <c r="A767" s="3154">
        <v>763</v>
      </c>
      <c r="B767" s="3115" t="s">
        <v>7543</v>
      </c>
      <c r="C767" s="3115">
        <v>30</v>
      </c>
      <c r="D767" s="3156" t="s">
        <v>6381</v>
      </c>
      <c r="E767" s="3126" t="s">
        <v>6481</v>
      </c>
      <c r="F767" s="3115" t="s">
        <v>7982</v>
      </c>
      <c r="G767" s="3115">
        <v>4.0999999999999996</v>
      </c>
      <c r="H767" s="3114">
        <v>88.18</v>
      </c>
      <c r="I767" s="3115">
        <v>4.0999999999999996</v>
      </c>
      <c r="J767" s="3114">
        <v>88.18</v>
      </c>
    </row>
    <row r="768" spans="1:10" ht="15">
      <c r="A768" s="3154">
        <v>764</v>
      </c>
      <c r="B768" s="3115" t="s">
        <v>7544</v>
      </c>
      <c r="C768" s="3115">
        <v>30</v>
      </c>
      <c r="D768" s="3156" t="s">
        <v>6381</v>
      </c>
      <c r="E768" s="3126" t="s">
        <v>6481</v>
      </c>
      <c r="F768" s="3159" t="s">
        <v>7983</v>
      </c>
      <c r="G768" s="3115">
        <v>4.0999999999999996</v>
      </c>
      <c r="H768" s="3114">
        <v>88.18</v>
      </c>
      <c r="I768" s="3115">
        <v>4.0999999999999996</v>
      </c>
      <c r="J768" s="3114">
        <v>88.18</v>
      </c>
    </row>
    <row r="769" spans="1:10" ht="15">
      <c r="A769" s="3154">
        <v>765</v>
      </c>
      <c r="B769" s="3115" t="s">
        <v>7545</v>
      </c>
      <c r="C769" s="3115">
        <v>30</v>
      </c>
      <c r="D769" s="3156" t="s">
        <v>6381</v>
      </c>
      <c r="E769" s="3126" t="s">
        <v>6481</v>
      </c>
      <c r="F769" s="3115" t="s">
        <v>7984</v>
      </c>
      <c r="G769" s="3115">
        <v>4.0999999999999996</v>
      </c>
      <c r="H769" s="3114">
        <v>88.18</v>
      </c>
      <c r="I769" s="3115">
        <v>4.0999999999999996</v>
      </c>
      <c r="J769" s="3114">
        <v>88.18</v>
      </c>
    </row>
    <row r="770" spans="1:10" ht="15">
      <c r="A770" s="3154">
        <v>766</v>
      </c>
      <c r="B770" s="3115" t="s">
        <v>7546</v>
      </c>
      <c r="C770" s="3115">
        <v>30</v>
      </c>
      <c r="D770" s="3156" t="s">
        <v>6381</v>
      </c>
      <c r="E770" s="3126" t="s">
        <v>6481</v>
      </c>
      <c r="F770" s="3159" t="s">
        <v>7985</v>
      </c>
      <c r="G770" s="3115">
        <v>4.0999999999999996</v>
      </c>
      <c r="H770" s="3114">
        <v>88.18</v>
      </c>
      <c r="I770" s="3115">
        <v>4.0999999999999996</v>
      </c>
      <c r="J770" s="3114">
        <v>88.18</v>
      </c>
    </row>
    <row r="771" spans="1:10" ht="15">
      <c r="A771" s="3154">
        <v>767</v>
      </c>
      <c r="B771" s="3115" t="s">
        <v>7547</v>
      </c>
      <c r="C771" s="3115">
        <v>30</v>
      </c>
      <c r="D771" s="3156" t="s">
        <v>6381</v>
      </c>
      <c r="E771" s="3126" t="s">
        <v>6481</v>
      </c>
      <c r="F771" s="3115" t="s">
        <v>7986</v>
      </c>
      <c r="G771" s="3115">
        <v>4.0999999999999996</v>
      </c>
      <c r="H771" s="3114">
        <v>88.18</v>
      </c>
      <c r="I771" s="3115">
        <v>4.0999999999999996</v>
      </c>
      <c r="J771" s="3114">
        <v>88.18</v>
      </c>
    </row>
    <row r="772" spans="1:10" ht="15">
      <c r="A772" s="3154">
        <v>768</v>
      </c>
      <c r="B772" s="3115" t="s">
        <v>7548</v>
      </c>
      <c r="C772" s="3115">
        <v>30</v>
      </c>
      <c r="D772" s="3156" t="s">
        <v>6381</v>
      </c>
      <c r="E772" s="3126" t="s">
        <v>6481</v>
      </c>
      <c r="F772" s="3159" t="s">
        <v>7987</v>
      </c>
      <c r="G772" s="3115">
        <v>4.0999999999999996</v>
      </c>
      <c r="H772" s="3114">
        <v>88.18</v>
      </c>
      <c r="I772" s="3115">
        <v>4.0999999999999996</v>
      </c>
      <c r="J772" s="3114">
        <v>88.18</v>
      </c>
    </row>
    <row r="773" spans="1:10" ht="15">
      <c r="A773" s="3154">
        <v>769</v>
      </c>
      <c r="B773" s="3115" t="s">
        <v>7549</v>
      </c>
      <c r="C773" s="3115">
        <v>30</v>
      </c>
      <c r="D773" s="3156" t="s">
        <v>6381</v>
      </c>
      <c r="E773" s="3126" t="s">
        <v>6481</v>
      </c>
      <c r="F773" s="3115" t="s">
        <v>7988</v>
      </c>
      <c r="G773" s="3115">
        <v>4.0999999999999996</v>
      </c>
      <c r="H773" s="3114">
        <v>88.18</v>
      </c>
      <c r="I773" s="3115">
        <v>4.0999999999999996</v>
      </c>
      <c r="J773" s="3114">
        <v>88.18</v>
      </c>
    </row>
    <row r="774" spans="1:10" ht="15">
      <c r="A774" s="3154">
        <v>770</v>
      </c>
      <c r="B774" s="3115" t="s">
        <v>7550</v>
      </c>
      <c r="C774" s="3115">
        <v>30</v>
      </c>
      <c r="D774" s="3156" t="s">
        <v>6381</v>
      </c>
      <c r="E774" s="3126" t="s">
        <v>6481</v>
      </c>
      <c r="F774" s="3159" t="s">
        <v>7989</v>
      </c>
      <c r="G774" s="3115">
        <v>4.0999999999999996</v>
      </c>
      <c r="H774" s="3114">
        <v>88.18</v>
      </c>
      <c r="I774" s="3115">
        <v>4.0999999999999996</v>
      </c>
      <c r="J774" s="3114">
        <v>88.18</v>
      </c>
    </row>
    <row r="775" spans="1:10" ht="15">
      <c r="A775" s="3154">
        <v>771</v>
      </c>
      <c r="B775" s="3115" t="s">
        <v>7551</v>
      </c>
      <c r="C775" s="3115">
        <v>30</v>
      </c>
      <c r="D775" s="3156" t="s">
        <v>6381</v>
      </c>
      <c r="E775" s="3126" t="s">
        <v>6481</v>
      </c>
      <c r="F775" s="3115" t="s">
        <v>7990</v>
      </c>
      <c r="G775" s="3115">
        <v>4.0999999999999996</v>
      </c>
      <c r="H775" s="3114">
        <v>88.18</v>
      </c>
      <c r="I775" s="3115">
        <v>4.0999999999999996</v>
      </c>
      <c r="J775" s="3114">
        <v>88.18</v>
      </c>
    </row>
    <row r="776" spans="1:10" ht="15">
      <c r="A776" s="3154">
        <v>772</v>
      </c>
      <c r="B776" s="3115" t="s">
        <v>7552</v>
      </c>
      <c r="C776" s="3115">
        <v>30</v>
      </c>
      <c r="D776" s="3156" t="s">
        <v>6381</v>
      </c>
      <c r="E776" s="3126" t="s">
        <v>6481</v>
      </c>
      <c r="F776" s="3159" t="s">
        <v>7991</v>
      </c>
      <c r="G776" s="3115">
        <v>4.0999999999999996</v>
      </c>
      <c r="H776" s="3114">
        <v>88.18</v>
      </c>
      <c r="I776" s="3115">
        <v>4.0999999999999996</v>
      </c>
      <c r="J776" s="3114">
        <v>88.18</v>
      </c>
    </row>
    <row r="777" spans="1:10" ht="15">
      <c r="A777" s="3154">
        <v>773</v>
      </c>
      <c r="B777" s="3115" t="s">
        <v>7553</v>
      </c>
      <c r="C777" s="3115">
        <v>30</v>
      </c>
      <c r="D777" s="3156" t="s">
        <v>6381</v>
      </c>
      <c r="E777" s="3126" t="s">
        <v>6481</v>
      </c>
      <c r="F777" s="3115" t="s">
        <v>7992</v>
      </c>
      <c r="G777" s="3115">
        <v>4.0999999999999996</v>
      </c>
      <c r="H777" s="3114">
        <v>88.18</v>
      </c>
      <c r="I777" s="3115">
        <v>4.0999999999999996</v>
      </c>
      <c r="J777" s="3114">
        <v>88.18</v>
      </c>
    </row>
    <row r="778" spans="1:10" ht="15">
      <c r="A778" s="3154">
        <v>774</v>
      </c>
      <c r="B778" s="3115" t="s">
        <v>7554</v>
      </c>
      <c r="C778" s="3115">
        <v>30</v>
      </c>
      <c r="D778" s="3156" t="s">
        <v>6381</v>
      </c>
      <c r="E778" s="3126" t="s">
        <v>6481</v>
      </c>
      <c r="F778" s="3159" t="s">
        <v>7993</v>
      </c>
      <c r="G778" s="3115">
        <v>4.0999999999999996</v>
      </c>
      <c r="H778" s="3114">
        <v>88.18</v>
      </c>
      <c r="I778" s="3115">
        <v>4.0999999999999996</v>
      </c>
      <c r="J778" s="3114">
        <v>88.18</v>
      </c>
    </row>
    <row r="779" spans="1:10" ht="15">
      <c r="A779" s="3154">
        <v>775</v>
      </c>
      <c r="B779" s="3115" t="s">
        <v>7555</v>
      </c>
      <c r="C779" s="3115">
        <v>30</v>
      </c>
      <c r="D779" s="3156" t="s">
        <v>6381</v>
      </c>
      <c r="E779" s="3126" t="s">
        <v>6481</v>
      </c>
      <c r="F779" s="3115" t="s">
        <v>7994</v>
      </c>
      <c r="G779" s="3115">
        <v>4.0999999999999996</v>
      </c>
      <c r="H779" s="3114">
        <v>88.18</v>
      </c>
      <c r="I779" s="3115">
        <v>4.0999999999999996</v>
      </c>
      <c r="J779" s="3114">
        <v>88.18</v>
      </c>
    </row>
    <row r="780" spans="1:10" ht="15">
      <c r="A780" s="3154">
        <v>776</v>
      </c>
      <c r="B780" s="3115" t="s">
        <v>7556</v>
      </c>
      <c r="C780" s="3115">
        <v>30</v>
      </c>
      <c r="D780" s="3156" t="s">
        <v>6381</v>
      </c>
      <c r="E780" s="3126" t="s">
        <v>6481</v>
      </c>
      <c r="F780" s="3159" t="s">
        <v>7995</v>
      </c>
      <c r="G780" s="3115">
        <v>4.0999999999999996</v>
      </c>
      <c r="H780" s="3114">
        <v>88.18</v>
      </c>
      <c r="I780" s="3115">
        <v>4.0999999999999996</v>
      </c>
      <c r="J780" s="3114">
        <v>88.18</v>
      </c>
    </row>
    <row r="781" spans="1:10" ht="15">
      <c r="A781" s="3154">
        <v>777</v>
      </c>
      <c r="B781" s="3115" t="s">
        <v>7557</v>
      </c>
      <c r="C781" s="3115">
        <v>30</v>
      </c>
      <c r="D781" s="3156" t="s">
        <v>6381</v>
      </c>
      <c r="E781" s="3126" t="s">
        <v>6481</v>
      </c>
      <c r="F781" s="3115" t="s">
        <v>7996</v>
      </c>
      <c r="G781" s="3115">
        <v>4.0999999999999996</v>
      </c>
      <c r="H781" s="3114">
        <v>88.18</v>
      </c>
      <c r="I781" s="3115">
        <v>4.0999999999999996</v>
      </c>
      <c r="J781" s="3114">
        <v>88.18</v>
      </c>
    </row>
    <row r="782" spans="1:10" ht="15">
      <c r="A782" s="3154">
        <v>778</v>
      </c>
      <c r="B782" s="3115" t="s">
        <v>7558</v>
      </c>
      <c r="C782" s="3115">
        <v>30</v>
      </c>
      <c r="D782" s="3156" t="s">
        <v>6381</v>
      </c>
      <c r="E782" s="3126" t="s">
        <v>6481</v>
      </c>
      <c r="F782" s="3159" t="s">
        <v>7997</v>
      </c>
      <c r="G782" s="3115">
        <v>4.0999999999999996</v>
      </c>
      <c r="H782" s="3114">
        <v>88.18</v>
      </c>
      <c r="I782" s="3115">
        <v>4.0999999999999996</v>
      </c>
      <c r="J782" s="3114">
        <v>88.18</v>
      </c>
    </row>
    <row r="783" spans="1:10" ht="15">
      <c r="A783" s="3154">
        <v>779</v>
      </c>
      <c r="B783" s="3115" t="s">
        <v>7559</v>
      </c>
      <c r="C783" s="3115">
        <v>30</v>
      </c>
      <c r="D783" s="3156" t="s">
        <v>6381</v>
      </c>
      <c r="E783" s="3126" t="s">
        <v>6481</v>
      </c>
      <c r="F783" s="3115" t="s">
        <v>7998</v>
      </c>
      <c r="G783" s="3115">
        <v>4.0999999999999996</v>
      </c>
      <c r="H783" s="3114">
        <v>88.18</v>
      </c>
      <c r="I783" s="3115">
        <v>4.0999999999999996</v>
      </c>
      <c r="J783" s="3114">
        <v>88.18</v>
      </c>
    </row>
    <row r="784" spans="1:10" ht="15">
      <c r="A784" s="3154">
        <v>780</v>
      </c>
      <c r="B784" s="3115" t="s">
        <v>7560</v>
      </c>
      <c r="C784" s="3115">
        <v>30</v>
      </c>
      <c r="D784" s="3156" t="s">
        <v>6381</v>
      </c>
      <c r="E784" s="3126" t="s">
        <v>6481</v>
      </c>
      <c r="F784" s="3159" t="s">
        <v>7999</v>
      </c>
      <c r="G784" s="3115">
        <v>4.0999999999999996</v>
      </c>
      <c r="H784" s="3114">
        <v>88.18</v>
      </c>
      <c r="I784" s="3115">
        <v>4.0999999999999996</v>
      </c>
      <c r="J784" s="3114">
        <v>88.18</v>
      </c>
    </row>
    <row r="785" spans="1:10" ht="15">
      <c r="A785" s="3154">
        <v>781</v>
      </c>
      <c r="B785" s="3115" t="s">
        <v>7561</v>
      </c>
      <c r="C785" s="3115">
        <v>30</v>
      </c>
      <c r="D785" s="3156" t="s">
        <v>6381</v>
      </c>
      <c r="E785" s="3126" t="s">
        <v>6481</v>
      </c>
      <c r="F785" s="3115" t="s">
        <v>8000</v>
      </c>
      <c r="G785" s="3115">
        <v>4.0999999999999996</v>
      </c>
      <c r="H785" s="3114">
        <v>88.18</v>
      </c>
      <c r="I785" s="3115">
        <v>4.0999999999999996</v>
      </c>
      <c r="J785" s="3114">
        <v>88.18</v>
      </c>
    </row>
    <row r="786" spans="1:10" ht="15">
      <c r="A786" s="3154">
        <v>782</v>
      </c>
      <c r="B786" s="3115" t="s">
        <v>7562</v>
      </c>
      <c r="C786" s="3115">
        <v>30</v>
      </c>
      <c r="D786" s="3156" t="s">
        <v>6381</v>
      </c>
      <c r="E786" s="3126" t="s">
        <v>6481</v>
      </c>
      <c r="F786" s="3159" t="s">
        <v>8001</v>
      </c>
      <c r="G786" s="3115">
        <v>4.0999999999999996</v>
      </c>
      <c r="H786" s="3114">
        <v>88.18</v>
      </c>
      <c r="I786" s="3115">
        <v>4.0999999999999996</v>
      </c>
      <c r="J786" s="3114">
        <v>88.18</v>
      </c>
    </row>
    <row r="787" spans="1:10" ht="15">
      <c r="A787" s="3154">
        <v>783</v>
      </c>
      <c r="B787" s="3115" t="s">
        <v>7563</v>
      </c>
      <c r="C787" s="3115">
        <v>30</v>
      </c>
      <c r="D787" s="3156" t="s">
        <v>6381</v>
      </c>
      <c r="E787" s="3126" t="s">
        <v>6481</v>
      </c>
      <c r="F787" s="3115" t="s">
        <v>8002</v>
      </c>
      <c r="G787" s="3115">
        <v>4.0999999999999996</v>
      </c>
      <c r="H787" s="3114">
        <v>88.18</v>
      </c>
      <c r="I787" s="3115">
        <v>4.0999999999999996</v>
      </c>
      <c r="J787" s="3114">
        <v>88.18</v>
      </c>
    </row>
    <row r="788" spans="1:10" ht="15">
      <c r="A788" s="3154">
        <v>784</v>
      </c>
      <c r="B788" s="3115" t="s">
        <v>7564</v>
      </c>
      <c r="C788" s="3115">
        <v>30</v>
      </c>
      <c r="D788" s="3156" t="s">
        <v>6381</v>
      </c>
      <c r="E788" s="3126" t="s">
        <v>6481</v>
      </c>
      <c r="F788" s="3159" t="s">
        <v>8003</v>
      </c>
      <c r="G788" s="3115">
        <v>4.0999999999999996</v>
      </c>
      <c r="H788" s="3114">
        <v>88.18</v>
      </c>
      <c r="I788" s="3115">
        <v>4.0999999999999996</v>
      </c>
      <c r="J788" s="3114">
        <v>88.18</v>
      </c>
    </row>
    <row r="789" spans="1:10" ht="15">
      <c r="A789" s="3154">
        <v>785</v>
      </c>
      <c r="B789" s="3115" t="s">
        <v>7565</v>
      </c>
      <c r="C789" s="3115">
        <v>30</v>
      </c>
      <c r="D789" s="3156" t="s">
        <v>6381</v>
      </c>
      <c r="E789" s="3126" t="s">
        <v>6481</v>
      </c>
      <c r="F789" s="3115" t="s">
        <v>8004</v>
      </c>
      <c r="G789" s="3115">
        <v>4.0999999999999996</v>
      </c>
      <c r="H789" s="3114">
        <v>88.18</v>
      </c>
      <c r="I789" s="3115">
        <v>4.0999999999999996</v>
      </c>
      <c r="J789" s="3114">
        <v>88.18</v>
      </c>
    </row>
    <row r="790" spans="1:10" ht="15">
      <c r="A790" s="3154">
        <v>786</v>
      </c>
      <c r="B790" s="3115" t="s">
        <v>7566</v>
      </c>
      <c r="C790" s="3115">
        <v>30</v>
      </c>
      <c r="D790" s="3156" t="s">
        <v>6381</v>
      </c>
      <c r="E790" s="3126" t="s">
        <v>6481</v>
      </c>
      <c r="F790" s="3159" t="s">
        <v>8005</v>
      </c>
      <c r="G790" s="3115">
        <v>4.0999999999999996</v>
      </c>
      <c r="H790" s="3114">
        <v>88.18</v>
      </c>
      <c r="I790" s="3115">
        <v>4.0999999999999996</v>
      </c>
      <c r="J790" s="3114">
        <v>88.18</v>
      </c>
    </row>
    <row r="791" spans="1:10" ht="15">
      <c r="A791" s="3154">
        <v>787</v>
      </c>
      <c r="B791" s="3115" t="s">
        <v>7567</v>
      </c>
      <c r="C791" s="3115">
        <v>30</v>
      </c>
      <c r="D791" s="3156" t="s">
        <v>6381</v>
      </c>
      <c r="E791" s="3126" t="s">
        <v>6481</v>
      </c>
      <c r="F791" s="3115" t="s">
        <v>8006</v>
      </c>
      <c r="G791" s="3115">
        <v>4.0999999999999996</v>
      </c>
      <c r="H791" s="3114">
        <v>88.18</v>
      </c>
      <c r="I791" s="3115">
        <v>4.0999999999999996</v>
      </c>
      <c r="J791" s="3114">
        <v>88.18</v>
      </c>
    </row>
    <row r="792" spans="1:10" ht="15">
      <c r="A792" s="3154">
        <v>788</v>
      </c>
      <c r="B792" s="3115" t="s">
        <v>7568</v>
      </c>
      <c r="C792" s="3115">
        <v>30</v>
      </c>
      <c r="D792" s="3156" t="s">
        <v>6381</v>
      </c>
      <c r="E792" s="3126" t="s">
        <v>6481</v>
      </c>
      <c r="F792" s="3159" t="s">
        <v>8007</v>
      </c>
      <c r="G792" s="3115">
        <v>4.0999999999999996</v>
      </c>
      <c r="H792" s="3114">
        <v>88.18</v>
      </c>
      <c r="I792" s="3115">
        <v>4.0999999999999996</v>
      </c>
      <c r="J792" s="3114">
        <v>88.18</v>
      </c>
    </row>
    <row r="793" spans="1:10" ht="15">
      <c r="A793" s="3154">
        <v>789</v>
      </c>
      <c r="B793" s="3115" t="s">
        <v>7569</v>
      </c>
      <c r="C793" s="3115">
        <v>30</v>
      </c>
      <c r="D793" s="3156" t="s">
        <v>6381</v>
      </c>
      <c r="E793" s="3126" t="s">
        <v>6481</v>
      </c>
      <c r="F793" s="3115" t="s">
        <v>8008</v>
      </c>
      <c r="G793" s="3115">
        <v>4.0999999999999996</v>
      </c>
      <c r="H793" s="3114">
        <v>88.18</v>
      </c>
      <c r="I793" s="3115">
        <v>4.0999999999999996</v>
      </c>
      <c r="J793" s="3114">
        <v>88.18</v>
      </c>
    </row>
    <row r="794" spans="1:10" ht="15">
      <c r="A794" s="3154">
        <v>790</v>
      </c>
      <c r="B794" s="3115" t="s">
        <v>7570</v>
      </c>
      <c r="C794" s="3115">
        <v>30</v>
      </c>
      <c r="D794" s="3156" t="s">
        <v>6381</v>
      </c>
      <c r="E794" s="3126" t="s">
        <v>7601</v>
      </c>
      <c r="F794" s="3159" t="s">
        <v>8024</v>
      </c>
      <c r="G794" s="3115">
        <v>6.5</v>
      </c>
      <c r="H794" s="3114">
        <v>138.16999999999999</v>
      </c>
      <c r="I794" s="3115">
        <v>6.5</v>
      </c>
      <c r="J794" s="3114">
        <v>138.16999999999999</v>
      </c>
    </row>
    <row r="795" spans="1:10" ht="15">
      <c r="A795" s="3154">
        <v>791</v>
      </c>
      <c r="B795" s="3115" t="s">
        <v>7571</v>
      </c>
      <c r="C795" s="3115">
        <v>30</v>
      </c>
      <c r="D795" s="3156" t="s">
        <v>6381</v>
      </c>
      <c r="E795" s="3126" t="s">
        <v>7601</v>
      </c>
      <c r="F795" s="3115" t="s">
        <v>8025</v>
      </c>
      <c r="G795" s="3115">
        <v>6.5</v>
      </c>
      <c r="H795" s="3114">
        <v>138.16999999999999</v>
      </c>
      <c r="I795" s="3115">
        <v>6.5</v>
      </c>
      <c r="J795" s="3114">
        <v>138.16999999999999</v>
      </c>
    </row>
    <row r="796" spans="1:10" ht="15">
      <c r="A796" s="3154">
        <v>792</v>
      </c>
      <c r="B796" s="3115" t="s">
        <v>7572</v>
      </c>
      <c r="C796" s="3115">
        <v>30</v>
      </c>
      <c r="D796" s="3156" t="s">
        <v>6381</v>
      </c>
      <c r="E796" s="3126" t="s">
        <v>7601</v>
      </c>
      <c r="F796" s="3159" t="s">
        <v>8026</v>
      </c>
      <c r="G796" s="3115">
        <v>6.5</v>
      </c>
      <c r="H796" s="3114">
        <v>138.16999999999999</v>
      </c>
      <c r="I796" s="3115">
        <v>6.5</v>
      </c>
      <c r="J796" s="3114">
        <v>138.16999999999999</v>
      </c>
    </row>
    <row r="797" spans="1:10" ht="15">
      <c r="A797" s="3154">
        <v>793</v>
      </c>
      <c r="B797" s="3115" t="s">
        <v>7573</v>
      </c>
      <c r="C797" s="3115">
        <v>30</v>
      </c>
      <c r="D797" s="3156" t="s">
        <v>6381</v>
      </c>
      <c r="E797" s="3126" t="s">
        <v>7601</v>
      </c>
      <c r="F797" s="3115" t="s">
        <v>8027</v>
      </c>
      <c r="G797" s="3115">
        <v>6.5</v>
      </c>
      <c r="H797" s="3114">
        <v>138.16999999999999</v>
      </c>
      <c r="I797" s="3115">
        <v>6.5</v>
      </c>
      <c r="J797" s="3114">
        <v>138.16999999999999</v>
      </c>
    </row>
    <row r="798" spans="1:10" ht="15">
      <c r="A798" s="3154">
        <v>794</v>
      </c>
      <c r="B798" s="3115" t="s">
        <v>7574</v>
      </c>
      <c r="C798" s="3115">
        <v>30</v>
      </c>
      <c r="D798" s="3156" t="s">
        <v>6381</v>
      </c>
      <c r="E798" s="3126" t="s">
        <v>7601</v>
      </c>
      <c r="F798" s="3159" t="s">
        <v>8028</v>
      </c>
      <c r="G798" s="3115">
        <v>6.5</v>
      </c>
      <c r="H798" s="3114">
        <v>138.16999999999999</v>
      </c>
      <c r="I798" s="3115">
        <v>6.5</v>
      </c>
      <c r="J798" s="3114">
        <v>138.16999999999999</v>
      </c>
    </row>
    <row r="799" spans="1:10" ht="15">
      <c r="A799" s="3154">
        <v>795</v>
      </c>
      <c r="B799" s="3115" t="s">
        <v>7575</v>
      </c>
      <c r="C799" s="3115">
        <v>30</v>
      </c>
      <c r="D799" s="3156" t="s">
        <v>6381</v>
      </c>
      <c r="E799" s="3126" t="s">
        <v>7601</v>
      </c>
      <c r="F799" s="3115" t="s">
        <v>8029</v>
      </c>
      <c r="G799" s="3115">
        <v>6.5</v>
      </c>
      <c r="H799" s="3114">
        <v>138.16999999999999</v>
      </c>
      <c r="I799" s="3115">
        <v>6.5</v>
      </c>
      <c r="J799" s="3114">
        <v>138.16999999999999</v>
      </c>
    </row>
    <row r="800" spans="1:10" ht="15">
      <c r="A800" s="3154">
        <v>796</v>
      </c>
      <c r="B800" s="3115" t="s">
        <v>7576</v>
      </c>
      <c r="C800" s="3115">
        <v>30</v>
      </c>
      <c r="D800" s="3156" t="s">
        <v>6381</v>
      </c>
      <c r="E800" s="3126" t="s">
        <v>7601</v>
      </c>
      <c r="F800" s="3159" t="s">
        <v>8030</v>
      </c>
      <c r="G800" s="3115">
        <v>6.5</v>
      </c>
      <c r="H800" s="3114">
        <v>138.16999999999999</v>
      </c>
      <c r="I800" s="3115">
        <v>6.5</v>
      </c>
      <c r="J800" s="3114">
        <v>138.16999999999999</v>
      </c>
    </row>
    <row r="801" spans="1:10" ht="15">
      <c r="A801" s="3154">
        <v>797</v>
      </c>
      <c r="B801" s="3115" t="s">
        <v>7577</v>
      </c>
      <c r="C801" s="3115">
        <v>30</v>
      </c>
      <c r="D801" s="3156" t="s">
        <v>6381</v>
      </c>
      <c r="E801" s="3126" t="s">
        <v>7601</v>
      </c>
      <c r="F801" s="3115" t="s">
        <v>8031</v>
      </c>
      <c r="G801" s="3115">
        <v>6.5</v>
      </c>
      <c r="H801" s="3114">
        <v>138.16999999999999</v>
      </c>
      <c r="I801" s="3115">
        <v>6.5</v>
      </c>
      <c r="J801" s="3114">
        <v>138.16999999999999</v>
      </c>
    </row>
    <row r="802" spans="1:10" ht="15">
      <c r="A802" s="3154">
        <v>798</v>
      </c>
      <c r="B802" s="3115" t="s">
        <v>7578</v>
      </c>
      <c r="C802" s="3115">
        <v>30</v>
      </c>
      <c r="D802" s="3156" t="s">
        <v>6381</v>
      </c>
      <c r="E802" s="3126" t="s">
        <v>7601</v>
      </c>
      <c r="F802" s="3159" t="s">
        <v>8032</v>
      </c>
      <c r="G802" s="3115">
        <v>6.5</v>
      </c>
      <c r="H802" s="3114">
        <v>138.16999999999999</v>
      </c>
      <c r="I802" s="3115">
        <v>6.5</v>
      </c>
      <c r="J802" s="3114">
        <v>138.16999999999999</v>
      </c>
    </row>
    <row r="803" spans="1:10" ht="15">
      <c r="A803" s="3154">
        <v>799</v>
      </c>
      <c r="B803" s="3115" t="s">
        <v>7579</v>
      </c>
      <c r="C803" s="3115">
        <v>30</v>
      </c>
      <c r="D803" s="3156" t="s">
        <v>6381</v>
      </c>
      <c r="E803" s="3126" t="s">
        <v>7601</v>
      </c>
      <c r="F803" s="3115" t="s">
        <v>8033</v>
      </c>
      <c r="G803" s="3115">
        <v>6.5</v>
      </c>
      <c r="H803" s="3114">
        <v>138.16999999999999</v>
      </c>
      <c r="I803" s="3115">
        <v>6.5</v>
      </c>
      <c r="J803" s="3114">
        <v>138.16999999999999</v>
      </c>
    </row>
    <row r="804" spans="1:10" ht="15">
      <c r="A804" s="3154">
        <v>800</v>
      </c>
      <c r="B804" s="3115" t="s">
        <v>7580</v>
      </c>
      <c r="C804" s="3115">
        <v>30</v>
      </c>
      <c r="D804" s="3156" t="s">
        <v>6381</v>
      </c>
      <c r="E804" s="3126" t="s">
        <v>7601</v>
      </c>
      <c r="F804" s="3159" t="s">
        <v>8034</v>
      </c>
      <c r="G804" s="3115">
        <v>6.5</v>
      </c>
      <c r="H804" s="3114">
        <v>138.16999999999999</v>
      </c>
      <c r="I804" s="3115">
        <v>6.5</v>
      </c>
      <c r="J804" s="3114">
        <v>138.16999999999999</v>
      </c>
    </row>
    <row r="805" spans="1:10" ht="15">
      <c r="A805" s="3154">
        <v>801</v>
      </c>
      <c r="B805" s="3115" t="s">
        <v>7581</v>
      </c>
      <c r="C805" s="3115">
        <v>30</v>
      </c>
      <c r="D805" s="3156" t="s">
        <v>6381</v>
      </c>
      <c r="E805" s="3126" t="s">
        <v>7601</v>
      </c>
      <c r="F805" s="3115" t="s">
        <v>8035</v>
      </c>
      <c r="G805" s="3115">
        <v>6.5</v>
      </c>
      <c r="H805" s="3114">
        <v>138.16999999999999</v>
      </c>
      <c r="I805" s="3115">
        <v>6.5</v>
      </c>
      <c r="J805" s="3114">
        <v>138.16999999999999</v>
      </c>
    </row>
    <row r="806" spans="1:10" ht="15">
      <c r="A806" s="3154">
        <v>802</v>
      </c>
      <c r="B806" s="3115" t="s">
        <v>7582</v>
      </c>
      <c r="C806" s="3115">
        <v>30</v>
      </c>
      <c r="D806" s="3156" t="s">
        <v>6381</v>
      </c>
      <c r="E806" s="3126" t="s">
        <v>7601</v>
      </c>
      <c r="F806" s="3159" t="s">
        <v>8036</v>
      </c>
      <c r="G806" s="3115">
        <v>6.5</v>
      </c>
      <c r="H806" s="3114">
        <v>138.16999999999999</v>
      </c>
      <c r="I806" s="3115">
        <v>6.5</v>
      </c>
      <c r="J806" s="3114">
        <v>138.16999999999999</v>
      </c>
    </row>
    <row r="807" spans="1:10" ht="15">
      <c r="A807" s="3154">
        <v>803</v>
      </c>
      <c r="B807" s="3115" t="s">
        <v>7583</v>
      </c>
      <c r="C807" s="3115">
        <v>30</v>
      </c>
      <c r="D807" s="3156" t="s">
        <v>6381</v>
      </c>
      <c r="E807" s="3126" t="s">
        <v>7601</v>
      </c>
      <c r="F807" s="3115" t="s">
        <v>8037</v>
      </c>
      <c r="G807" s="3115">
        <v>6.5</v>
      </c>
      <c r="H807" s="3114">
        <v>138.16999999999999</v>
      </c>
      <c r="I807" s="3115">
        <v>6.5</v>
      </c>
      <c r="J807" s="3114">
        <v>138.16999999999999</v>
      </c>
    </row>
    <row r="808" spans="1:10" ht="15">
      <c r="A808" s="3154">
        <v>804</v>
      </c>
      <c r="B808" s="3115" t="s">
        <v>7584</v>
      </c>
      <c r="C808" s="3115">
        <v>30</v>
      </c>
      <c r="D808" s="3156" t="s">
        <v>6381</v>
      </c>
      <c r="E808" s="3126" t="s">
        <v>7601</v>
      </c>
      <c r="F808" s="3159" t="s">
        <v>8038</v>
      </c>
      <c r="G808" s="3115">
        <v>6.5</v>
      </c>
      <c r="H808" s="3114">
        <v>138.16999999999999</v>
      </c>
      <c r="I808" s="3115">
        <v>6.5</v>
      </c>
      <c r="J808" s="3114">
        <v>138.16999999999999</v>
      </c>
    </row>
    <row r="809" spans="1:10" ht="15">
      <c r="A809" s="3154">
        <v>805</v>
      </c>
      <c r="B809" s="3115" t="s">
        <v>7585</v>
      </c>
      <c r="C809" s="3115">
        <v>30</v>
      </c>
      <c r="D809" s="3156" t="s">
        <v>6381</v>
      </c>
      <c r="E809" s="3126" t="s">
        <v>7601</v>
      </c>
      <c r="F809" s="3115" t="s">
        <v>8039</v>
      </c>
      <c r="G809" s="3115">
        <v>6.5</v>
      </c>
      <c r="H809" s="3114">
        <v>138.16999999999999</v>
      </c>
      <c r="I809" s="3115">
        <v>6.5</v>
      </c>
      <c r="J809" s="3114">
        <v>138.16999999999999</v>
      </c>
    </row>
    <row r="810" spans="1:10" ht="15">
      <c r="A810" s="3154">
        <v>806</v>
      </c>
      <c r="B810" s="3115" t="s">
        <v>7586</v>
      </c>
      <c r="C810" s="3115">
        <v>30</v>
      </c>
      <c r="D810" s="3156" t="s">
        <v>6381</v>
      </c>
      <c r="E810" s="3126" t="s">
        <v>7601</v>
      </c>
      <c r="F810" s="3159" t="s">
        <v>8040</v>
      </c>
      <c r="G810" s="3115">
        <v>6.5</v>
      </c>
      <c r="H810" s="3114">
        <v>138.16999999999999</v>
      </c>
      <c r="I810" s="3115">
        <v>6.5</v>
      </c>
      <c r="J810" s="3114">
        <v>138.16999999999999</v>
      </c>
    </row>
    <row r="811" spans="1:10" ht="15">
      <c r="A811" s="3154">
        <v>807</v>
      </c>
      <c r="B811" s="3115" t="s">
        <v>7587</v>
      </c>
      <c r="C811" s="3115">
        <v>30</v>
      </c>
      <c r="D811" s="3156" t="s">
        <v>6381</v>
      </c>
      <c r="E811" s="3126" t="s">
        <v>7601</v>
      </c>
      <c r="F811" s="3115" t="s">
        <v>8041</v>
      </c>
      <c r="G811" s="3115">
        <v>6.5</v>
      </c>
      <c r="H811" s="3114">
        <v>138.16999999999999</v>
      </c>
      <c r="I811" s="3115">
        <v>6.5</v>
      </c>
      <c r="J811" s="3114">
        <v>138.16999999999999</v>
      </c>
    </row>
    <row r="812" spans="1:10" ht="15">
      <c r="A812" s="3154">
        <v>808</v>
      </c>
      <c r="B812" s="3115" t="s">
        <v>7588</v>
      </c>
      <c r="C812" s="3115">
        <v>30</v>
      </c>
      <c r="D812" s="3156" t="s">
        <v>6381</v>
      </c>
      <c r="E812" s="3126" t="s">
        <v>7601</v>
      </c>
      <c r="F812" s="3159" t="s">
        <v>8042</v>
      </c>
      <c r="G812" s="3115">
        <v>6.5</v>
      </c>
      <c r="H812" s="3114">
        <v>138.16999999999999</v>
      </c>
      <c r="I812" s="3115">
        <v>6.5</v>
      </c>
      <c r="J812" s="3114">
        <v>138.16999999999999</v>
      </c>
    </row>
    <row r="813" spans="1:10" ht="15">
      <c r="A813" s="3154">
        <v>809</v>
      </c>
      <c r="B813" s="3115" t="s">
        <v>7589</v>
      </c>
      <c r="C813" s="3115">
        <v>30</v>
      </c>
      <c r="D813" s="3156" t="s">
        <v>6381</v>
      </c>
      <c r="E813" s="3126" t="s">
        <v>7601</v>
      </c>
      <c r="F813" s="3115" t="s">
        <v>8043</v>
      </c>
      <c r="G813" s="3115">
        <v>6.5</v>
      </c>
      <c r="H813" s="3114">
        <v>138.16999999999999</v>
      </c>
      <c r="I813" s="3115">
        <v>6.5</v>
      </c>
      <c r="J813" s="3114">
        <v>138.16999999999999</v>
      </c>
    </row>
    <row r="814" spans="1:10" ht="15">
      <c r="A814" s="3154">
        <v>810</v>
      </c>
      <c r="B814" s="3115" t="s">
        <v>7590</v>
      </c>
      <c r="C814" s="3115">
        <v>30</v>
      </c>
      <c r="D814" s="3156" t="s">
        <v>6381</v>
      </c>
      <c r="E814" s="3126" t="s">
        <v>7601</v>
      </c>
      <c r="F814" s="3159" t="s">
        <v>8044</v>
      </c>
      <c r="G814" s="3115">
        <v>6.5</v>
      </c>
      <c r="H814" s="3114">
        <v>138.16999999999999</v>
      </c>
      <c r="I814" s="3115">
        <v>6.5</v>
      </c>
      <c r="J814" s="3114">
        <v>138.16999999999999</v>
      </c>
    </row>
    <row r="815" spans="1:10" ht="15">
      <c r="A815" s="3154">
        <v>811</v>
      </c>
      <c r="B815" s="3115" t="s">
        <v>7591</v>
      </c>
      <c r="C815" s="3115">
        <v>30</v>
      </c>
      <c r="D815" s="3156" t="s">
        <v>6381</v>
      </c>
      <c r="E815" s="3126" t="s">
        <v>7601</v>
      </c>
      <c r="F815" s="3115" t="s">
        <v>8045</v>
      </c>
      <c r="G815" s="3115">
        <v>6.5</v>
      </c>
      <c r="H815" s="3114">
        <v>138.16999999999999</v>
      </c>
      <c r="I815" s="3115">
        <v>6.5</v>
      </c>
      <c r="J815" s="3114">
        <v>138.16999999999999</v>
      </c>
    </row>
    <row r="816" spans="1:10" ht="15">
      <c r="A816" s="3154">
        <v>812</v>
      </c>
      <c r="B816" s="3115" t="s">
        <v>7592</v>
      </c>
      <c r="C816" s="3115">
        <v>30</v>
      </c>
      <c r="D816" s="3156" t="s">
        <v>6381</v>
      </c>
      <c r="E816" s="3126" t="s">
        <v>7601</v>
      </c>
      <c r="F816" s="3159" t="s">
        <v>8046</v>
      </c>
      <c r="G816" s="3115">
        <v>6.5</v>
      </c>
      <c r="H816" s="3114">
        <v>138.16999999999999</v>
      </c>
      <c r="I816" s="3115">
        <v>6.5</v>
      </c>
      <c r="J816" s="3114">
        <v>138.16999999999999</v>
      </c>
    </row>
    <row r="817" spans="1:11" ht="15">
      <c r="A817" s="3154">
        <v>813</v>
      </c>
      <c r="B817" s="3115" t="s">
        <v>7593</v>
      </c>
      <c r="C817" s="3115">
        <v>30</v>
      </c>
      <c r="D817" s="3156" t="s">
        <v>6381</v>
      </c>
      <c r="E817" s="3126" t="s">
        <v>7601</v>
      </c>
      <c r="F817" s="3115" t="s">
        <v>8047</v>
      </c>
      <c r="G817" s="3115">
        <v>6.5</v>
      </c>
      <c r="H817" s="3114">
        <v>138.16999999999999</v>
      </c>
      <c r="I817" s="3115">
        <v>6.5</v>
      </c>
      <c r="J817" s="3114">
        <v>138.16999999999999</v>
      </c>
    </row>
    <row r="818" spans="1:11" ht="15">
      <c r="A818" s="3154">
        <v>814</v>
      </c>
      <c r="B818" s="3115" t="s">
        <v>7594</v>
      </c>
      <c r="C818" s="3115">
        <v>30</v>
      </c>
      <c r="D818" s="3156" t="s">
        <v>6381</v>
      </c>
      <c r="E818" s="3126" t="s">
        <v>7601</v>
      </c>
      <c r="F818" s="3159" t="s">
        <v>8048</v>
      </c>
      <c r="G818" s="3115">
        <v>6.5</v>
      </c>
      <c r="H818" s="3114">
        <v>138.16999999999999</v>
      </c>
      <c r="I818" s="3115">
        <v>6.5</v>
      </c>
      <c r="J818" s="3114">
        <v>138.16999999999999</v>
      </c>
    </row>
    <row r="819" spans="1:11" ht="15">
      <c r="A819" s="3154">
        <v>815</v>
      </c>
      <c r="B819" s="3115" t="s">
        <v>7595</v>
      </c>
      <c r="C819" s="3115">
        <v>30</v>
      </c>
      <c r="D819" s="3156" t="s">
        <v>6381</v>
      </c>
      <c r="E819" s="3126" t="s">
        <v>7601</v>
      </c>
      <c r="F819" s="3115" t="s">
        <v>8049</v>
      </c>
      <c r="G819" s="3115">
        <v>6.5</v>
      </c>
      <c r="H819" s="3114">
        <v>138.16999999999999</v>
      </c>
      <c r="I819" s="3115">
        <v>6.5</v>
      </c>
      <c r="J819" s="3114">
        <v>138.16999999999999</v>
      </c>
    </row>
    <row r="820" spans="1:11" ht="15">
      <c r="A820" s="3154">
        <v>816</v>
      </c>
      <c r="B820" s="3115" t="s">
        <v>7596</v>
      </c>
      <c r="C820" s="3115">
        <v>30</v>
      </c>
      <c r="D820" s="3156" t="s">
        <v>6381</v>
      </c>
      <c r="E820" s="3126" t="s">
        <v>7601</v>
      </c>
      <c r="F820" s="3159" t="s">
        <v>8050</v>
      </c>
      <c r="G820" s="3115">
        <v>6.5</v>
      </c>
      <c r="H820" s="3114">
        <v>138.16999999999999</v>
      </c>
      <c r="I820" s="3115">
        <v>6.5</v>
      </c>
      <c r="J820" s="3114">
        <v>138.16999999999999</v>
      </c>
    </row>
    <row r="821" spans="1:11" ht="15">
      <c r="A821" s="3154">
        <v>817</v>
      </c>
      <c r="B821" s="3115" t="s">
        <v>7597</v>
      </c>
      <c r="C821" s="3115">
        <v>30</v>
      </c>
      <c r="D821" s="3156" t="s">
        <v>6381</v>
      </c>
      <c r="E821" s="3126" t="s">
        <v>7601</v>
      </c>
      <c r="F821" s="3115" t="s">
        <v>8051</v>
      </c>
      <c r="G821" s="3115">
        <v>6.5</v>
      </c>
      <c r="H821" s="3114">
        <v>138.16999999999999</v>
      </c>
      <c r="I821" s="3115">
        <v>6.5</v>
      </c>
      <c r="J821" s="3114">
        <v>138.16999999999999</v>
      </c>
      <c r="K821" s="3124"/>
    </row>
    <row r="822" spans="1:11" ht="15">
      <c r="A822" s="3154">
        <v>818</v>
      </c>
      <c r="B822" s="3115" t="s">
        <v>7598</v>
      </c>
      <c r="C822" s="3115">
        <v>30</v>
      </c>
      <c r="D822" s="3156" t="s">
        <v>6381</v>
      </c>
      <c r="E822" s="3126" t="s">
        <v>7601</v>
      </c>
      <c r="F822" s="3159" t="s">
        <v>8052</v>
      </c>
      <c r="G822" s="3115">
        <v>5.8</v>
      </c>
      <c r="H822" s="3114">
        <v>123.9</v>
      </c>
      <c r="I822" s="3115">
        <v>5.8</v>
      </c>
      <c r="J822" s="3114">
        <v>123.9</v>
      </c>
    </row>
    <row r="823" spans="1:11">
      <c r="A823" s="3153" t="s">
        <v>189</v>
      </c>
      <c r="B823" s="3153"/>
      <c r="C823" s="3153"/>
      <c r="D823" s="3156"/>
      <c r="E823" s="3153"/>
      <c r="F823" s="3153"/>
      <c r="G823" s="3163">
        <f>SUM(G5:G822)</f>
        <v>4968.7000000000498</v>
      </c>
      <c r="H823" s="3163">
        <f>SUM(H5:H822)</f>
        <v>88039.929999999338</v>
      </c>
      <c r="I823" s="3155"/>
      <c r="J823" s="3129">
        <f>SUM(J5:J822)</f>
        <v>88042.929999999338</v>
      </c>
    </row>
  </sheetData>
  <mergeCells count="2">
    <mergeCell ref="A1:J2"/>
    <mergeCell ref="A3:J3"/>
  </mergeCells>
  <phoneticPr fontId="208" type="noConversion"/>
  <pageMargins left="0.69930555555555596" right="0.69930555555555596" top="0.75" bottom="0.75" header="0.3" footer="0.3"/>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3"/>
  <sheetViews>
    <sheetView zoomScale="90" zoomScaleNormal="90" zoomScaleSheetLayoutView="90" workbookViewId="0">
      <selection sqref="A1:J3"/>
    </sheetView>
  </sheetViews>
  <sheetFormatPr defaultRowHeight="15"/>
  <cols>
    <col min="1" max="1" width="8.625" style="3648" customWidth="1"/>
    <col min="2" max="2" width="17.875" style="3648" customWidth="1"/>
    <col min="3" max="4" width="7.125" style="3648" customWidth="1"/>
    <col min="5" max="5" width="9.25" style="3648" customWidth="1"/>
    <col min="6" max="6" width="25.375" style="3648" customWidth="1"/>
    <col min="7" max="9" width="13" style="3648" customWidth="1"/>
    <col min="10" max="16384" width="9" style="3647"/>
  </cols>
  <sheetData>
    <row r="1" spans="1:12" s="3633" customFormat="1" ht="14.25" customHeight="1">
      <c r="A1" s="3630" t="s">
        <v>8078</v>
      </c>
      <c r="B1" s="3631"/>
      <c r="C1" s="3631"/>
      <c r="D1" s="3631"/>
      <c r="E1" s="3631"/>
      <c r="F1" s="3631"/>
      <c r="G1" s="3631"/>
      <c r="H1" s="3631"/>
      <c r="I1" s="3631"/>
      <c r="J1" s="3632"/>
    </row>
    <row r="2" spans="1:12" s="3633" customFormat="1" ht="14.25" customHeight="1">
      <c r="A2" s="3634"/>
      <c r="B2" s="3635"/>
      <c r="C2" s="3635"/>
      <c r="D2" s="3635"/>
      <c r="E2" s="3635"/>
      <c r="F2" s="3635"/>
      <c r="G2" s="3635"/>
      <c r="H2" s="3635"/>
      <c r="I2" s="3635"/>
      <c r="J2" s="3636"/>
    </row>
    <row r="3" spans="1:12" s="3633" customFormat="1" ht="15.75">
      <c r="A3" s="3637" t="s">
        <v>8079</v>
      </c>
      <c r="B3" s="3638"/>
      <c r="C3" s="3638"/>
      <c r="D3" s="3638"/>
      <c r="E3" s="3638"/>
      <c r="F3" s="3638"/>
      <c r="G3" s="3638"/>
      <c r="H3" s="3638"/>
      <c r="I3" s="3638"/>
      <c r="J3" s="3639"/>
    </row>
    <row r="4" spans="1:12" s="3633" customFormat="1" ht="28.5">
      <c r="A4" s="3629" t="s">
        <v>8080</v>
      </c>
      <c r="B4" s="3628" t="s">
        <v>8068</v>
      </c>
      <c r="C4" s="3628" t="s">
        <v>8069</v>
      </c>
      <c r="D4" s="3627" t="s">
        <v>8074</v>
      </c>
      <c r="E4" s="3628" t="s">
        <v>8070</v>
      </c>
      <c r="F4" s="3628" t="s">
        <v>8071</v>
      </c>
      <c r="G4" s="3640" t="s">
        <v>8081</v>
      </c>
      <c r="H4" s="3641" t="s">
        <v>8075</v>
      </c>
      <c r="I4" s="3641" t="s">
        <v>8076</v>
      </c>
      <c r="J4" s="3642" t="s">
        <v>8077</v>
      </c>
    </row>
    <row r="5" spans="1:12" s="3633" customFormat="1">
      <c r="A5" s="3629">
        <v>1</v>
      </c>
      <c r="B5" s="3629" t="s">
        <v>8082</v>
      </c>
      <c r="C5" s="3629">
        <v>28</v>
      </c>
      <c r="D5" s="3629" t="s">
        <v>8072</v>
      </c>
      <c r="E5" s="3629" t="s">
        <v>8073</v>
      </c>
      <c r="F5" s="3629" t="s">
        <v>8083</v>
      </c>
      <c r="G5" s="3643">
        <v>88.29</v>
      </c>
      <c r="H5" s="3649">
        <v>13200</v>
      </c>
      <c r="I5" s="3649">
        <f>ROUND(G5*H5/10000,0)</f>
        <v>117</v>
      </c>
      <c r="J5" s="3644">
        <f ca="1">典型户型修正!T27</f>
        <v>141</v>
      </c>
    </row>
    <row r="6" spans="1:12" s="3633" customFormat="1">
      <c r="A6" s="3629">
        <v>2</v>
      </c>
      <c r="B6" s="3629" t="s">
        <v>8084</v>
      </c>
      <c r="C6" s="3629">
        <v>28</v>
      </c>
      <c r="D6" s="3629" t="s">
        <v>8072</v>
      </c>
      <c r="E6" s="3629" t="s">
        <v>8073</v>
      </c>
      <c r="F6" s="3629" t="s">
        <v>8085</v>
      </c>
      <c r="G6" s="3643">
        <v>88.29</v>
      </c>
      <c r="H6" s="3649">
        <v>13730</v>
      </c>
      <c r="I6" s="3649">
        <f>ROUND(G6*H6/10000,0)</f>
        <v>121</v>
      </c>
      <c r="J6" s="3644">
        <f ca="1">典型户型修正!T28</f>
        <v>143</v>
      </c>
    </row>
    <row r="7" spans="1:12" s="3633" customFormat="1">
      <c r="A7" s="3629">
        <v>3</v>
      </c>
      <c r="B7" s="3629" t="s">
        <v>8086</v>
      </c>
      <c r="C7" s="3629">
        <v>28</v>
      </c>
      <c r="D7" s="3629" t="s">
        <v>8072</v>
      </c>
      <c r="E7" s="3629" t="s">
        <v>8087</v>
      </c>
      <c r="F7" s="3629" t="s">
        <v>8088</v>
      </c>
      <c r="G7" s="3643">
        <v>97.07</v>
      </c>
      <c r="H7" s="3649">
        <v>13930</v>
      </c>
      <c r="I7" s="3649">
        <f t="shared" ref="I7:I70" si="0">ROUND(G7*H7/10000,0)</f>
        <v>135</v>
      </c>
      <c r="J7" s="3644">
        <f ca="1">典型户型修正!T29</f>
        <v>159</v>
      </c>
    </row>
    <row r="8" spans="1:12" s="3633" customFormat="1">
      <c r="A8" s="3629">
        <v>4</v>
      </c>
      <c r="B8" s="3629" t="s">
        <v>8089</v>
      </c>
      <c r="C8" s="3629">
        <v>30</v>
      </c>
      <c r="D8" s="3629" t="s">
        <v>8072</v>
      </c>
      <c r="E8" s="3629" t="s">
        <v>8090</v>
      </c>
      <c r="F8" s="3629" t="s">
        <v>8091</v>
      </c>
      <c r="G8" s="3643">
        <v>103.43</v>
      </c>
      <c r="H8" s="3649">
        <v>14230</v>
      </c>
      <c r="I8" s="3649">
        <f t="shared" si="0"/>
        <v>147</v>
      </c>
      <c r="J8" s="3644">
        <f ca="1">典型户型修正!T30</f>
        <v>173</v>
      </c>
    </row>
    <row r="9" spans="1:12" s="3633" customFormat="1">
      <c r="A9" s="3629">
        <v>5</v>
      </c>
      <c r="B9" s="3629" t="s">
        <v>8092</v>
      </c>
      <c r="C9" s="3629">
        <v>30</v>
      </c>
      <c r="D9" s="3629" t="s">
        <v>8072</v>
      </c>
      <c r="E9" s="3629" t="s">
        <v>8073</v>
      </c>
      <c r="F9" s="3629" t="s">
        <v>8093</v>
      </c>
      <c r="G9" s="3643">
        <v>58.21</v>
      </c>
      <c r="H9" s="3649">
        <v>13100</v>
      </c>
      <c r="I9" s="3649">
        <f t="shared" si="0"/>
        <v>76</v>
      </c>
      <c r="J9" s="3644">
        <f ca="1">典型户型修正!T31</f>
        <v>91</v>
      </c>
    </row>
    <row r="10" spans="1:12" s="3633" customFormat="1">
      <c r="A10" s="3629">
        <v>6</v>
      </c>
      <c r="B10" s="3629" t="s">
        <v>8094</v>
      </c>
      <c r="C10" s="3629">
        <v>30</v>
      </c>
      <c r="D10" s="3629" t="s">
        <v>8072</v>
      </c>
      <c r="E10" s="3629" t="s">
        <v>8073</v>
      </c>
      <c r="F10" s="3629" t="s">
        <v>8095</v>
      </c>
      <c r="G10" s="3643">
        <v>88.31</v>
      </c>
      <c r="H10" s="3649">
        <v>13640</v>
      </c>
      <c r="I10" s="3649">
        <f t="shared" si="0"/>
        <v>120</v>
      </c>
      <c r="J10" s="3644">
        <f ca="1">典型户型修正!T32</f>
        <v>146</v>
      </c>
    </row>
    <row r="11" spans="1:12" s="3633" customFormat="1">
      <c r="A11" s="3629">
        <v>7</v>
      </c>
      <c r="B11" s="3629" t="s">
        <v>8096</v>
      </c>
      <c r="C11" s="3629">
        <v>28</v>
      </c>
      <c r="D11" s="3629" t="s">
        <v>8072</v>
      </c>
      <c r="E11" s="3629" t="s">
        <v>8073</v>
      </c>
      <c r="F11" s="3629" t="s">
        <v>8097</v>
      </c>
      <c r="G11" s="3643">
        <v>109.77</v>
      </c>
      <c r="H11" s="3649">
        <v>9000</v>
      </c>
      <c r="I11" s="3649">
        <f t="shared" si="0"/>
        <v>99</v>
      </c>
      <c r="J11" s="3644">
        <f ca="1">典型户型修正!T33</f>
        <v>177</v>
      </c>
    </row>
    <row r="12" spans="1:12" s="3633" customFormat="1">
      <c r="A12" s="3629">
        <v>8</v>
      </c>
      <c r="B12" s="3629" t="s">
        <v>8098</v>
      </c>
      <c r="C12" s="3629">
        <v>28</v>
      </c>
      <c r="D12" s="3629" t="s">
        <v>8072</v>
      </c>
      <c r="E12" s="3629" t="s">
        <v>8073</v>
      </c>
      <c r="F12" s="3629" t="s">
        <v>8099</v>
      </c>
      <c r="G12" s="3643">
        <v>109.77</v>
      </c>
      <c r="H12" s="3649">
        <v>9400</v>
      </c>
      <c r="I12" s="3649">
        <f t="shared" si="0"/>
        <v>103</v>
      </c>
      <c r="J12" s="3644">
        <f ca="1">典型户型修正!T34</f>
        <v>177</v>
      </c>
    </row>
    <row r="13" spans="1:12" s="3633" customFormat="1">
      <c r="A13" s="3629">
        <v>9</v>
      </c>
      <c r="B13" s="3629" t="s">
        <v>8100</v>
      </c>
      <c r="C13" s="3629">
        <v>28</v>
      </c>
      <c r="D13" s="3629" t="s">
        <v>8072</v>
      </c>
      <c r="E13" s="3629" t="s">
        <v>8073</v>
      </c>
      <c r="F13" s="3629" t="s">
        <v>8101</v>
      </c>
      <c r="G13" s="3643">
        <v>109.77</v>
      </c>
      <c r="H13" s="3649">
        <v>9650</v>
      </c>
      <c r="I13" s="3649">
        <f t="shared" si="0"/>
        <v>106</v>
      </c>
      <c r="J13" s="3644">
        <f ca="1">典型户型修正!T35</f>
        <v>177</v>
      </c>
    </row>
    <row r="14" spans="1:12" s="3633" customFormat="1">
      <c r="A14" s="3629">
        <v>10</v>
      </c>
      <c r="B14" s="3629" t="s">
        <v>8102</v>
      </c>
      <c r="C14" s="3629">
        <v>28</v>
      </c>
      <c r="D14" s="3629" t="s">
        <v>8072</v>
      </c>
      <c r="E14" s="3629" t="s">
        <v>8073</v>
      </c>
      <c r="F14" s="3629" t="s">
        <v>8103</v>
      </c>
      <c r="G14" s="3643">
        <v>109.77</v>
      </c>
      <c r="H14" s="3649">
        <v>9900</v>
      </c>
      <c r="I14" s="3649">
        <f t="shared" si="0"/>
        <v>109</v>
      </c>
      <c r="J14" s="3644">
        <f ca="1">典型户型修正!T36</f>
        <v>177</v>
      </c>
    </row>
    <row r="15" spans="1:12" s="3633" customFormat="1">
      <c r="A15" s="3629">
        <v>11</v>
      </c>
      <c r="B15" s="3629" t="s">
        <v>8104</v>
      </c>
      <c r="C15" s="3629">
        <v>28</v>
      </c>
      <c r="D15" s="3629" t="s">
        <v>8072</v>
      </c>
      <c r="E15" s="3629" t="s">
        <v>8073</v>
      </c>
      <c r="F15" s="3629" t="s">
        <v>8105</v>
      </c>
      <c r="G15" s="3643">
        <v>109.77</v>
      </c>
      <c r="H15" s="3649">
        <v>10150</v>
      </c>
      <c r="I15" s="3649">
        <f t="shared" si="0"/>
        <v>111</v>
      </c>
      <c r="J15" s="3644">
        <f ca="1">典型户型修正!T37</f>
        <v>184</v>
      </c>
      <c r="L15" s="3645"/>
    </row>
    <row r="16" spans="1:12" s="3633" customFormat="1">
      <c r="A16" s="3629">
        <v>12</v>
      </c>
      <c r="B16" s="3629" t="s">
        <v>8106</v>
      </c>
      <c r="C16" s="3629">
        <v>28</v>
      </c>
      <c r="D16" s="3629" t="s">
        <v>8072</v>
      </c>
      <c r="E16" s="3629" t="s">
        <v>8073</v>
      </c>
      <c r="F16" s="3629" t="s">
        <v>8107</v>
      </c>
      <c r="G16" s="3643">
        <v>109.77</v>
      </c>
      <c r="H16" s="3649">
        <v>10150</v>
      </c>
      <c r="I16" s="3649">
        <f t="shared" si="0"/>
        <v>111</v>
      </c>
      <c r="J16" s="3644">
        <f ca="1">典型户型修正!T38</f>
        <v>184</v>
      </c>
    </row>
    <row r="17" spans="1:10" s="3633" customFormat="1">
      <c r="A17" s="3629">
        <v>13</v>
      </c>
      <c r="B17" s="3629" t="s">
        <v>8108</v>
      </c>
      <c r="C17" s="3629">
        <v>28</v>
      </c>
      <c r="D17" s="3629" t="s">
        <v>8072</v>
      </c>
      <c r="E17" s="3629" t="s">
        <v>8073</v>
      </c>
      <c r="F17" s="3629" t="s">
        <v>8109</v>
      </c>
      <c r="G17" s="3643">
        <v>109.77</v>
      </c>
      <c r="H17" s="3649">
        <v>10260</v>
      </c>
      <c r="I17" s="3649">
        <f t="shared" si="0"/>
        <v>113</v>
      </c>
      <c r="J17" s="3644">
        <f ca="1">典型户型修正!T39</f>
        <v>180</v>
      </c>
    </row>
    <row r="18" spans="1:10" s="3633" customFormat="1">
      <c r="A18" s="3629">
        <v>14</v>
      </c>
      <c r="B18" s="3629" t="s">
        <v>8110</v>
      </c>
      <c r="C18" s="3629">
        <v>28</v>
      </c>
      <c r="D18" s="3629" t="s">
        <v>8072</v>
      </c>
      <c r="E18" s="3629" t="s">
        <v>8073</v>
      </c>
      <c r="F18" s="3629" t="s">
        <v>8111</v>
      </c>
      <c r="G18" s="3643">
        <v>109.77</v>
      </c>
      <c r="H18" s="3649">
        <v>10260</v>
      </c>
      <c r="I18" s="3649">
        <f t="shared" si="0"/>
        <v>113</v>
      </c>
      <c r="J18" s="3644">
        <f ca="1">典型户型修正!T40</f>
        <v>180</v>
      </c>
    </row>
    <row r="19" spans="1:10" s="3633" customFormat="1">
      <c r="A19" s="3629">
        <v>15</v>
      </c>
      <c r="B19" s="3629" t="s">
        <v>8112</v>
      </c>
      <c r="C19" s="3629">
        <v>28</v>
      </c>
      <c r="D19" s="3629" t="s">
        <v>8072</v>
      </c>
      <c r="E19" s="3629" t="s">
        <v>8073</v>
      </c>
      <c r="F19" s="3629" t="s">
        <v>8113</v>
      </c>
      <c r="G19" s="3643">
        <v>109.77</v>
      </c>
      <c r="H19" s="3649">
        <v>10260</v>
      </c>
      <c r="I19" s="3649">
        <f t="shared" si="0"/>
        <v>113</v>
      </c>
      <c r="J19" s="3644">
        <f ca="1">典型户型修正!T41</f>
        <v>180</v>
      </c>
    </row>
    <row r="20" spans="1:10" s="3633" customFormat="1">
      <c r="A20" s="3629">
        <v>16</v>
      </c>
      <c r="B20" s="3629" t="s">
        <v>8114</v>
      </c>
      <c r="C20" s="3629">
        <v>28</v>
      </c>
      <c r="D20" s="3629" t="s">
        <v>8072</v>
      </c>
      <c r="E20" s="3629" t="s">
        <v>8073</v>
      </c>
      <c r="F20" s="3629" t="s">
        <v>8115</v>
      </c>
      <c r="G20" s="3643">
        <v>109.77</v>
      </c>
      <c r="H20" s="3649">
        <v>10260</v>
      </c>
      <c r="I20" s="3649">
        <f t="shared" si="0"/>
        <v>113</v>
      </c>
      <c r="J20" s="3644">
        <f ca="1">典型户型修正!T42</f>
        <v>180</v>
      </c>
    </row>
    <row r="21" spans="1:10" s="3633" customFormat="1">
      <c r="A21" s="3629">
        <v>17</v>
      </c>
      <c r="B21" s="3629" t="s">
        <v>8116</v>
      </c>
      <c r="C21" s="3629">
        <v>28</v>
      </c>
      <c r="D21" s="3629" t="s">
        <v>8072</v>
      </c>
      <c r="E21" s="3629" t="s">
        <v>8073</v>
      </c>
      <c r="F21" s="3629" t="s">
        <v>8117</v>
      </c>
      <c r="G21" s="3643">
        <v>109.77</v>
      </c>
      <c r="H21" s="3649">
        <v>10260</v>
      </c>
      <c r="I21" s="3649">
        <f t="shared" si="0"/>
        <v>113</v>
      </c>
      <c r="J21" s="3644">
        <f ca="1">典型户型修正!T43</f>
        <v>180</v>
      </c>
    </row>
    <row r="22" spans="1:10" s="3633" customFormat="1">
      <c r="A22" s="3629">
        <v>18</v>
      </c>
      <c r="B22" s="3629" t="s">
        <v>8118</v>
      </c>
      <c r="C22" s="3629">
        <v>28</v>
      </c>
      <c r="D22" s="3629" t="s">
        <v>8072</v>
      </c>
      <c r="E22" s="3629" t="s">
        <v>8073</v>
      </c>
      <c r="F22" s="3629" t="s">
        <v>8119</v>
      </c>
      <c r="G22" s="3643">
        <v>109.77</v>
      </c>
      <c r="H22" s="3649">
        <v>10260</v>
      </c>
      <c r="I22" s="3649">
        <f t="shared" si="0"/>
        <v>113</v>
      </c>
      <c r="J22" s="3644">
        <f ca="1">典型户型修正!T44</f>
        <v>180</v>
      </c>
    </row>
    <row r="23" spans="1:10" s="3633" customFormat="1">
      <c r="A23" s="3629">
        <v>19</v>
      </c>
      <c r="B23" s="3629" t="s">
        <v>8120</v>
      </c>
      <c r="C23" s="3629">
        <v>17</v>
      </c>
      <c r="D23" s="3629" t="s">
        <v>8072</v>
      </c>
      <c r="E23" s="3629" t="s">
        <v>8090</v>
      </c>
      <c r="F23" s="3629" t="s">
        <v>8121</v>
      </c>
      <c r="G23" s="3643">
        <v>110.15</v>
      </c>
      <c r="H23" s="3649">
        <v>11750</v>
      </c>
      <c r="I23" s="3649">
        <f t="shared" si="0"/>
        <v>129</v>
      </c>
      <c r="J23" s="3644">
        <f ca="1">典型户型修正!T45</f>
        <v>181</v>
      </c>
    </row>
    <row r="24" spans="1:10" s="3633" customFormat="1">
      <c r="A24" s="3629">
        <v>20</v>
      </c>
      <c r="B24" s="3629" t="s">
        <v>8122</v>
      </c>
      <c r="C24" s="3629">
        <v>17</v>
      </c>
      <c r="D24" s="3629" t="s">
        <v>8072</v>
      </c>
      <c r="E24" s="3629" t="s">
        <v>8090</v>
      </c>
      <c r="F24" s="3629" t="s">
        <v>8123</v>
      </c>
      <c r="G24" s="3643">
        <v>110.15</v>
      </c>
      <c r="H24" s="3649">
        <v>10850</v>
      </c>
      <c r="I24" s="3649">
        <f t="shared" si="0"/>
        <v>120</v>
      </c>
      <c r="J24" s="3644">
        <f ca="1">典型户型修正!T46</f>
        <v>181</v>
      </c>
    </row>
    <row r="25" spans="1:10" s="3633" customFormat="1">
      <c r="A25" s="3629">
        <v>21</v>
      </c>
      <c r="B25" s="3629" t="s">
        <v>8124</v>
      </c>
      <c r="C25" s="3629">
        <v>17</v>
      </c>
      <c r="D25" s="3629" t="s">
        <v>8072</v>
      </c>
      <c r="E25" s="3629" t="s">
        <v>8090</v>
      </c>
      <c r="F25" s="3629" t="s">
        <v>8125</v>
      </c>
      <c r="G25" s="3643">
        <v>110.15</v>
      </c>
      <c r="H25" s="3649">
        <v>11150</v>
      </c>
      <c r="I25" s="3649">
        <f t="shared" si="0"/>
        <v>123</v>
      </c>
      <c r="J25" s="3644">
        <f ca="1">典型户型修正!T47</f>
        <v>181</v>
      </c>
    </row>
    <row r="26" spans="1:10" s="3633" customFormat="1">
      <c r="A26" s="3629">
        <v>22</v>
      </c>
      <c r="B26" s="3629" t="s">
        <v>8126</v>
      </c>
      <c r="C26" s="3629">
        <v>17</v>
      </c>
      <c r="D26" s="3629" t="s">
        <v>8072</v>
      </c>
      <c r="E26" s="3629" t="s">
        <v>8090</v>
      </c>
      <c r="F26" s="3629" t="s">
        <v>8127</v>
      </c>
      <c r="G26" s="3643">
        <v>110.15</v>
      </c>
      <c r="H26" s="3649">
        <v>11400</v>
      </c>
      <c r="I26" s="3649">
        <f t="shared" si="0"/>
        <v>126</v>
      </c>
      <c r="J26" s="3644">
        <f ca="1">典型户型修正!T48</f>
        <v>181</v>
      </c>
    </row>
    <row r="27" spans="1:10" s="3633" customFormat="1">
      <c r="A27" s="3629">
        <v>23</v>
      </c>
      <c r="B27" s="3629" t="s">
        <v>8128</v>
      </c>
      <c r="C27" s="3629">
        <v>17</v>
      </c>
      <c r="D27" s="3629" t="s">
        <v>8072</v>
      </c>
      <c r="E27" s="3629" t="s">
        <v>8090</v>
      </c>
      <c r="F27" s="3629" t="s">
        <v>8129</v>
      </c>
      <c r="G27" s="3643">
        <v>110.15</v>
      </c>
      <c r="H27" s="3649">
        <v>11450</v>
      </c>
      <c r="I27" s="3649">
        <f t="shared" si="0"/>
        <v>126</v>
      </c>
      <c r="J27" s="3644">
        <f ca="1">典型户型修正!T49</f>
        <v>181</v>
      </c>
    </row>
    <row r="28" spans="1:10" s="3633" customFormat="1">
      <c r="A28" s="3629">
        <v>24</v>
      </c>
      <c r="B28" s="3629" t="s">
        <v>8130</v>
      </c>
      <c r="C28" s="3629">
        <v>17</v>
      </c>
      <c r="D28" s="3629" t="s">
        <v>8072</v>
      </c>
      <c r="E28" s="3629" t="s">
        <v>8090</v>
      </c>
      <c r="F28" s="3629" t="s">
        <v>8131</v>
      </c>
      <c r="G28" s="3643">
        <v>110.15</v>
      </c>
      <c r="H28" s="3649">
        <v>11500</v>
      </c>
      <c r="I28" s="3649">
        <f t="shared" si="0"/>
        <v>127</v>
      </c>
      <c r="J28" s="3644">
        <f ca="1">典型户型修正!T50</f>
        <v>188</v>
      </c>
    </row>
    <row r="29" spans="1:10" s="3633" customFormat="1">
      <c r="A29" s="3629">
        <v>25</v>
      </c>
      <c r="B29" s="3629" t="s">
        <v>8132</v>
      </c>
      <c r="C29" s="3629">
        <v>17</v>
      </c>
      <c r="D29" s="3629" t="s">
        <v>8072</v>
      </c>
      <c r="E29" s="3629" t="s">
        <v>8090</v>
      </c>
      <c r="F29" s="3629" t="s">
        <v>8133</v>
      </c>
      <c r="G29" s="3643">
        <v>110.15</v>
      </c>
      <c r="H29" s="3649">
        <v>11500</v>
      </c>
      <c r="I29" s="3649">
        <f t="shared" si="0"/>
        <v>127</v>
      </c>
      <c r="J29" s="3644">
        <f ca="1">典型户型修正!T51</f>
        <v>188</v>
      </c>
    </row>
    <row r="30" spans="1:10" s="3633" customFormat="1">
      <c r="A30" s="3629">
        <v>26</v>
      </c>
      <c r="B30" s="3629" t="s">
        <v>8134</v>
      </c>
      <c r="C30" s="3629">
        <v>17</v>
      </c>
      <c r="D30" s="3629" t="s">
        <v>8072</v>
      </c>
      <c r="E30" s="3629" t="s">
        <v>8090</v>
      </c>
      <c r="F30" s="3629" t="s">
        <v>8135</v>
      </c>
      <c r="G30" s="3643">
        <v>110.15</v>
      </c>
      <c r="H30" s="3649">
        <v>11500</v>
      </c>
      <c r="I30" s="3649">
        <f t="shared" si="0"/>
        <v>127</v>
      </c>
      <c r="J30" s="3644">
        <f ca="1">典型户型修正!T52</f>
        <v>188</v>
      </c>
    </row>
    <row r="31" spans="1:10" s="3633" customFormat="1">
      <c r="A31" s="3629">
        <v>27</v>
      </c>
      <c r="B31" s="3629" t="s">
        <v>8136</v>
      </c>
      <c r="C31" s="3629">
        <v>17</v>
      </c>
      <c r="D31" s="3629" t="s">
        <v>8072</v>
      </c>
      <c r="E31" s="3629" t="s">
        <v>8090</v>
      </c>
      <c r="F31" s="3629" t="s">
        <v>8137</v>
      </c>
      <c r="G31" s="3643">
        <v>110.15</v>
      </c>
      <c r="H31" s="3649">
        <v>11500</v>
      </c>
      <c r="I31" s="3649">
        <f t="shared" si="0"/>
        <v>127</v>
      </c>
      <c r="J31" s="3644">
        <f ca="1">典型户型修正!T53</f>
        <v>188</v>
      </c>
    </row>
    <row r="32" spans="1:10" s="3633" customFormat="1">
      <c r="A32" s="3629">
        <v>28</v>
      </c>
      <c r="B32" s="3629" t="s">
        <v>8138</v>
      </c>
      <c r="C32" s="3629">
        <v>17</v>
      </c>
      <c r="D32" s="3629" t="s">
        <v>8072</v>
      </c>
      <c r="E32" s="3629" t="s">
        <v>8090</v>
      </c>
      <c r="F32" s="3629" t="s">
        <v>8139</v>
      </c>
      <c r="G32" s="3643">
        <v>110.15</v>
      </c>
      <c r="H32" s="3649">
        <v>11500</v>
      </c>
      <c r="I32" s="3649">
        <f t="shared" si="0"/>
        <v>127</v>
      </c>
      <c r="J32" s="3644">
        <f ca="1">典型户型修正!T54</f>
        <v>188</v>
      </c>
    </row>
    <row r="33" spans="1:10" s="3633" customFormat="1">
      <c r="A33" s="3629">
        <v>29</v>
      </c>
      <c r="B33" s="3629" t="s">
        <v>8140</v>
      </c>
      <c r="C33" s="3629">
        <v>17</v>
      </c>
      <c r="D33" s="3629" t="s">
        <v>8072</v>
      </c>
      <c r="E33" s="3629" t="s">
        <v>8090</v>
      </c>
      <c r="F33" s="3629" t="s">
        <v>8141</v>
      </c>
      <c r="G33" s="3643">
        <v>110.15</v>
      </c>
      <c r="H33" s="3649">
        <v>11500</v>
      </c>
      <c r="I33" s="3649">
        <f t="shared" si="0"/>
        <v>127</v>
      </c>
      <c r="J33" s="3644">
        <f ca="1">典型户型修正!T55</f>
        <v>188</v>
      </c>
    </row>
    <row r="34" spans="1:10" s="3633" customFormat="1">
      <c r="A34" s="3629">
        <v>30</v>
      </c>
      <c r="B34" s="3629" t="s">
        <v>8142</v>
      </c>
      <c r="C34" s="3629">
        <v>17</v>
      </c>
      <c r="D34" s="3629" t="s">
        <v>8072</v>
      </c>
      <c r="E34" s="3629" t="s">
        <v>8090</v>
      </c>
      <c r="F34" s="3629" t="s">
        <v>8143</v>
      </c>
      <c r="G34" s="3643">
        <v>110.15</v>
      </c>
      <c r="H34" s="3649">
        <v>11500</v>
      </c>
      <c r="I34" s="3649">
        <f t="shared" si="0"/>
        <v>127</v>
      </c>
      <c r="J34" s="3644">
        <f ca="1">典型户型修正!T56</f>
        <v>184</v>
      </c>
    </row>
    <row r="35" spans="1:10" s="3633" customFormat="1">
      <c r="A35" s="3629">
        <v>31</v>
      </c>
      <c r="B35" s="3629" t="s">
        <v>8144</v>
      </c>
      <c r="C35" s="3629">
        <v>17</v>
      </c>
      <c r="D35" s="3629" t="s">
        <v>8072</v>
      </c>
      <c r="E35" s="3629" t="s">
        <v>8090</v>
      </c>
      <c r="F35" s="3629" t="s">
        <v>8145</v>
      </c>
      <c r="G35" s="3643">
        <v>110.15</v>
      </c>
      <c r="H35" s="3649">
        <v>11500</v>
      </c>
      <c r="I35" s="3649">
        <f t="shared" si="0"/>
        <v>127</v>
      </c>
      <c r="J35" s="3644">
        <f ca="1">典型户型修正!T57</f>
        <v>184</v>
      </c>
    </row>
    <row r="36" spans="1:10" s="3633" customFormat="1">
      <c r="A36" s="3629">
        <v>32</v>
      </c>
      <c r="B36" s="3629" t="s">
        <v>8146</v>
      </c>
      <c r="C36" s="3629">
        <v>17</v>
      </c>
      <c r="D36" s="3629" t="s">
        <v>8072</v>
      </c>
      <c r="E36" s="3629" t="s">
        <v>8090</v>
      </c>
      <c r="F36" s="3629" t="s">
        <v>8147</v>
      </c>
      <c r="G36" s="3643">
        <v>110.15</v>
      </c>
      <c r="H36" s="3649">
        <v>11500</v>
      </c>
      <c r="I36" s="3649">
        <f t="shared" si="0"/>
        <v>127</v>
      </c>
      <c r="J36" s="3644">
        <f ca="1">典型户型修正!T58</f>
        <v>184</v>
      </c>
    </row>
    <row r="37" spans="1:10" s="3633" customFormat="1">
      <c r="A37" s="3629">
        <v>33</v>
      </c>
      <c r="B37" s="3629" t="s">
        <v>8148</v>
      </c>
      <c r="C37" s="3629">
        <v>17</v>
      </c>
      <c r="D37" s="3629" t="s">
        <v>8072</v>
      </c>
      <c r="E37" s="3629" t="s">
        <v>8090</v>
      </c>
      <c r="F37" s="3629" t="s">
        <v>8149</v>
      </c>
      <c r="G37" s="3643">
        <v>110.15</v>
      </c>
      <c r="H37" s="3649">
        <v>11450</v>
      </c>
      <c r="I37" s="3649">
        <f t="shared" si="0"/>
        <v>126</v>
      </c>
      <c r="J37" s="3644">
        <f ca="1">典型户型修正!T59</f>
        <v>184</v>
      </c>
    </row>
    <row r="38" spans="1:10" s="3633" customFormat="1">
      <c r="A38" s="3629">
        <v>34</v>
      </c>
      <c r="B38" s="3629" t="s">
        <v>8150</v>
      </c>
      <c r="C38" s="3629">
        <v>17</v>
      </c>
      <c r="D38" s="3629" t="s">
        <v>8072</v>
      </c>
      <c r="E38" s="3629" t="s">
        <v>8090</v>
      </c>
      <c r="F38" s="3629" t="s">
        <v>8151</v>
      </c>
      <c r="G38" s="3643">
        <v>96.21</v>
      </c>
      <c r="H38" s="3649">
        <v>11150</v>
      </c>
      <c r="I38" s="3649">
        <f t="shared" si="0"/>
        <v>107</v>
      </c>
      <c r="J38" s="3644">
        <f ca="1">典型户型修正!T60</f>
        <v>159</v>
      </c>
    </row>
    <row r="39" spans="1:10" s="3633" customFormat="1">
      <c r="A39" s="3629">
        <v>35</v>
      </c>
      <c r="B39" s="3629" t="s">
        <v>8152</v>
      </c>
      <c r="C39" s="3629">
        <v>17</v>
      </c>
      <c r="D39" s="3629" t="s">
        <v>8072</v>
      </c>
      <c r="E39" s="3629" t="s">
        <v>8073</v>
      </c>
      <c r="F39" s="3629" t="s">
        <v>8153</v>
      </c>
      <c r="G39" s="3643">
        <v>87.85</v>
      </c>
      <c r="H39" s="3649">
        <v>11400</v>
      </c>
      <c r="I39" s="3649">
        <f t="shared" si="0"/>
        <v>100</v>
      </c>
      <c r="J39" s="3644">
        <f ca="1">典型户型修正!T61</f>
        <v>140</v>
      </c>
    </row>
    <row r="40" spans="1:10" s="3633" customFormat="1">
      <c r="A40" s="3629">
        <v>36</v>
      </c>
      <c r="B40" s="3629" t="s">
        <v>8154</v>
      </c>
      <c r="C40" s="3629">
        <v>17</v>
      </c>
      <c r="D40" s="3629" t="s">
        <v>8072</v>
      </c>
      <c r="E40" s="3629" t="s">
        <v>8073</v>
      </c>
      <c r="F40" s="3629" t="s">
        <v>8155</v>
      </c>
      <c r="G40" s="3643">
        <v>87.85</v>
      </c>
      <c r="H40" s="3649">
        <v>10500</v>
      </c>
      <c r="I40" s="3649">
        <f t="shared" si="0"/>
        <v>92</v>
      </c>
      <c r="J40" s="3644">
        <f ca="1">典型户型修正!T62</f>
        <v>140</v>
      </c>
    </row>
    <row r="41" spans="1:10" s="3633" customFormat="1">
      <c r="A41" s="3629">
        <v>37</v>
      </c>
      <c r="B41" s="3629" t="s">
        <v>8156</v>
      </c>
      <c r="C41" s="3629">
        <v>17</v>
      </c>
      <c r="D41" s="3629" t="s">
        <v>8072</v>
      </c>
      <c r="E41" s="3629" t="s">
        <v>8073</v>
      </c>
      <c r="F41" s="3629" t="s">
        <v>8143</v>
      </c>
      <c r="G41" s="3643">
        <v>87.85</v>
      </c>
      <c r="H41" s="3649">
        <v>10800</v>
      </c>
      <c r="I41" s="3649">
        <f t="shared" si="0"/>
        <v>95</v>
      </c>
      <c r="J41" s="3644">
        <f ca="1">典型户型修正!T63</f>
        <v>140</v>
      </c>
    </row>
    <row r="42" spans="1:10" s="3633" customFormat="1">
      <c r="A42" s="3629">
        <v>38</v>
      </c>
      <c r="B42" s="3629" t="s">
        <v>8157</v>
      </c>
      <c r="C42" s="3629">
        <v>17</v>
      </c>
      <c r="D42" s="3629" t="s">
        <v>8072</v>
      </c>
      <c r="E42" s="3629" t="s">
        <v>8073</v>
      </c>
      <c r="F42" s="3629" t="s">
        <v>8158</v>
      </c>
      <c r="G42" s="3643">
        <v>87.85</v>
      </c>
      <c r="H42" s="3649">
        <v>11050</v>
      </c>
      <c r="I42" s="3649">
        <f t="shared" si="0"/>
        <v>97</v>
      </c>
      <c r="J42" s="3644">
        <f ca="1">典型户型修正!T64</f>
        <v>140</v>
      </c>
    </row>
    <row r="43" spans="1:10" s="3633" customFormat="1">
      <c r="A43" s="3629">
        <v>39</v>
      </c>
      <c r="B43" s="3629" t="s">
        <v>8159</v>
      </c>
      <c r="C43" s="3629">
        <v>17</v>
      </c>
      <c r="D43" s="3629" t="s">
        <v>8072</v>
      </c>
      <c r="E43" s="3629" t="s">
        <v>8073</v>
      </c>
      <c r="F43" s="3629" t="s">
        <v>8160</v>
      </c>
      <c r="G43" s="3643">
        <v>87.85</v>
      </c>
      <c r="H43" s="3649">
        <v>11100</v>
      </c>
      <c r="I43" s="3649">
        <f t="shared" si="0"/>
        <v>98</v>
      </c>
      <c r="J43" s="3644">
        <f ca="1">典型户型修正!T65</f>
        <v>140</v>
      </c>
    </row>
    <row r="44" spans="1:10" s="3633" customFormat="1">
      <c r="A44" s="3629">
        <v>40</v>
      </c>
      <c r="B44" s="3629" t="s">
        <v>8161</v>
      </c>
      <c r="C44" s="3629">
        <v>17</v>
      </c>
      <c r="D44" s="3629" t="s">
        <v>8072</v>
      </c>
      <c r="E44" s="3629" t="s">
        <v>8073</v>
      </c>
      <c r="F44" s="3629" t="s">
        <v>8162</v>
      </c>
      <c r="G44" s="3643">
        <v>87.85</v>
      </c>
      <c r="H44" s="3649">
        <v>11150</v>
      </c>
      <c r="I44" s="3649">
        <f t="shared" si="0"/>
        <v>98</v>
      </c>
      <c r="J44" s="3644">
        <f ca="1">典型户型修正!T66</f>
        <v>146</v>
      </c>
    </row>
    <row r="45" spans="1:10" s="3633" customFormat="1">
      <c r="A45" s="3629">
        <v>41</v>
      </c>
      <c r="B45" s="3629" t="s">
        <v>8163</v>
      </c>
      <c r="C45" s="3629">
        <v>17</v>
      </c>
      <c r="D45" s="3629" t="s">
        <v>8072</v>
      </c>
      <c r="E45" s="3629" t="s">
        <v>8073</v>
      </c>
      <c r="F45" s="3629" t="s">
        <v>8164</v>
      </c>
      <c r="G45" s="3643">
        <v>87.85</v>
      </c>
      <c r="H45" s="3649">
        <v>11150</v>
      </c>
      <c r="I45" s="3649">
        <f t="shared" si="0"/>
        <v>98</v>
      </c>
      <c r="J45" s="3644">
        <f ca="1">典型户型修正!T67</f>
        <v>146</v>
      </c>
    </row>
    <row r="46" spans="1:10" s="3633" customFormat="1">
      <c r="A46" s="3629">
        <v>42</v>
      </c>
      <c r="B46" s="3629" t="s">
        <v>8165</v>
      </c>
      <c r="C46" s="3629">
        <v>17</v>
      </c>
      <c r="D46" s="3629" t="s">
        <v>8072</v>
      </c>
      <c r="E46" s="3629" t="s">
        <v>8073</v>
      </c>
      <c r="F46" s="3629" t="s">
        <v>8166</v>
      </c>
      <c r="G46" s="3643">
        <v>87.85</v>
      </c>
      <c r="H46" s="3649">
        <v>11150</v>
      </c>
      <c r="I46" s="3649">
        <f t="shared" si="0"/>
        <v>98</v>
      </c>
      <c r="J46" s="3644">
        <f ca="1">典型户型修正!T68</f>
        <v>146</v>
      </c>
    </row>
    <row r="47" spans="1:10" s="3633" customFormat="1">
      <c r="A47" s="3629">
        <v>43</v>
      </c>
      <c r="B47" s="3629" t="s">
        <v>8167</v>
      </c>
      <c r="C47" s="3629">
        <v>17</v>
      </c>
      <c r="D47" s="3629" t="s">
        <v>8072</v>
      </c>
      <c r="E47" s="3629" t="s">
        <v>8073</v>
      </c>
      <c r="F47" s="3629" t="s">
        <v>8168</v>
      </c>
      <c r="G47" s="3643">
        <v>87.85</v>
      </c>
      <c r="H47" s="3649">
        <v>11150</v>
      </c>
      <c r="I47" s="3649">
        <f t="shared" si="0"/>
        <v>98</v>
      </c>
      <c r="J47" s="3644">
        <f ca="1">典型户型修正!T69</f>
        <v>146</v>
      </c>
    </row>
    <row r="48" spans="1:10" s="3633" customFormat="1">
      <c r="A48" s="3629">
        <v>44</v>
      </c>
      <c r="B48" s="3629" t="s">
        <v>8169</v>
      </c>
      <c r="C48" s="3629">
        <v>17</v>
      </c>
      <c r="D48" s="3629" t="s">
        <v>8072</v>
      </c>
      <c r="E48" s="3629" t="s">
        <v>8073</v>
      </c>
      <c r="F48" s="3629" t="s">
        <v>8170</v>
      </c>
      <c r="G48" s="3643">
        <v>87.85</v>
      </c>
      <c r="H48" s="3649">
        <v>11150</v>
      </c>
      <c r="I48" s="3649">
        <f t="shared" si="0"/>
        <v>98</v>
      </c>
      <c r="J48" s="3644">
        <f ca="1">典型户型修正!T70</f>
        <v>146</v>
      </c>
    </row>
    <row r="49" spans="1:10" s="3633" customFormat="1">
      <c r="A49" s="3629">
        <v>45</v>
      </c>
      <c r="B49" s="3629" t="s">
        <v>8171</v>
      </c>
      <c r="C49" s="3629">
        <v>17</v>
      </c>
      <c r="D49" s="3629" t="s">
        <v>8072</v>
      </c>
      <c r="E49" s="3629" t="s">
        <v>8073</v>
      </c>
      <c r="F49" s="3629" t="s">
        <v>8172</v>
      </c>
      <c r="G49" s="3643">
        <v>87.85</v>
      </c>
      <c r="H49" s="3649">
        <v>11150</v>
      </c>
      <c r="I49" s="3649">
        <f t="shared" si="0"/>
        <v>98</v>
      </c>
      <c r="J49" s="3644">
        <f ca="1">典型户型修正!T71</f>
        <v>146</v>
      </c>
    </row>
    <row r="50" spans="1:10" s="3633" customFormat="1">
      <c r="A50" s="3629">
        <v>46</v>
      </c>
      <c r="B50" s="3629" t="s">
        <v>8173</v>
      </c>
      <c r="C50" s="3629">
        <v>17</v>
      </c>
      <c r="D50" s="3629" t="s">
        <v>8072</v>
      </c>
      <c r="E50" s="3629" t="s">
        <v>8073</v>
      </c>
      <c r="F50" s="3629" t="s">
        <v>8174</v>
      </c>
      <c r="G50" s="3643">
        <v>87.85</v>
      </c>
      <c r="H50" s="3649">
        <v>11150</v>
      </c>
      <c r="I50" s="3649">
        <f t="shared" si="0"/>
        <v>98</v>
      </c>
      <c r="J50" s="3644">
        <f ca="1">典型户型修正!T72</f>
        <v>143</v>
      </c>
    </row>
    <row r="51" spans="1:10" s="3633" customFormat="1">
      <c r="A51" s="3629">
        <v>47</v>
      </c>
      <c r="B51" s="3629" t="s">
        <v>8175</v>
      </c>
      <c r="C51" s="3629">
        <v>17</v>
      </c>
      <c r="D51" s="3629" t="s">
        <v>8072</v>
      </c>
      <c r="E51" s="3629" t="s">
        <v>8073</v>
      </c>
      <c r="F51" s="3629" t="s">
        <v>8176</v>
      </c>
      <c r="G51" s="3643">
        <v>87.85</v>
      </c>
      <c r="H51" s="3649">
        <v>11150</v>
      </c>
      <c r="I51" s="3649">
        <f t="shared" si="0"/>
        <v>98</v>
      </c>
      <c r="J51" s="3644">
        <f ca="1">典型户型修正!T73</f>
        <v>143</v>
      </c>
    </row>
    <row r="52" spans="1:10" s="3633" customFormat="1">
      <c r="A52" s="3629">
        <v>48</v>
      </c>
      <c r="B52" s="3629" t="s">
        <v>8177</v>
      </c>
      <c r="C52" s="3629">
        <v>17</v>
      </c>
      <c r="D52" s="3629" t="s">
        <v>8072</v>
      </c>
      <c r="E52" s="3629" t="s">
        <v>8073</v>
      </c>
      <c r="F52" s="3629" t="s">
        <v>8178</v>
      </c>
      <c r="G52" s="3643">
        <v>87.85</v>
      </c>
      <c r="H52" s="3649">
        <v>11150</v>
      </c>
      <c r="I52" s="3649">
        <f t="shared" si="0"/>
        <v>98</v>
      </c>
      <c r="J52" s="3644">
        <f ca="1">典型户型修正!T74</f>
        <v>143</v>
      </c>
    </row>
    <row r="53" spans="1:10" s="3633" customFormat="1">
      <c r="A53" s="3629">
        <v>49</v>
      </c>
      <c r="B53" s="3629" t="s">
        <v>8179</v>
      </c>
      <c r="C53" s="3629">
        <v>17</v>
      </c>
      <c r="D53" s="3629" t="s">
        <v>8072</v>
      </c>
      <c r="E53" s="3629" t="s">
        <v>8073</v>
      </c>
      <c r="F53" s="3629" t="s">
        <v>8180</v>
      </c>
      <c r="G53" s="3643">
        <v>87.85</v>
      </c>
      <c r="H53" s="3649">
        <v>11100</v>
      </c>
      <c r="I53" s="3649">
        <f t="shared" si="0"/>
        <v>98</v>
      </c>
      <c r="J53" s="3644">
        <f ca="1">典型户型修正!T75</f>
        <v>143</v>
      </c>
    </row>
    <row r="54" spans="1:10" s="3633" customFormat="1">
      <c r="A54" s="3629">
        <v>50</v>
      </c>
      <c r="B54" s="3629" t="s">
        <v>8181</v>
      </c>
      <c r="C54" s="3629">
        <v>17</v>
      </c>
      <c r="D54" s="3629" t="s">
        <v>8072</v>
      </c>
      <c r="E54" s="3629" t="s">
        <v>8073</v>
      </c>
      <c r="F54" s="3629" t="s">
        <v>8182</v>
      </c>
      <c r="G54" s="3643">
        <v>88.05</v>
      </c>
      <c r="H54" s="3649">
        <v>10300</v>
      </c>
      <c r="I54" s="3649">
        <f t="shared" si="0"/>
        <v>91</v>
      </c>
      <c r="J54" s="3644">
        <f ca="1">典型户型修正!T76</f>
        <v>143</v>
      </c>
    </row>
    <row r="55" spans="1:10" s="3633" customFormat="1">
      <c r="A55" s="3629">
        <v>51</v>
      </c>
      <c r="B55" s="3629" t="s">
        <v>8183</v>
      </c>
      <c r="C55" s="3629">
        <v>17</v>
      </c>
      <c r="D55" s="3629" t="s">
        <v>8072</v>
      </c>
      <c r="E55" s="3629" t="s">
        <v>8073</v>
      </c>
      <c r="F55" s="3629" t="s">
        <v>8184</v>
      </c>
      <c r="G55" s="3643">
        <v>108.29</v>
      </c>
      <c r="H55" s="3649">
        <v>10400</v>
      </c>
      <c r="I55" s="3649">
        <f t="shared" si="0"/>
        <v>113</v>
      </c>
      <c r="J55" s="3644">
        <f ca="1">典型户型修正!T77</f>
        <v>174</v>
      </c>
    </row>
    <row r="56" spans="1:10" s="3633" customFormat="1">
      <c r="A56" s="3629">
        <v>52</v>
      </c>
      <c r="B56" s="3629" t="s">
        <v>8185</v>
      </c>
      <c r="C56" s="3629">
        <v>17</v>
      </c>
      <c r="D56" s="3629" t="s">
        <v>8072</v>
      </c>
      <c r="E56" s="3629" t="s">
        <v>8073</v>
      </c>
      <c r="F56" s="3629" t="s">
        <v>8186</v>
      </c>
      <c r="G56" s="3643">
        <v>108.29</v>
      </c>
      <c r="H56" s="3649">
        <v>9500</v>
      </c>
      <c r="I56" s="3649">
        <f t="shared" si="0"/>
        <v>103</v>
      </c>
      <c r="J56" s="3644">
        <f ca="1">典型户型修正!T78</f>
        <v>174</v>
      </c>
    </row>
    <row r="57" spans="1:10" s="3633" customFormat="1">
      <c r="A57" s="3629">
        <v>53</v>
      </c>
      <c r="B57" s="3629" t="s">
        <v>8187</v>
      </c>
      <c r="C57" s="3629">
        <v>17</v>
      </c>
      <c r="D57" s="3629" t="s">
        <v>8072</v>
      </c>
      <c r="E57" s="3629" t="s">
        <v>8073</v>
      </c>
      <c r="F57" s="3629" t="s">
        <v>8188</v>
      </c>
      <c r="G57" s="3643">
        <v>108.29</v>
      </c>
      <c r="H57" s="3649">
        <v>9800</v>
      </c>
      <c r="I57" s="3649">
        <f t="shared" si="0"/>
        <v>106</v>
      </c>
      <c r="J57" s="3644">
        <f ca="1">典型户型修正!T79</f>
        <v>174</v>
      </c>
    </row>
    <row r="58" spans="1:10" s="3633" customFormat="1">
      <c r="A58" s="3629">
        <v>54</v>
      </c>
      <c r="B58" s="3629" t="s">
        <v>8189</v>
      </c>
      <c r="C58" s="3629">
        <v>17</v>
      </c>
      <c r="D58" s="3629" t="s">
        <v>8072</v>
      </c>
      <c r="E58" s="3629" t="s">
        <v>8073</v>
      </c>
      <c r="F58" s="3629" t="s">
        <v>8190</v>
      </c>
      <c r="G58" s="3643">
        <v>108.29</v>
      </c>
      <c r="H58" s="3649">
        <v>10050</v>
      </c>
      <c r="I58" s="3649">
        <f t="shared" si="0"/>
        <v>109</v>
      </c>
      <c r="J58" s="3644">
        <f ca="1">典型户型修正!T80</f>
        <v>174</v>
      </c>
    </row>
    <row r="59" spans="1:10" s="3633" customFormat="1">
      <c r="A59" s="3629">
        <v>55</v>
      </c>
      <c r="B59" s="3629" t="s">
        <v>8191</v>
      </c>
      <c r="C59" s="3629">
        <v>17</v>
      </c>
      <c r="D59" s="3629" t="s">
        <v>8072</v>
      </c>
      <c r="E59" s="3629" t="s">
        <v>8073</v>
      </c>
      <c r="F59" s="3629" t="s">
        <v>8192</v>
      </c>
      <c r="G59" s="3643">
        <v>108.29</v>
      </c>
      <c r="H59" s="3649">
        <v>10100</v>
      </c>
      <c r="I59" s="3649">
        <f t="shared" si="0"/>
        <v>109</v>
      </c>
      <c r="J59" s="3644">
        <f ca="1">典型户型修正!T81</f>
        <v>174</v>
      </c>
    </row>
    <row r="60" spans="1:10" s="3633" customFormat="1">
      <c r="A60" s="3629">
        <v>56</v>
      </c>
      <c r="B60" s="3629" t="s">
        <v>8193</v>
      </c>
      <c r="C60" s="3629">
        <v>17</v>
      </c>
      <c r="D60" s="3629" t="s">
        <v>8072</v>
      </c>
      <c r="E60" s="3629" t="s">
        <v>8073</v>
      </c>
      <c r="F60" s="3629" t="s">
        <v>8194</v>
      </c>
      <c r="G60" s="3643">
        <v>108.29</v>
      </c>
      <c r="H60" s="3649">
        <v>10150</v>
      </c>
      <c r="I60" s="3649">
        <f t="shared" si="0"/>
        <v>110</v>
      </c>
      <c r="J60" s="3644">
        <f ca="1">典型户型修正!T82</f>
        <v>181</v>
      </c>
    </row>
    <row r="61" spans="1:10" s="3633" customFormat="1">
      <c r="A61" s="3629">
        <v>57</v>
      </c>
      <c r="B61" s="3629" t="s">
        <v>8195</v>
      </c>
      <c r="C61" s="3629">
        <v>17</v>
      </c>
      <c r="D61" s="3629" t="s">
        <v>8072</v>
      </c>
      <c r="E61" s="3629" t="s">
        <v>8073</v>
      </c>
      <c r="F61" s="3629" t="s">
        <v>8196</v>
      </c>
      <c r="G61" s="3643">
        <v>108.29</v>
      </c>
      <c r="H61" s="3649">
        <v>10150</v>
      </c>
      <c r="I61" s="3649">
        <f t="shared" si="0"/>
        <v>110</v>
      </c>
      <c r="J61" s="3644">
        <f ca="1">典型户型修正!T83</f>
        <v>181</v>
      </c>
    </row>
    <row r="62" spans="1:10" s="3633" customFormat="1">
      <c r="A62" s="3629">
        <v>58</v>
      </c>
      <c r="B62" s="3629" t="s">
        <v>8197</v>
      </c>
      <c r="C62" s="3629">
        <v>17</v>
      </c>
      <c r="D62" s="3629" t="s">
        <v>8072</v>
      </c>
      <c r="E62" s="3629" t="s">
        <v>8073</v>
      </c>
      <c r="F62" s="3629" t="s">
        <v>8198</v>
      </c>
      <c r="G62" s="3643">
        <v>108.29</v>
      </c>
      <c r="H62" s="3649">
        <v>10150</v>
      </c>
      <c r="I62" s="3649">
        <f t="shared" si="0"/>
        <v>110</v>
      </c>
      <c r="J62" s="3644">
        <f ca="1">典型户型修正!T84</f>
        <v>181</v>
      </c>
    </row>
    <row r="63" spans="1:10" s="3633" customFormat="1">
      <c r="A63" s="3629">
        <v>59</v>
      </c>
      <c r="B63" s="3629" t="s">
        <v>8199</v>
      </c>
      <c r="C63" s="3629">
        <v>17</v>
      </c>
      <c r="D63" s="3629" t="s">
        <v>8072</v>
      </c>
      <c r="E63" s="3629" t="s">
        <v>8073</v>
      </c>
      <c r="F63" s="3629" t="s">
        <v>8200</v>
      </c>
      <c r="G63" s="3643">
        <v>108.29</v>
      </c>
      <c r="H63" s="3649">
        <v>10150</v>
      </c>
      <c r="I63" s="3649">
        <f t="shared" si="0"/>
        <v>110</v>
      </c>
      <c r="J63" s="3644">
        <f ca="1">典型户型修正!T85</f>
        <v>181</v>
      </c>
    </row>
    <row r="64" spans="1:10" s="3633" customFormat="1">
      <c r="A64" s="3629">
        <v>60</v>
      </c>
      <c r="B64" s="3629" t="s">
        <v>8201</v>
      </c>
      <c r="C64" s="3629">
        <v>17</v>
      </c>
      <c r="D64" s="3629" t="s">
        <v>8072</v>
      </c>
      <c r="E64" s="3629" t="s">
        <v>8073</v>
      </c>
      <c r="F64" s="3629" t="s">
        <v>8202</v>
      </c>
      <c r="G64" s="3643">
        <v>108.29</v>
      </c>
      <c r="H64" s="3649">
        <v>10150</v>
      </c>
      <c r="I64" s="3649">
        <f t="shared" si="0"/>
        <v>110</v>
      </c>
      <c r="J64" s="3644">
        <f ca="1">典型户型修正!T86</f>
        <v>181</v>
      </c>
    </row>
    <row r="65" spans="1:10" s="3633" customFormat="1">
      <c r="A65" s="3629">
        <v>61</v>
      </c>
      <c r="B65" s="3629" t="s">
        <v>8203</v>
      </c>
      <c r="C65" s="3629">
        <v>17</v>
      </c>
      <c r="D65" s="3629" t="s">
        <v>8072</v>
      </c>
      <c r="E65" s="3629" t="s">
        <v>8073</v>
      </c>
      <c r="F65" s="3629" t="s">
        <v>8204</v>
      </c>
      <c r="G65" s="3643">
        <v>108.29</v>
      </c>
      <c r="H65" s="3649">
        <v>10150</v>
      </c>
      <c r="I65" s="3649">
        <f t="shared" si="0"/>
        <v>110</v>
      </c>
      <c r="J65" s="3644">
        <f ca="1">典型户型修正!T87</f>
        <v>181</v>
      </c>
    </row>
    <row r="66" spans="1:10" s="3633" customFormat="1">
      <c r="A66" s="3629">
        <v>62</v>
      </c>
      <c r="B66" s="3629" t="s">
        <v>8205</v>
      </c>
      <c r="C66" s="3629">
        <v>17</v>
      </c>
      <c r="D66" s="3629" t="s">
        <v>8072</v>
      </c>
      <c r="E66" s="3629" t="s">
        <v>8073</v>
      </c>
      <c r="F66" s="3629" t="s">
        <v>8206</v>
      </c>
      <c r="G66" s="3643">
        <v>108.29</v>
      </c>
      <c r="H66" s="3649">
        <v>10150</v>
      </c>
      <c r="I66" s="3649">
        <f t="shared" si="0"/>
        <v>110</v>
      </c>
      <c r="J66" s="3644">
        <f ca="1">典型户型修正!T88</f>
        <v>178</v>
      </c>
    </row>
    <row r="67" spans="1:10" s="3633" customFormat="1">
      <c r="A67" s="3629">
        <v>63</v>
      </c>
      <c r="B67" s="3629" t="s">
        <v>8207</v>
      </c>
      <c r="C67" s="3629">
        <v>17</v>
      </c>
      <c r="D67" s="3629" t="s">
        <v>8072</v>
      </c>
      <c r="E67" s="3629" t="s">
        <v>8073</v>
      </c>
      <c r="F67" s="3629" t="s">
        <v>8208</v>
      </c>
      <c r="G67" s="3643">
        <v>108.29</v>
      </c>
      <c r="H67" s="3649">
        <v>10150</v>
      </c>
      <c r="I67" s="3649">
        <f t="shared" si="0"/>
        <v>110</v>
      </c>
      <c r="J67" s="3644">
        <f ca="1">典型户型修正!T89</f>
        <v>178</v>
      </c>
    </row>
    <row r="68" spans="1:10" s="3633" customFormat="1">
      <c r="A68" s="3629">
        <v>64</v>
      </c>
      <c r="B68" s="3629" t="s">
        <v>8209</v>
      </c>
      <c r="C68" s="3629">
        <v>17</v>
      </c>
      <c r="D68" s="3629" t="s">
        <v>8072</v>
      </c>
      <c r="E68" s="3629" t="s">
        <v>8073</v>
      </c>
      <c r="F68" s="3629" t="s">
        <v>8210</v>
      </c>
      <c r="G68" s="3643">
        <v>108.29</v>
      </c>
      <c r="H68" s="3649">
        <v>10150</v>
      </c>
      <c r="I68" s="3649">
        <f t="shared" si="0"/>
        <v>110</v>
      </c>
      <c r="J68" s="3644">
        <f ca="1">典型户型修正!T90</f>
        <v>178</v>
      </c>
    </row>
    <row r="69" spans="1:10" s="3633" customFormat="1">
      <c r="A69" s="3629">
        <v>65</v>
      </c>
      <c r="B69" s="3629" t="s">
        <v>8211</v>
      </c>
      <c r="C69" s="3629">
        <v>17</v>
      </c>
      <c r="D69" s="3629" t="s">
        <v>8072</v>
      </c>
      <c r="E69" s="3629" t="s">
        <v>8073</v>
      </c>
      <c r="F69" s="3629" t="s">
        <v>8212</v>
      </c>
      <c r="G69" s="3643">
        <v>108.29</v>
      </c>
      <c r="H69" s="3649">
        <v>10100</v>
      </c>
      <c r="I69" s="3649">
        <f t="shared" si="0"/>
        <v>109</v>
      </c>
      <c r="J69" s="3644">
        <f ca="1">典型户型修正!T91</f>
        <v>178</v>
      </c>
    </row>
    <row r="70" spans="1:10" s="3633" customFormat="1">
      <c r="A70" s="3629">
        <v>66</v>
      </c>
      <c r="B70" s="3629" t="s">
        <v>8213</v>
      </c>
      <c r="C70" s="3629">
        <v>17</v>
      </c>
      <c r="D70" s="3629" t="s">
        <v>8072</v>
      </c>
      <c r="E70" s="3629" t="s">
        <v>8073</v>
      </c>
      <c r="F70" s="3629" t="s">
        <v>8214</v>
      </c>
      <c r="G70" s="3643">
        <v>93.99</v>
      </c>
      <c r="H70" s="3649">
        <v>9300</v>
      </c>
      <c r="I70" s="3649">
        <f t="shared" si="0"/>
        <v>87</v>
      </c>
      <c r="J70" s="3644">
        <f ca="1">典型户型修正!T92</f>
        <v>153</v>
      </c>
    </row>
    <row r="71" spans="1:10" s="3633" customFormat="1">
      <c r="A71" s="3629">
        <v>67</v>
      </c>
      <c r="B71" s="3629" t="s">
        <v>8215</v>
      </c>
      <c r="C71" s="3629">
        <v>17</v>
      </c>
      <c r="D71" s="3629" t="s">
        <v>8072</v>
      </c>
      <c r="E71" s="3629" t="s">
        <v>8073</v>
      </c>
      <c r="F71" s="3629" t="s">
        <v>8216</v>
      </c>
      <c r="G71" s="3643">
        <v>108.28</v>
      </c>
      <c r="H71" s="3649">
        <v>10400</v>
      </c>
      <c r="I71" s="3649">
        <f t="shared" ref="I71:I134" si="1">ROUND(G71*H71/10000,0)</f>
        <v>113</v>
      </c>
      <c r="J71" s="3644">
        <f ca="1">典型户型修正!T93</f>
        <v>174</v>
      </c>
    </row>
    <row r="72" spans="1:10" s="3633" customFormat="1">
      <c r="A72" s="3629">
        <v>68</v>
      </c>
      <c r="B72" s="3629" t="s">
        <v>8217</v>
      </c>
      <c r="C72" s="3629">
        <v>17</v>
      </c>
      <c r="D72" s="3629" t="s">
        <v>8072</v>
      </c>
      <c r="E72" s="3629" t="s">
        <v>8073</v>
      </c>
      <c r="F72" s="3629" t="s">
        <v>8218</v>
      </c>
      <c r="G72" s="3643">
        <v>108.28</v>
      </c>
      <c r="H72" s="3649">
        <v>9500</v>
      </c>
      <c r="I72" s="3649">
        <f t="shared" si="1"/>
        <v>103</v>
      </c>
      <c r="J72" s="3644">
        <f ca="1">典型户型修正!T94</f>
        <v>174</v>
      </c>
    </row>
    <row r="73" spans="1:10" s="3633" customFormat="1">
      <c r="A73" s="3629">
        <v>69</v>
      </c>
      <c r="B73" s="3629" t="s">
        <v>8219</v>
      </c>
      <c r="C73" s="3629">
        <v>17</v>
      </c>
      <c r="D73" s="3629" t="s">
        <v>8072</v>
      </c>
      <c r="E73" s="3629" t="s">
        <v>8073</v>
      </c>
      <c r="F73" s="3629" t="s">
        <v>8220</v>
      </c>
      <c r="G73" s="3643">
        <v>108.28</v>
      </c>
      <c r="H73" s="3649">
        <v>9800</v>
      </c>
      <c r="I73" s="3649">
        <f t="shared" si="1"/>
        <v>106</v>
      </c>
      <c r="J73" s="3644">
        <f ca="1">典型户型修正!T95</f>
        <v>174</v>
      </c>
    </row>
    <row r="74" spans="1:10" s="3633" customFormat="1">
      <c r="A74" s="3629">
        <v>70</v>
      </c>
      <c r="B74" s="3629" t="s">
        <v>8221</v>
      </c>
      <c r="C74" s="3629">
        <v>17</v>
      </c>
      <c r="D74" s="3629" t="s">
        <v>8072</v>
      </c>
      <c r="E74" s="3629" t="s">
        <v>8073</v>
      </c>
      <c r="F74" s="3629" t="s">
        <v>8222</v>
      </c>
      <c r="G74" s="3643">
        <v>108.28</v>
      </c>
      <c r="H74" s="3649">
        <v>10050</v>
      </c>
      <c r="I74" s="3649">
        <f t="shared" si="1"/>
        <v>109</v>
      </c>
      <c r="J74" s="3644">
        <f ca="1">典型户型修正!T96</f>
        <v>174</v>
      </c>
    </row>
    <row r="75" spans="1:10" s="3633" customFormat="1">
      <c r="A75" s="3629">
        <v>71</v>
      </c>
      <c r="B75" s="3629" t="s">
        <v>8223</v>
      </c>
      <c r="C75" s="3629">
        <v>17</v>
      </c>
      <c r="D75" s="3629" t="s">
        <v>8072</v>
      </c>
      <c r="E75" s="3629" t="s">
        <v>8073</v>
      </c>
      <c r="F75" s="3629" t="s">
        <v>8224</v>
      </c>
      <c r="G75" s="3643">
        <v>108.28</v>
      </c>
      <c r="H75" s="3649">
        <v>10100</v>
      </c>
      <c r="I75" s="3649">
        <f t="shared" si="1"/>
        <v>109</v>
      </c>
      <c r="J75" s="3644">
        <f ca="1">典型户型修正!T97</f>
        <v>174</v>
      </c>
    </row>
    <row r="76" spans="1:10" s="3633" customFormat="1">
      <c r="A76" s="3629">
        <v>72</v>
      </c>
      <c r="B76" s="3629" t="s">
        <v>8225</v>
      </c>
      <c r="C76" s="3629">
        <v>17</v>
      </c>
      <c r="D76" s="3629" t="s">
        <v>8072</v>
      </c>
      <c r="E76" s="3629" t="s">
        <v>8073</v>
      </c>
      <c r="F76" s="3629" t="s">
        <v>8226</v>
      </c>
      <c r="G76" s="3643">
        <v>108.28</v>
      </c>
      <c r="H76" s="3649">
        <v>10150</v>
      </c>
      <c r="I76" s="3649">
        <f t="shared" si="1"/>
        <v>110</v>
      </c>
      <c r="J76" s="3644">
        <f ca="1">典型户型修正!T98</f>
        <v>181</v>
      </c>
    </row>
    <row r="77" spans="1:10" s="3633" customFormat="1">
      <c r="A77" s="3629">
        <v>73</v>
      </c>
      <c r="B77" s="3629" t="s">
        <v>8227</v>
      </c>
      <c r="C77" s="3629">
        <v>17</v>
      </c>
      <c r="D77" s="3629" t="s">
        <v>8072</v>
      </c>
      <c r="E77" s="3629" t="s">
        <v>8073</v>
      </c>
      <c r="F77" s="3629" t="s">
        <v>8228</v>
      </c>
      <c r="G77" s="3643">
        <v>108.28</v>
      </c>
      <c r="H77" s="3649">
        <v>10150</v>
      </c>
      <c r="I77" s="3649">
        <f t="shared" si="1"/>
        <v>110</v>
      </c>
      <c r="J77" s="3644">
        <f ca="1">典型户型修正!T99</f>
        <v>181</v>
      </c>
    </row>
    <row r="78" spans="1:10" s="3633" customFormat="1">
      <c r="A78" s="3629">
        <v>74</v>
      </c>
      <c r="B78" s="3629" t="s">
        <v>8229</v>
      </c>
      <c r="C78" s="3629">
        <v>17</v>
      </c>
      <c r="D78" s="3629" t="s">
        <v>8072</v>
      </c>
      <c r="E78" s="3629" t="s">
        <v>8073</v>
      </c>
      <c r="F78" s="3629" t="s">
        <v>8230</v>
      </c>
      <c r="G78" s="3643">
        <v>108.28</v>
      </c>
      <c r="H78" s="3649">
        <v>10150</v>
      </c>
      <c r="I78" s="3649">
        <f t="shared" si="1"/>
        <v>110</v>
      </c>
      <c r="J78" s="3644">
        <f ca="1">典型户型修正!T100</f>
        <v>181</v>
      </c>
    </row>
    <row r="79" spans="1:10" s="3633" customFormat="1">
      <c r="A79" s="3629">
        <v>75</v>
      </c>
      <c r="B79" s="3629" t="s">
        <v>8231</v>
      </c>
      <c r="C79" s="3629">
        <v>17</v>
      </c>
      <c r="D79" s="3629" t="s">
        <v>8072</v>
      </c>
      <c r="E79" s="3629" t="s">
        <v>8073</v>
      </c>
      <c r="F79" s="3629" t="s">
        <v>8232</v>
      </c>
      <c r="G79" s="3643">
        <v>108.28</v>
      </c>
      <c r="H79" s="3649">
        <v>10150</v>
      </c>
      <c r="I79" s="3649">
        <f t="shared" si="1"/>
        <v>110</v>
      </c>
      <c r="J79" s="3644">
        <f ca="1">典型户型修正!T101</f>
        <v>181</v>
      </c>
    </row>
    <row r="80" spans="1:10" s="3633" customFormat="1">
      <c r="A80" s="3629">
        <v>76</v>
      </c>
      <c r="B80" s="3629" t="s">
        <v>8233</v>
      </c>
      <c r="C80" s="3629">
        <v>17</v>
      </c>
      <c r="D80" s="3629" t="s">
        <v>8072</v>
      </c>
      <c r="E80" s="3629" t="s">
        <v>8073</v>
      </c>
      <c r="F80" s="3629" t="s">
        <v>8234</v>
      </c>
      <c r="G80" s="3643">
        <v>108.28</v>
      </c>
      <c r="H80" s="3649">
        <v>10150</v>
      </c>
      <c r="I80" s="3649">
        <f t="shared" si="1"/>
        <v>110</v>
      </c>
      <c r="J80" s="3644">
        <f ca="1">典型户型修正!T102</f>
        <v>181</v>
      </c>
    </row>
    <row r="81" spans="1:10" s="3633" customFormat="1">
      <c r="A81" s="3629">
        <v>77</v>
      </c>
      <c r="B81" s="3629" t="s">
        <v>8235</v>
      </c>
      <c r="C81" s="3629">
        <v>17</v>
      </c>
      <c r="D81" s="3629" t="s">
        <v>8072</v>
      </c>
      <c r="E81" s="3629" t="s">
        <v>8073</v>
      </c>
      <c r="F81" s="3629" t="s">
        <v>8236</v>
      </c>
      <c r="G81" s="3643">
        <v>108.28</v>
      </c>
      <c r="H81" s="3649">
        <v>10150</v>
      </c>
      <c r="I81" s="3649">
        <f t="shared" si="1"/>
        <v>110</v>
      </c>
      <c r="J81" s="3644">
        <f ca="1">典型户型修正!T103</f>
        <v>181</v>
      </c>
    </row>
    <row r="82" spans="1:10" s="3633" customFormat="1">
      <c r="A82" s="3629">
        <v>78</v>
      </c>
      <c r="B82" s="3629" t="s">
        <v>8237</v>
      </c>
      <c r="C82" s="3629">
        <v>17</v>
      </c>
      <c r="D82" s="3629" t="s">
        <v>8072</v>
      </c>
      <c r="E82" s="3629" t="s">
        <v>8073</v>
      </c>
      <c r="F82" s="3629" t="s">
        <v>8238</v>
      </c>
      <c r="G82" s="3643">
        <v>108.28</v>
      </c>
      <c r="H82" s="3649">
        <v>10150</v>
      </c>
      <c r="I82" s="3649">
        <f t="shared" si="1"/>
        <v>110</v>
      </c>
      <c r="J82" s="3644">
        <f ca="1">典型户型修正!T104</f>
        <v>178</v>
      </c>
    </row>
    <row r="83" spans="1:10" s="3633" customFormat="1">
      <c r="A83" s="3629">
        <v>79</v>
      </c>
      <c r="B83" s="3629" t="s">
        <v>8239</v>
      </c>
      <c r="C83" s="3629">
        <v>17</v>
      </c>
      <c r="D83" s="3629" t="s">
        <v>8072</v>
      </c>
      <c r="E83" s="3629" t="s">
        <v>8073</v>
      </c>
      <c r="F83" s="3629" t="s">
        <v>8240</v>
      </c>
      <c r="G83" s="3643">
        <v>108.28</v>
      </c>
      <c r="H83" s="3649">
        <v>10150</v>
      </c>
      <c r="I83" s="3649">
        <f t="shared" si="1"/>
        <v>110</v>
      </c>
      <c r="J83" s="3644">
        <f ca="1">典型户型修正!T105</f>
        <v>178</v>
      </c>
    </row>
    <row r="84" spans="1:10" s="3633" customFormat="1">
      <c r="A84" s="3629">
        <v>80</v>
      </c>
      <c r="B84" s="3629" t="s">
        <v>8241</v>
      </c>
      <c r="C84" s="3629">
        <v>17</v>
      </c>
      <c r="D84" s="3629" t="s">
        <v>8072</v>
      </c>
      <c r="E84" s="3629" t="s">
        <v>8073</v>
      </c>
      <c r="F84" s="3629" t="s">
        <v>8242</v>
      </c>
      <c r="G84" s="3643">
        <v>108.28</v>
      </c>
      <c r="H84" s="3649">
        <v>10150</v>
      </c>
      <c r="I84" s="3649">
        <f t="shared" si="1"/>
        <v>110</v>
      </c>
      <c r="J84" s="3644">
        <f ca="1">典型户型修正!T106</f>
        <v>178</v>
      </c>
    </row>
    <row r="85" spans="1:10" s="3633" customFormat="1">
      <c r="A85" s="3629">
        <v>81</v>
      </c>
      <c r="B85" s="3629" t="s">
        <v>8243</v>
      </c>
      <c r="C85" s="3629">
        <v>17</v>
      </c>
      <c r="D85" s="3629" t="s">
        <v>8072</v>
      </c>
      <c r="E85" s="3629" t="s">
        <v>8073</v>
      </c>
      <c r="F85" s="3629" t="s">
        <v>8244</v>
      </c>
      <c r="G85" s="3643">
        <v>108.28</v>
      </c>
      <c r="H85" s="3649">
        <v>10100</v>
      </c>
      <c r="I85" s="3649">
        <f t="shared" si="1"/>
        <v>109</v>
      </c>
      <c r="J85" s="3644">
        <f ca="1">典型户型修正!T107</f>
        <v>178</v>
      </c>
    </row>
    <row r="86" spans="1:10" s="3633" customFormat="1">
      <c r="A86" s="3629">
        <v>82</v>
      </c>
      <c r="B86" s="3629" t="s">
        <v>8245</v>
      </c>
      <c r="C86" s="3629">
        <v>17</v>
      </c>
      <c r="D86" s="3629" t="s">
        <v>8072</v>
      </c>
      <c r="E86" s="3629" t="s">
        <v>8073</v>
      </c>
      <c r="F86" s="3629" t="s">
        <v>8246</v>
      </c>
      <c r="G86" s="3643">
        <v>93.92</v>
      </c>
      <c r="H86" s="3649">
        <v>9800</v>
      </c>
      <c r="I86" s="3649">
        <f t="shared" si="1"/>
        <v>92</v>
      </c>
      <c r="J86" s="3644">
        <f ca="1">典型户型修正!T108</f>
        <v>153</v>
      </c>
    </row>
    <row r="87" spans="1:10" s="3633" customFormat="1">
      <c r="A87" s="3629">
        <v>83</v>
      </c>
      <c r="B87" s="3629" t="s">
        <v>8247</v>
      </c>
      <c r="C87" s="3629">
        <v>17</v>
      </c>
      <c r="D87" s="3629" t="s">
        <v>8072</v>
      </c>
      <c r="E87" s="3629" t="s">
        <v>8073</v>
      </c>
      <c r="F87" s="3629" t="s">
        <v>8248</v>
      </c>
      <c r="G87" s="3643">
        <v>87.95</v>
      </c>
      <c r="H87" s="3649">
        <v>11400</v>
      </c>
      <c r="I87" s="3649">
        <f t="shared" si="1"/>
        <v>100</v>
      </c>
      <c r="J87" s="3644">
        <f ca="1">典型户型修正!T109</f>
        <v>140</v>
      </c>
    </row>
    <row r="88" spans="1:10" s="3633" customFormat="1">
      <c r="A88" s="3629">
        <v>84</v>
      </c>
      <c r="B88" s="3629" t="s">
        <v>8249</v>
      </c>
      <c r="C88" s="3629">
        <v>17</v>
      </c>
      <c r="D88" s="3629" t="s">
        <v>8072</v>
      </c>
      <c r="E88" s="3629" t="s">
        <v>8073</v>
      </c>
      <c r="F88" s="3629" t="s">
        <v>8250</v>
      </c>
      <c r="G88" s="3643">
        <v>87.95</v>
      </c>
      <c r="H88" s="3649">
        <v>10500</v>
      </c>
      <c r="I88" s="3649">
        <f t="shared" si="1"/>
        <v>92</v>
      </c>
      <c r="J88" s="3644">
        <f ca="1">典型户型修正!T110</f>
        <v>140</v>
      </c>
    </row>
    <row r="89" spans="1:10" s="3633" customFormat="1">
      <c r="A89" s="3629">
        <v>85</v>
      </c>
      <c r="B89" s="3629" t="s">
        <v>8251</v>
      </c>
      <c r="C89" s="3629">
        <v>17</v>
      </c>
      <c r="D89" s="3629" t="s">
        <v>8072</v>
      </c>
      <c r="E89" s="3629" t="s">
        <v>8073</v>
      </c>
      <c r="F89" s="3629" t="s">
        <v>8252</v>
      </c>
      <c r="G89" s="3643">
        <v>87.95</v>
      </c>
      <c r="H89" s="3649">
        <v>10800</v>
      </c>
      <c r="I89" s="3649">
        <f t="shared" si="1"/>
        <v>95</v>
      </c>
      <c r="J89" s="3644">
        <f ca="1">典型户型修正!T111</f>
        <v>140</v>
      </c>
    </row>
    <row r="90" spans="1:10" s="3633" customFormat="1">
      <c r="A90" s="3629">
        <v>86</v>
      </c>
      <c r="B90" s="3629" t="s">
        <v>8253</v>
      </c>
      <c r="C90" s="3629">
        <v>17</v>
      </c>
      <c r="D90" s="3629" t="s">
        <v>8072</v>
      </c>
      <c r="E90" s="3629" t="s">
        <v>8073</v>
      </c>
      <c r="F90" s="3629" t="s">
        <v>8254</v>
      </c>
      <c r="G90" s="3643">
        <v>87.95</v>
      </c>
      <c r="H90" s="3649">
        <v>11050</v>
      </c>
      <c r="I90" s="3649">
        <f t="shared" si="1"/>
        <v>97</v>
      </c>
      <c r="J90" s="3644">
        <f ca="1">典型户型修正!T112</f>
        <v>140</v>
      </c>
    </row>
    <row r="91" spans="1:10" s="3633" customFormat="1">
      <c r="A91" s="3629">
        <v>87</v>
      </c>
      <c r="B91" s="3629" t="s">
        <v>8255</v>
      </c>
      <c r="C91" s="3629">
        <v>17</v>
      </c>
      <c r="D91" s="3629" t="s">
        <v>8072</v>
      </c>
      <c r="E91" s="3629" t="s">
        <v>8073</v>
      </c>
      <c r="F91" s="3629" t="s">
        <v>8256</v>
      </c>
      <c r="G91" s="3643">
        <v>87.95</v>
      </c>
      <c r="H91" s="3649">
        <v>11100</v>
      </c>
      <c r="I91" s="3649">
        <f t="shared" si="1"/>
        <v>98</v>
      </c>
      <c r="J91" s="3644">
        <f ca="1">典型户型修正!T113</f>
        <v>140</v>
      </c>
    </row>
    <row r="92" spans="1:10" s="3633" customFormat="1">
      <c r="A92" s="3629">
        <v>88</v>
      </c>
      <c r="B92" s="3629" t="s">
        <v>8257</v>
      </c>
      <c r="C92" s="3629">
        <v>17</v>
      </c>
      <c r="D92" s="3629" t="s">
        <v>8072</v>
      </c>
      <c r="E92" s="3629" t="s">
        <v>8073</v>
      </c>
      <c r="F92" s="3629" t="s">
        <v>8258</v>
      </c>
      <c r="G92" s="3643">
        <v>87.95</v>
      </c>
      <c r="H92" s="3649">
        <v>11150</v>
      </c>
      <c r="I92" s="3649">
        <f t="shared" si="1"/>
        <v>98</v>
      </c>
      <c r="J92" s="3644">
        <f ca="1">典型户型修正!T114</f>
        <v>146</v>
      </c>
    </row>
    <row r="93" spans="1:10" s="3633" customFormat="1">
      <c r="A93" s="3629">
        <v>89</v>
      </c>
      <c r="B93" s="3629" t="s">
        <v>8259</v>
      </c>
      <c r="C93" s="3629">
        <v>17</v>
      </c>
      <c r="D93" s="3629" t="s">
        <v>8072</v>
      </c>
      <c r="E93" s="3629" t="s">
        <v>8073</v>
      </c>
      <c r="F93" s="3629" t="s">
        <v>8260</v>
      </c>
      <c r="G93" s="3643">
        <v>87.95</v>
      </c>
      <c r="H93" s="3649">
        <v>11150</v>
      </c>
      <c r="I93" s="3649">
        <f t="shared" si="1"/>
        <v>98</v>
      </c>
      <c r="J93" s="3644">
        <f ca="1">典型户型修正!T115</f>
        <v>146</v>
      </c>
    </row>
    <row r="94" spans="1:10" s="3633" customFormat="1">
      <c r="A94" s="3629">
        <v>90</v>
      </c>
      <c r="B94" s="3629" t="s">
        <v>8261</v>
      </c>
      <c r="C94" s="3629">
        <v>17</v>
      </c>
      <c r="D94" s="3629" t="s">
        <v>8072</v>
      </c>
      <c r="E94" s="3629" t="s">
        <v>8073</v>
      </c>
      <c r="F94" s="3629" t="s">
        <v>8262</v>
      </c>
      <c r="G94" s="3643">
        <v>87.95</v>
      </c>
      <c r="H94" s="3649">
        <v>11150</v>
      </c>
      <c r="I94" s="3649">
        <f t="shared" si="1"/>
        <v>98</v>
      </c>
      <c r="J94" s="3644">
        <f ca="1">典型户型修正!T116</f>
        <v>146</v>
      </c>
    </row>
    <row r="95" spans="1:10" s="3633" customFormat="1">
      <c r="A95" s="3629">
        <v>91</v>
      </c>
      <c r="B95" s="3629" t="s">
        <v>8263</v>
      </c>
      <c r="C95" s="3629">
        <v>17</v>
      </c>
      <c r="D95" s="3629" t="s">
        <v>8072</v>
      </c>
      <c r="E95" s="3629" t="s">
        <v>8073</v>
      </c>
      <c r="F95" s="3629" t="s">
        <v>8264</v>
      </c>
      <c r="G95" s="3643">
        <v>87.95</v>
      </c>
      <c r="H95" s="3649">
        <v>11150</v>
      </c>
      <c r="I95" s="3649">
        <f t="shared" si="1"/>
        <v>98</v>
      </c>
      <c r="J95" s="3644">
        <f ca="1">典型户型修正!T117</f>
        <v>146</v>
      </c>
    </row>
    <row r="96" spans="1:10" s="3633" customFormat="1">
      <c r="A96" s="3629">
        <v>92</v>
      </c>
      <c r="B96" s="3629" t="s">
        <v>8265</v>
      </c>
      <c r="C96" s="3629">
        <v>17</v>
      </c>
      <c r="D96" s="3629" t="s">
        <v>8072</v>
      </c>
      <c r="E96" s="3629" t="s">
        <v>8073</v>
      </c>
      <c r="F96" s="3629" t="s">
        <v>8266</v>
      </c>
      <c r="G96" s="3643">
        <v>87.95</v>
      </c>
      <c r="H96" s="3649">
        <v>11150</v>
      </c>
      <c r="I96" s="3649">
        <f t="shared" si="1"/>
        <v>98</v>
      </c>
      <c r="J96" s="3644">
        <f ca="1">典型户型修正!T118</f>
        <v>146</v>
      </c>
    </row>
    <row r="97" spans="1:10" s="3633" customFormat="1">
      <c r="A97" s="3629">
        <v>93</v>
      </c>
      <c r="B97" s="3629" t="s">
        <v>8267</v>
      </c>
      <c r="C97" s="3629">
        <v>17</v>
      </c>
      <c r="D97" s="3629" t="s">
        <v>8072</v>
      </c>
      <c r="E97" s="3629" t="s">
        <v>8073</v>
      </c>
      <c r="F97" s="3629" t="s">
        <v>8268</v>
      </c>
      <c r="G97" s="3643">
        <v>87.95</v>
      </c>
      <c r="H97" s="3649">
        <v>11150</v>
      </c>
      <c r="I97" s="3649">
        <f t="shared" si="1"/>
        <v>98</v>
      </c>
      <c r="J97" s="3644">
        <f ca="1">典型户型修正!T119</f>
        <v>146</v>
      </c>
    </row>
    <row r="98" spans="1:10" s="3633" customFormat="1">
      <c r="A98" s="3629">
        <v>94</v>
      </c>
      <c r="B98" s="3629" t="s">
        <v>8269</v>
      </c>
      <c r="C98" s="3629">
        <v>17</v>
      </c>
      <c r="D98" s="3629" t="s">
        <v>8072</v>
      </c>
      <c r="E98" s="3629" t="s">
        <v>8073</v>
      </c>
      <c r="F98" s="3629" t="s">
        <v>8270</v>
      </c>
      <c r="G98" s="3643">
        <v>87.95</v>
      </c>
      <c r="H98" s="3649">
        <v>11150</v>
      </c>
      <c r="I98" s="3649">
        <f t="shared" si="1"/>
        <v>98</v>
      </c>
      <c r="J98" s="3644">
        <f ca="1">典型户型修正!T120</f>
        <v>143</v>
      </c>
    </row>
    <row r="99" spans="1:10" s="3633" customFormat="1">
      <c r="A99" s="3629">
        <v>95</v>
      </c>
      <c r="B99" s="3629" t="s">
        <v>8271</v>
      </c>
      <c r="C99" s="3629">
        <v>17</v>
      </c>
      <c r="D99" s="3629" t="s">
        <v>8072</v>
      </c>
      <c r="E99" s="3629" t="s">
        <v>8073</v>
      </c>
      <c r="F99" s="3629" t="s">
        <v>8272</v>
      </c>
      <c r="G99" s="3643">
        <v>87.95</v>
      </c>
      <c r="H99" s="3649">
        <v>11150</v>
      </c>
      <c r="I99" s="3649">
        <f t="shared" si="1"/>
        <v>98</v>
      </c>
      <c r="J99" s="3644">
        <f ca="1">典型户型修正!T121</f>
        <v>143</v>
      </c>
    </row>
    <row r="100" spans="1:10" s="3633" customFormat="1">
      <c r="A100" s="3629">
        <v>96</v>
      </c>
      <c r="B100" s="3629" t="s">
        <v>8273</v>
      </c>
      <c r="C100" s="3629">
        <v>17</v>
      </c>
      <c r="D100" s="3629" t="s">
        <v>8072</v>
      </c>
      <c r="E100" s="3629" t="s">
        <v>8073</v>
      </c>
      <c r="F100" s="3629" t="s">
        <v>8274</v>
      </c>
      <c r="G100" s="3643">
        <v>87.95</v>
      </c>
      <c r="H100" s="3649">
        <v>11150</v>
      </c>
      <c r="I100" s="3649">
        <f t="shared" si="1"/>
        <v>98</v>
      </c>
      <c r="J100" s="3644">
        <f ca="1">典型户型修正!T122</f>
        <v>143</v>
      </c>
    </row>
    <row r="101" spans="1:10" s="3633" customFormat="1">
      <c r="A101" s="3629">
        <v>97</v>
      </c>
      <c r="B101" s="3629" t="s">
        <v>8275</v>
      </c>
      <c r="C101" s="3629">
        <v>17</v>
      </c>
      <c r="D101" s="3629" t="s">
        <v>8072</v>
      </c>
      <c r="E101" s="3629" t="s">
        <v>8073</v>
      </c>
      <c r="F101" s="3629" t="s">
        <v>8276</v>
      </c>
      <c r="G101" s="3643">
        <v>87.95</v>
      </c>
      <c r="H101" s="3649">
        <v>11100</v>
      </c>
      <c r="I101" s="3649">
        <f t="shared" si="1"/>
        <v>98</v>
      </c>
      <c r="J101" s="3644">
        <f ca="1">典型户型修正!T123</f>
        <v>143</v>
      </c>
    </row>
    <row r="102" spans="1:10" s="3633" customFormat="1">
      <c r="A102" s="3629">
        <v>98</v>
      </c>
      <c r="B102" s="3629" t="s">
        <v>8277</v>
      </c>
      <c r="C102" s="3629">
        <v>17</v>
      </c>
      <c r="D102" s="3629" t="s">
        <v>8072</v>
      </c>
      <c r="E102" s="3629" t="s">
        <v>8073</v>
      </c>
      <c r="F102" s="3629" t="s">
        <v>8278</v>
      </c>
      <c r="G102" s="3643">
        <v>88.05</v>
      </c>
      <c r="H102" s="3649">
        <v>10300</v>
      </c>
      <c r="I102" s="3649">
        <f t="shared" si="1"/>
        <v>91</v>
      </c>
      <c r="J102" s="3644">
        <f ca="1">典型户型修正!T124</f>
        <v>143</v>
      </c>
    </row>
    <row r="103" spans="1:10" s="3633" customFormat="1">
      <c r="A103" s="3629">
        <v>99</v>
      </c>
      <c r="B103" s="3629" t="s">
        <v>8279</v>
      </c>
      <c r="C103" s="3629">
        <v>17</v>
      </c>
      <c r="D103" s="3629" t="s">
        <v>8072</v>
      </c>
      <c r="E103" s="3629" t="s">
        <v>8073</v>
      </c>
      <c r="F103" s="3629" t="s">
        <v>8280</v>
      </c>
      <c r="G103" s="3643">
        <v>87.95</v>
      </c>
      <c r="H103" s="3649">
        <v>11400</v>
      </c>
      <c r="I103" s="3649">
        <f t="shared" si="1"/>
        <v>100</v>
      </c>
      <c r="J103" s="3644">
        <f ca="1">典型户型修正!T125</f>
        <v>140</v>
      </c>
    </row>
    <row r="104" spans="1:10" s="3633" customFormat="1">
      <c r="A104" s="3629">
        <v>100</v>
      </c>
      <c r="B104" s="3629" t="s">
        <v>8281</v>
      </c>
      <c r="C104" s="3629">
        <v>17</v>
      </c>
      <c r="D104" s="3629" t="s">
        <v>8072</v>
      </c>
      <c r="E104" s="3629" t="s">
        <v>8073</v>
      </c>
      <c r="F104" s="3629" t="s">
        <v>8282</v>
      </c>
      <c r="G104" s="3643">
        <v>87.95</v>
      </c>
      <c r="H104" s="3649">
        <v>10500</v>
      </c>
      <c r="I104" s="3649">
        <f t="shared" si="1"/>
        <v>92</v>
      </c>
      <c r="J104" s="3644">
        <f ca="1">典型户型修正!T126</f>
        <v>140</v>
      </c>
    </row>
    <row r="105" spans="1:10" s="3633" customFormat="1">
      <c r="A105" s="3629">
        <v>101</v>
      </c>
      <c r="B105" s="3629" t="s">
        <v>8283</v>
      </c>
      <c r="C105" s="3629">
        <v>17</v>
      </c>
      <c r="D105" s="3629" t="s">
        <v>8072</v>
      </c>
      <c r="E105" s="3629" t="s">
        <v>8073</v>
      </c>
      <c r="F105" s="3629" t="s">
        <v>8284</v>
      </c>
      <c r="G105" s="3643">
        <v>87.95</v>
      </c>
      <c r="H105" s="3649">
        <v>10800</v>
      </c>
      <c r="I105" s="3649">
        <f t="shared" si="1"/>
        <v>95</v>
      </c>
      <c r="J105" s="3644">
        <f ca="1">典型户型修正!T127</f>
        <v>140</v>
      </c>
    </row>
    <row r="106" spans="1:10" s="3633" customFormat="1">
      <c r="A106" s="3629">
        <v>102</v>
      </c>
      <c r="B106" s="3629" t="s">
        <v>8285</v>
      </c>
      <c r="C106" s="3629">
        <v>17</v>
      </c>
      <c r="D106" s="3629" t="s">
        <v>8072</v>
      </c>
      <c r="E106" s="3629" t="s">
        <v>8073</v>
      </c>
      <c r="F106" s="3629" t="s">
        <v>8286</v>
      </c>
      <c r="G106" s="3643">
        <v>87.95</v>
      </c>
      <c r="H106" s="3649">
        <v>11050</v>
      </c>
      <c r="I106" s="3649">
        <f t="shared" si="1"/>
        <v>97</v>
      </c>
      <c r="J106" s="3644">
        <f ca="1">典型户型修正!T128</f>
        <v>140</v>
      </c>
    </row>
    <row r="107" spans="1:10" s="3633" customFormat="1">
      <c r="A107" s="3629">
        <v>103</v>
      </c>
      <c r="B107" s="3629" t="s">
        <v>8287</v>
      </c>
      <c r="C107" s="3629">
        <v>17</v>
      </c>
      <c r="D107" s="3629" t="s">
        <v>8072</v>
      </c>
      <c r="E107" s="3629" t="s">
        <v>8073</v>
      </c>
      <c r="F107" s="3629" t="s">
        <v>8288</v>
      </c>
      <c r="G107" s="3643">
        <v>87.95</v>
      </c>
      <c r="H107" s="3649">
        <v>11100</v>
      </c>
      <c r="I107" s="3649">
        <f t="shared" si="1"/>
        <v>98</v>
      </c>
      <c r="J107" s="3644">
        <f ca="1">典型户型修正!T129</f>
        <v>140</v>
      </c>
    </row>
    <row r="108" spans="1:10" s="3633" customFormat="1">
      <c r="A108" s="3629">
        <v>104</v>
      </c>
      <c r="B108" s="3629" t="s">
        <v>8289</v>
      </c>
      <c r="C108" s="3629">
        <v>17</v>
      </c>
      <c r="D108" s="3629" t="s">
        <v>8072</v>
      </c>
      <c r="E108" s="3629" t="s">
        <v>8073</v>
      </c>
      <c r="F108" s="3629" t="s">
        <v>8290</v>
      </c>
      <c r="G108" s="3643">
        <v>87.95</v>
      </c>
      <c r="H108" s="3649">
        <v>11150</v>
      </c>
      <c r="I108" s="3649">
        <f t="shared" si="1"/>
        <v>98</v>
      </c>
      <c r="J108" s="3644">
        <f ca="1">典型户型修正!T130</f>
        <v>146</v>
      </c>
    </row>
    <row r="109" spans="1:10" s="3633" customFormat="1">
      <c r="A109" s="3629">
        <v>105</v>
      </c>
      <c r="B109" s="3629" t="s">
        <v>8291</v>
      </c>
      <c r="C109" s="3629">
        <v>17</v>
      </c>
      <c r="D109" s="3629" t="s">
        <v>8072</v>
      </c>
      <c r="E109" s="3629" t="s">
        <v>8073</v>
      </c>
      <c r="F109" s="3629" t="s">
        <v>8292</v>
      </c>
      <c r="G109" s="3643">
        <v>87.95</v>
      </c>
      <c r="H109" s="3649">
        <v>11150</v>
      </c>
      <c r="I109" s="3649">
        <f t="shared" si="1"/>
        <v>98</v>
      </c>
      <c r="J109" s="3644">
        <f ca="1">典型户型修正!T131</f>
        <v>146</v>
      </c>
    </row>
    <row r="110" spans="1:10" s="3633" customFormat="1">
      <c r="A110" s="3629">
        <v>106</v>
      </c>
      <c r="B110" s="3629" t="s">
        <v>8293</v>
      </c>
      <c r="C110" s="3629">
        <v>17</v>
      </c>
      <c r="D110" s="3629" t="s">
        <v>8072</v>
      </c>
      <c r="E110" s="3629" t="s">
        <v>8073</v>
      </c>
      <c r="F110" s="3629" t="s">
        <v>8294</v>
      </c>
      <c r="G110" s="3643">
        <v>87.95</v>
      </c>
      <c r="H110" s="3649">
        <v>11150</v>
      </c>
      <c r="I110" s="3649">
        <f t="shared" si="1"/>
        <v>98</v>
      </c>
      <c r="J110" s="3644">
        <f ca="1">典型户型修正!T132</f>
        <v>146</v>
      </c>
    </row>
    <row r="111" spans="1:10" s="3633" customFormat="1">
      <c r="A111" s="3629">
        <v>107</v>
      </c>
      <c r="B111" s="3629" t="s">
        <v>8295</v>
      </c>
      <c r="C111" s="3629">
        <v>17</v>
      </c>
      <c r="D111" s="3629" t="s">
        <v>8072</v>
      </c>
      <c r="E111" s="3629" t="s">
        <v>8073</v>
      </c>
      <c r="F111" s="3629" t="s">
        <v>8296</v>
      </c>
      <c r="G111" s="3643">
        <v>87.95</v>
      </c>
      <c r="H111" s="3649">
        <v>11150</v>
      </c>
      <c r="I111" s="3649">
        <f t="shared" si="1"/>
        <v>98</v>
      </c>
      <c r="J111" s="3644">
        <f ca="1">典型户型修正!T133</f>
        <v>146</v>
      </c>
    </row>
    <row r="112" spans="1:10" s="3633" customFormat="1">
      <c r="A112" s="3629">
        <v>108</v>
      </c>
      <c r="B112" s="3629" t="s">
        <v>8297</v>
      </c>
      <c r="C112" s="3629">
        <v>17</v>
      </c>
      <c r="D112" s="3629" t="s">
        <v>8072</v>
      </c>
      <c r="E112" s="3629" t="s">
        <v>8073</v>
      </c>
      <c r="F112" s="3629" t="s">
        <v>8298</v>
      </c>
      <c r="G112" s="3643">
        <v>87.95</v>
      </c>
      <c r="H112" s="3649">
        <v>11150</v>
      </c>
      <c r="I112" s="3649">
        <f t="shared" si="1"/>
        <v>98</v>
      </c>
      <c r="J112" s="3644">
        <f ca="1">典型户型修正!T134</f>
        <v>146</v>
      </c>
    </row>
    <row r="113" spans="1:10" s="3633" customFormat="1">
      <c r="A113" s="3629">
        <v>109</v>
      </c>
      <c r="B113" s="3629" t="s">
        <v>8299</v>
      </c>
      <c r="C113" s="3629">
        <v>17</v>
      </c>
      <c r="D113" s="3629" t="s">
        <v>8072</v>
      </c>
      <c r="E113" s="3629" t="s">
        <v>8073</v>
      </c>
      <c r="F113" s="3629" t="s">
        <v>8300</v>
      </c>
      <c r="G113" s="3643">
        <v>87.95</v>
      </c>
      <c r="H113" s="3649">
        <v>11150</v>
      </c>
      <c r="I113" s="3649">
        <f t="shared" si="1"/>
        <v>98</v>
      </c>
      <c r="J113" s="3644">
        <f ca="1">典型户型修正!T135</f>
        <v>146</v>
      </c>
    </row>
    <row r="114" spans="1:10" s="3633" customFormat="1">
      <c r="A114" s="3629">
        <v>110</v>
      </c>
      <c r="B114" s="3629" t="s">
        <v>8301</v>
      </c>
      <c r="C114" s="3629">
        <v>17</v>
      </c>
      <c r="D114" s="3629" t="s">
        <v>8072</v>
      </c>
      <c r="E114" s="3629" t="s">
        <v>8073</v>
      </c>
      <c r="F114" s="3629" t="s">
        <v>8302</v>
      </c>
      <c r="G114" s="3643">
        <v>87.95</v>
      </c>
      <c r="H114" s="3649">
        <v>11150</v>
      </c>
      <c r="I114" s="3649">
        <f t="shared" si="1"/>
        <v>98</v>
      </c>
      <c r="J114" s="3644">
        <f ca="1">典型户型修正!T136</f>
        <v>143</v>
      </c>
    </row>
    <row r="115" spans="1:10" s="3633" customFormat="1">
      <c r="A115" s="3629">
        <v>111</v>
      </c>
      <c r="B115" s="3629" t="s">
        <v>8303</v>
      </c>
      <c r="C115" s="3629">
        <v>17</v>
      </c>
      <c r="D115" s="3629" t="s">
        <v>8072</v>
      </c>
      <c r="E115" s="3629" t="s">
        <v>8073</v>
      </c>
      <c r="F115" s="3629" t="s">
        <v>8304</v>
      </c>
      <c r="G115" s="3643">
        <v>87.95</v>
      </c>
      <c r="H115" s="3649">
        <v>11150</v>
      </c>
      <c r="I115" s="3649">
        <f t="shared" si="1"/>
        <v>98</v>
      </c>
      <c r="J115" s="3644">
        <f ca="1">典型户型修正!T137</f>
        <v>143</v>
      </c>
    </row>
    <row r="116" spans="1:10" s="3633" customFormat="1">
      <c r="A116" s="3629">
        <v>112</v>
      </c>
      <c r="B116" s="3629" t="s">
        <v>8305</v>
      </c>
      <c r="C116" s="3629">
        <v>17</v>
      </c>
      <c r="D116" s="3629" t="s">
        <v>8072</v>
      </c>
      <c r="E116" s="3629" t="s">
        <v>8073</v>
      </c>
      <c r="F116" s="3629" t="s">
        <v>8306</v>
      </c>
      <c r="G116" s="3643">
        <v>87.95</v>
      </c>
      <c r="H116" s="3649">
        <v>11150</v>
      </c>
      <c r="I116" s="3649">
        <f t="shared" si="1"/>
        <v>98</v>
      </c>
      <c r="J116" s="3644">
        <f ca="1">典型户型修正!T138</f>
        <v>143</v>
      </c>
    </row>
    <row r="117" spans="1:10" s="3633" customFormat="1">
      <c r="A117" s="3629">
        <v>113</v>
      </c>
      <c r="B117" s="3629" t="s">
        <v>8307</v>
      </c>
      <c r="C117" s="3629">
        <v>17</v>
      </c>
      <c r="D117" s="3629" t="s">
        <v>8072</v>
      </c>
      <c r="E117" s="3629" t="s">
        <v>8073</v>
      </c>
      <c r="F117" s="3629" t="s">
        <v>8308</v>
      </c>
      <c r="G117" s="3643">
        <v>87.95</v>
      </c>
      <c r="H117" s="3649">
        <v>11100</v>
      </c>
      <c r="I117" s="3649">
        <f t="shared" si="1"/>
        <v>98</v>
      </c>
      <c r="J117" s="3644">
        <f ca="1">典型户型修正!T139</f>
        <v>143</v>
      </c>
    </row>
    <row r="118" spans="1:10" s="3633" customFormat="1">
      <c r="A118" s="3629">
        <v>114</v>
      </c>
      <c r="B118" s="3629" t="s">
        <v>8309</v>
      </c>
      <c r="C118" s="3629">
        <v>17</v>
      </c>
      <c r="D118" s="3629" t="s">
        <v>8072</v>
      </c>
      <c r="E118" s="3629" t="s">
        <v>8073</v>
      </c>
      <c r="F118" s="3629" t="s">
        <v>8310</v>
      </c>
      <c r="G118" s="3643">
        <v>88.05</v>
      </c>
      <c r="H118" s="3649">
        <v>10300</v>
      </c>
      <c r="I118" s="3649">
        <f t="shared" si="1"/>
        <v>91</v>
      </c>
      <c r="J118" s="3644">
        <f ca="1">典型户型修正!T140</f>
        <v>143</v>
      </c>
    </row>
    <row r="119" spans="1:10" s="3633" customFormat="1">
      <c r="A119" s="3629">
        <v>115</v>
      </c>
      <c r="B119" s="3629" t="s">
        <v>8311</v>
      </c>
      <c r="C119" s="3629">
        <v>17</v>
      </c>
      <c r="D119" s="3629" t="s">
        <v>8072</v>
      </c>
      <c r="E119" s="3629" t="s">
        <v>8073</v>
      </c>
      <c r="F119" s="3629" t="s">
        <v>8312</v>
      </c>
      <c r="G119" s="3643">
        <v>108.29</v>
      </c>
      <c r="H119" s="3649">
        <v>10400</v>
      </c>
      <c r="I119" s="3649">
        <f t="shared" si="1"/>
        <v>113</v>
      </c>
      <c r="J119" s="3644">
        <f ca="1">典型户型修正!T141</f>
        <v>174</v>
      </c>
    </row>
    <row r="120" spans="1:10" s="3633" customFormat="1">
      <c r="A120" s="3629">
        <v>116</v>
      </c>
      <c r="B120" s="3629" t="s">
        <v>8313</v>
      </c>
      <c r="C120" s="3629">
        <v>17</v>
      </c>
      <c r="D120" s="3629" t="s">
        <v>8072</v>
      </c>
      <c r="E120" s="3629" t="s">
        <v>8073</v>
      </c>
      <c r="F120" s="3629" t="s">
        <v>8314</v>
      </c>
      <c r="G120" s="3643">
        <v>108.29</v>
      </c>
      <c r="H120" s="3649">
        <v>9500</v>
      </c>
      <c r="I120" s="3649">
        <f t="shared" si="1"/>
        <v>103</v>
      </c>
      <c r="J120" s="3644">
        <f ca="1">典型户型修正!T142</f>
        <v>174</v>
      </c>
    </row>
    <row r="121" spans="1:10" s="3633" customFormat="1">
      <c r="A121" s="3629">
        <v>117</v>
      </c>
      <c r="B121" s="3629" t="s">
        <v>8315</v>
      </c>
      <c r="C121" s="3629">
        <v>17</v>
      </c>
      <c r="D121" s="3629" t="s">
        <v>8072</v>
      </c>
      <c r="E121" s="3629" t="s">
        <v>8073</v>
      </c>
      <c r="F121" s="3629" t="s">
        <v>8316</v>
      </c>
      <c r="G121" s="3643">
        <v>108.29</v>
      </c>
      <c r="H121" s="3649">
        <v>9800</v>
      </c>
      <c r="I121" s="3649">
        <f t="shared" si="1"/>
        <v>106</v>
      </c>
      <c r="J121" s="3644">
        <f ca="1">典型户型修正!T143</f>
        <v>174</v>
      </c>
    </row>
    <row r="122" spans="1:10" s="3633" customFormat="1">
      <c r="A122" s="3629">
        <v>118</v>
      </c>
      <c r="B122" s="3629" t="s">
        <v>8317</v>
      </c>
      <c r="C122" s="3629">
        <v>17</v>
      </c>
      <c r="D122" s="3629" t="s">
        <v>8072</v>
      </c>
      <c r="E122" s="3629" t="s">
        <v>8073</v>
      </c>
      <c r="F122" s="3629" t="s">
        <v>8318</v>
      </c>
      <c r="G122" s="3643">
        <v>108.29</v>
      </c>
      <c r="H122" s="3649">
        <v>10050</v>
      </c>
      <c r="I122" s="3649">
        <f t="shared" si="1"/>
        <v>109</v>
      </c>
      <c r="J122" s="3644">
        <f ca="1">典型户型修正!T144</f>
        <v>174</v>
      </c>
    </row>
    <row r="123" spans="1:10" s="3633" customFormat="1">
      <c r="A123" s="3629">
        <v>119</v>
      </c>
      <c r="B123" s="3629" t="s">
        <v>8319</v>
      </c>
      <c r="C123" s="3629">
        <v>17</v>
      </c>
      <c r="D123" s="3629" t="s">
        <v>8072</v>
      </c>
      <c r="E123" s="3629" t="s">
        <v>8073</v>
      </c>
      <c r="F123" s="3629" t="s">
        <v>8320</v>
      </c>
      <c r="G123" s="3643">
        <v>108.29</v>
      </c>
      <c r="H123" s="3649">
        <v>10100</v>
      </c>
      <c r="I123" s="3649">
        <f t="shared" si="1"/>
        <v>109</v>
      </c>
      <c r="J123" s="3644">
        <f ca="1">典型户型修正!T145</f>
        <v>174</v>
      </c>
    </row>
    <row r="124" spans="1:10" s="3633" customFormat="1">
      <c r="A124" s="3629">
        <v>120</v>
      </c>
      <c r="B124" s="3629" t="s">
        <v>8321</v>
      </c>
      <c r="C124" s="3629">
        <v>17</v>
      </c>
      <c r="D124" s="3629" t="s">
        <v>8072</v>
      </c>
      <c r="E124" s="3629" t="s">
        <v>8073</v>
      </c>
      <c r="F124" s="3629" t="s">
        <v>8322</v>
      </c>
      <c r="G124" s="3643">
        <v>108.29</v>
      </c>
      <c r="H124" s="3649">
        <v>10150</v>
      </c>
      <c r="I124" s="3649">
        <f t="shared" si="1"/>
        <v>110</v>
      </c>
      <c r="J124" s="3644">
        <f ca="1">典型户型修正!T146</f>
        <v>181</v>
      </c>
    </row>
    <row r="125" spans="1:10" s="3633" customFormat="1">
      <c r="A125" s="3629">
        <v>121</v>
      </c>
      <c r="B125" s="3629" t="s">
        <v>8323</v>
      </c>
      <c r="C125" s="3629">
        <v>17</v>
      </c>
      <c r="D125" s="3629" t="s">
        <v>8072</v>
      </c>
      <c r="E125" s="3629" t="s">
        <v>8073</v>
      </c>
      <c r="F125" s="3629" t="s">
        <v>8324</v>
      </c>
      <c r="G125" s="3643">
        <v>108.29</v>
      </c>
      <c r="H125" s="3649">
        <v>10150</v>
      </c>
      <c r="I125" s="3649">
        <f t="shared" si="1"/>
        <v>110</v>
      </c>
      <c r="J125" s="3644">
        <f ca="1">典型户型修正!T147</f>
        <v>181</v>
      </c>
    </row>
    <row r="126" spans="1:10" s="3633" customFormat="1">
      <c r="A126" s="3629">
        <v>122</v>
      </c>
      <c r="B126" s="3629" t="s">
        <v>8325</v>
      </c>
      <c r="C126" s="3629">
        <v>17</v>
      </c>
      <c r="D126" s="3629" t="s">
        <v>8072</v>
      </c>
      <c r="E126" s="3629" t="s">
        <v>8073</v>
      </c>
      <c r="F126" s="3629" t="s">
        <v>8326</v>
      </c>
      <c r="G126" s="3643">
        <v>108.29</v>
      </c>
      <c r="H126" s="3649">
        <v>10150</v>
      </c>
      <c r="I126" s="3649">
        <f t="shared" si="1"/>
        <v>110</v>
      </c>
      <c r="J126" s="3644">
        <f ca="1">典型户型修正!T148</f>
        <v>181</v>
      </c>
    </row>
    <row r="127" spans="1:10" s="3633" customFormat="1">
      <c r="A127" s="3629">
        <v>123</v>
      </c>
      <c r="B127" s="3629" t="s">
        <v>8327</v>
      </c>
      <c r="C127" s="3629">
        <v>17</v>
      </c>
      <c r="D127" s="3629" t="s">
        <v>8072</v>
      </c>
      <c r="E127" s="3629" t="s">
        <v>8073</v>
      </c>
      <c r="F127" s="3629" t="s">
        <v>8328</v>
      </c>
      <c r="G127" s="3643">
        <v>108.29</v>
      </c>
      <c r="H127" s="3649">
        <v>10150</v>
      </c>
      <c r="I127" s="3649">
        <f t="shared" si="1"/>
        <v>110</v>
      </c>
      <c r="J127" s="3644">
        <f ca="1">典型户型修正!T149</f>
        <v>181</v>
      </c>
    </row>
    <row r="128" spans="1:10" s="3633" customFormat="1">
      <c r="A128" s="3629">
        <v>124</v>
      </c>
      <c r="B128" s="3629" t="s">
        <v>8329</v>
      </c>
      <c r="C128" s="3629">
        <v>17</v>
      </c>
      <c r="D128" s="3629" t="s">
        <v>8072</v>
      </c>
      <c r="E128" s="3629" t="s">
        <v>8073</v>
      </c>
      <c r="F128" s="3629" t="s">
        <v>8330</v>
      </c>
      <c r="G128" s="3643">
        <v>108.29</v>
      </c>
      <c r="H128" s="3649">
        <v>10150</v>
      </c>
      <c r="I128" s="3649">
        <f t="shared" si="1"/>
        <v>110</v>
      </c>
      <c r="J128" s="3644">
        <f ca="1">典型户型修正!T150</f>
        <v>181</v>
      </c>
    </row>
    <row r="129" spans="1:10" s="3633" customFormat="1">
      <c r="A129" s="3629">
        <v>125</v>
      </c>
      <c r="B129" s="3629" t="s">
        <v>8331</v>
      </c>
      <c r="C129" s="3629">
        <v>17</v>
      </c>
      <c r="D129" s="3629" t="s">
        <v>8072</v>
      </c>
      <c r="E129" s="3629" t="s">
        <v>8073</v>
      </c>
      <c r="F129" s="3629" t="s">
        <v>8332</v>
      </c>
      <c r="G129" s="3643">
        <v>108.29</v>
      </c>
      <c r="H129" s="3649">
        <v>10150</v>
      </c>
      <c r="I129" s="3649">
        <f t="shared" si="1"/>
        <v>110</v>
      </c>
      <c r="J129" s="3644">
        <f ca="1">典型户型修正!T151</f>
        <v>181</v>
      </c>
    </row>
    <row r="130" spans="1:10" s="3633" customFormat="1">
      <c r="A130" s="3629">
        <v>126</v>
      </c>
      <c r="B130" s="3629" t="s">
        <v>8333</v>
      </c>
      <c r="C130" s="3629">
        <v>17</v>
      </c>
      <c r="D130" s="3629" t="s">
        <v>8072</v>
      </c>
      <c r="E130" s="3629" t="s">
        <v>8073</v>
      </c>
      <c r="F130" s="3629" t="s">
        <v>8334</v>
      </c>
      <c r="G130" s="3643">
        <v>108.29</v>
      </c>
      <c r="H130" s="3649">
        <v>10150</v>
      </c>
      <c r="I130" s="3649">
        <f t="shared" si="1"/>
        <v>110</v>
      </c>
      <c r="J130" s="3644">
        <f ca="1">典型户型修正!T152</f>
        <v>178</v>
      </c>
    </row>
    <row r="131" spans="1:10" s="3633" customFormat="1">
      <c r="A131" s="3629">
        <v>127</v>
      </c>
      <c r="B131" s="3629" t="s">
        <v>8335</v>
      </c>
      <c r="C131" s="3629">
        <v>17</v>
      </c>
      <c r="D131" s="3629" t="s">
        <v>8072</v>
      </c>
      <c r="E131" s="3629" t="s">
        <v>8073</v>
      </c>
      <c r="F131" s="3629" t="s">
        <v>8336</v>
      </c>
      <c r="G131" s="3643">
        <v>108.29</v>
      </c>
      <c r="H131" s="3649">
        <v>10150</v>
      </c>
      <c r="I131" s="3649">
        <f t="shared" si="1"/>
        <v>110</v>
      </c>
      <c r="J131" s="3644">
        <f ca="1">典型户型修正!T153</f>
        <v>178</v>
      </c>
    </row>
    <row r="132" spans="1:10" s="3633" customFormat="1">
      <c r="A132" s="3629">
        <v>128</v>
      </c>
      <c r="B132" s="3629" t="s">
        <v>8337</v>
      </c>
      <c r="C132" s="3629">
        <v>17</v>
      </c>
      <c r="D132" s="3629" t="s">
        <v>8072</v>
      </c>
      <c r="E132" s="3629" t="s">
        <v>8073</v>
      </c>
      <c r="F132" s="3629" t="s">
        <v>8338</v>
      </c>
      <c r="G132" s="3643">
        <v>108.29</v>
      </c>
      <c r="H132" s="3649">
        <v>10150</v>
      </c>
      <c r="I132" s="3649">
        <f t="shared" si="1"/>
        <v>110</v>
      </c>
      <c r="J132" s="3644">
        <f ca="1">典型户型修正!T154</f>
        <v>178</v>
      </c>
    </row>
    <row r="133" spans="1:10" s="3633" customFormat="1">
      <c r="A133" s="3629">
        <v>129</v>
      </c>
      <c r="B133" s="3629" t="s">
        <v>8339</v>
      </c>
      <c r="C133" s="3629">
        <v>17</v>
      </c>
      <c r="D133" s="3629" t="s">
        <v>8072</v>
      </c>
      <c r="E133" s="3629" t="s">
        <v>8073</v>
      </c>
      <c r="F133" s="3629" t="s">
        <v>8340</v>
      </c>
      <c r="G133" s="3643">
        <v>108.29</v>
      </c>
      <c r="H133" s="3649">
        <v>10100</v>
      </c>
      <c r="I133" s="3649">
        <f t="shared" si="1"/>
        <v>109</v>
      </c>
      <c r="J133" s="3644">
        <f ca="1">典型户型修正!T155</f>
        <v>178</v>
      </c>
    </row>
    <row r="134" spans="1:10" s="3633" customFormat="1">
      <c r="A134" s="3629">
        <v>130</v>
      </c>
      <c r="B134" s="3629" t="s">
        <v>8341</v>
      </c>
      <c r="C134" s="3629">
        <v>17</v>
      </c>
      <c r="D134" s="3629" t="s">
        <v>8072</v>
      </c>
      <c r="E134" s="3629" t="s">
        <v>8073</v>
      </c>
      <c r="F134" s="3629" t="s">
        <v>8342</v>
      </c>
      <c r="G134" s="3643">
        <v>94.02</v>
      </c>
      <c r="H134" s="3649">
        <v>9300</v>
      </c>
      <c r="I134" s="3649">
        <f t="shared" si="1"/>
        <v>87</v>
      </c>
      <c r="J134" s="3644">
        <f ca="1">典型户型修正!T156</f>
        <v>153</v>
      </c>
    </row>
    <row r="135" spans="1:10" s="3633" customFormat="1">
      <c r="A135" s="3629">
        <v>131</v>
      </c>
      <c r="B135" s="3629" t="s">
        <v>8343</v>
      </c>
      <c r="C135" s="3629">
        <v>17</v>
      </c>
      <c r="D135" s="3629" t="s">
        <v>8072</v>
      </c>
      <c r="E135" s="3629" t="s">
        <v>8073</v>
      </c>
      <c r="F135" s="3629" t="s">
        <v>8344</v>
      </c>
      <c r="G135" s="3643">
        <v>108.29</v>
      </c>
      <c r="H135" s="3649">
        <v>10400</v>
      </c>
      <c r="I135" s="3649">
        <f t="shared" ref="I135:I198" si="2">ROUND(G135*H135/10000,0)</f>
        <v>113</v>
      </c>
      <c r="J135" s="3644">
        <f ca="1">典型户型修正!T157</f>
        <v>174</v>
      </c>
    </row>
    <row r="136" spans="1:10" s="3633" customFormat="1">
      <c r="A136" s="3629">
        <v>132</v>
      </c>
      <c r="B136" s="3629" t="s">
        <v>8345</v>
      </c>
      <c r="C136" s="3629">
        <v>17</v>
      </c>
      <c r="D136" s="3629" t="s">
        <v>8072</v>
      </c>
      <c r="E136" s="3629" t="s">
        <v>8073</v>
      </c>
      <c r="F136" s="3629" t="s">
        <v>8346</v>
      </c>
      <c r="G136" s="3643">
        <v>108.29</v>
      </c>
      <c r="H136" s="3649">
        <v>9500</v>
      </c>
      <c r="I136" s="3649">
        <f t="shared" si="2"/>
        <v>103</v>
      </c>
      <c r="J136" s="3644">
        <f ca="1">典型户型修正!T158</f>
        <v>174</v>
      </c>
    </row>
    <row r="137" spans="1:10" s="3633" customFormat="1">
      <c r="A137" s="3629">
        <v>133</v>
      </c>
      <c r="B137" s="3629" t="s">
        <v>8347</v>
      </c>
      <c r="C137" s="3629">
        <v>17</v>
      </c>
      <c r="D137" s="3629" t="s">
        <v>8072</v>
      </c>
      <c r="E137" s="3629" t="s">
        <v>8073</v>
      </c>
      <c r="F137" s="3629" t="s">
        <v>8348</v>
      </c>
      <c r="G137" s="3643">
        <v>108.29</v>
      </c>
      <c r="H137" s="3649">
        <v>9800</v>
      </c>
      <c r="I137" s="3649">
        <f t="shared" si="2"/>
        <v>106</v>
      </c>
      <c r="J137" s="3644">
        <f ca="1">典型户型修正!T159</f>
        <v>174</v>
      </c>
    </row>
    <row r="138" spans="1:10" s="3633" customFormat="1">
      <c r="A138" s="3629">
        <v>134</v>
      </c>
      <c r="B138" s="3629" t="s">
        <v>8349</v>
      </c>
      <c r="C138" s="3629">
        <v>17</v>
      </c>
      <c r="D138" s="3629" t="s">
        <v>8072</v>
      </c>
      <c r="E138" s="3629" t="s">
        <v>8073</v>
      </c>
      <c r="F138" s="3629" t="s">
        <v>8350</v>
      </c>
      <c r="G138" s="3643">
        <v>108.29</v>
      </c>
      <c r="H138" s="3649">
        <v>10050</v>
      </c>
      <c r="I138" s="3649">
        <f t="shared" si="2"/>
        <v>109</v>
      </c>
      <c r="J138" s="3644">
        <f ca="1">典型户型修正!T160</f>
        <v>174</v>
      </c>
    </row>
    <row r="139" spans="1:10" s="3633" customFormat="1">
      <c r="A139" s="3629">
        <v>135</v>
      </c>
      <c r="B139" s="3629" t="s">
        <v>8351</v>
      </c>
      <c r="C139" s="3629">
        <v>17</v>
      </c>
      <c r="D139" s="3629" t="s">
        <v>8072</v>
      </c>
      <c r="E139" s="3629" t="s">
        <v>8073</v>
      </c>
      <c r="F139" s="3629" t="s">
        <v>8352</v>
      </c>
      <c r="G139" s="3643">
        <v>108.29</v>
      </c>
      <c r="H139" s="3649">
        <v>10100</v>
      </c>
      <c r="I139" s="3649">
        <f t="shared" si="2"/>
        <v>109</v>
      </c>
      <c r="J139" s="3644">
        <f ca="1">典型户型修正!T161</f>
        <v>174</v>
      </c>
    </row>
    <row r="140" spans="1:10" s="3633" customFormat="1">
      <c r="A140" s="3629">
        <v>136</v>
      </c>
      <c r="B140" s="3629" t="s">
        <v>8353</v>
      </c>
      <c r="C140" s="3629">
        <v>17</v>
      </c>
      <c r="D140" s="3629" t="s">
        <v>8072</v>
      </c>
      <c r="E140" s="3629" t="s">
        <v>8073</v>
      </c>
      <c r="F140" s="3629" t="s">
        <v>8354</v>
      </c>
      <c r="G140" s="3643">
        <v>108.29</v>
      </c>
      <c r="H140" s="3649">
        <v>10150</v>
      </c>
      <c r="I140" s="3649">
        <f t="shared" si="2"/>
        <v>110</v>
      </c>
      <c r="J140" s="3644">
        <f ca="1">典型户型修正!T162</f>
        <v>181</v>
      </c>
    </row>
    <row r="141" spans="1:10" s="3633" customFormat="1">
      <c r="A141" s="3629">
        <v>137</v>
      </c>
      <c r="B141" s="3629" t="s">
        <v>8355</v>
      </c>
      <c r="C141" s="3629">
        <v>17</v>
      </c>
      <c r="D141" s="3629" t="s">
        <v>8072</v>
      </c>
      <c r="E141" s="3629" t="s">
        <v>8073</v>
      </c>
      <c r="F141" s="3629" t="s">
        <v>8356</v>
      </c>
      <c r="G141" s="3643">
        <v>108.29</v>
      </c>
      <c r="H141" s="3649">
        <v>10150</v>
      </c>
      <c r="I141" s="3649">
        <f t="shared" si="2"/>
        <v>110</v>
      </c>
      <c r="J141" s="3644">
        <f ca="1">典型户型修正!T163</f>
        <v>181</v>
      </c>
    </row>
    <row r="142" spans="1:10" s="3633" customFormat="1">
      <c r="A142" s="3629">
        <v>138</v>
      </c>
      <c r="B142" s="3629" t="s">
        <v>8357</v>
      </c>
      <c r="C142" s="3629">
        <v>17</v>
      </c>
      <c r="D142" s="3629" t="s">
        <v>8072</v>
      </c>
      <c r="E142" s="3629" t="s">
        <v>8073</v>
      </c>
      <c r="F142" s="3629" t="s">
        <v>8358</v>
      </c>
      <c r="G142" s="3643">
        <v>108.29</v>
      </c>
      <c r="H142" s="3649">
        <v>10150</v>
      </c>
      <c r="I142" s="3649">
        <f t="shared" si="2"/>
        <v>110</v>
      </c>
      <c r="J142" s="3644">
        <f ca="1">典型户型修正!T164</f>
        <v>181</v>
      </c>
    </row>
    <row r="143" spans="1:10" s="3633" customFormat="1">
      <c r="A143" s="3629">
        <v>139</v>
      </c>
      <c r="B143" s="3629" t="s">
        <v>8359</v>
      </c>
      <c r="C143" s="3629">
        <v>17</v>
      </c>
      <c r="D143" s="3629" t="s">
        <v>8072</v>
      </c>
      <c r="E143" s="3629" t="s">
        <v>8073</v>
      </c>
      <c r="F143" s="3629" t="s">
        <v>8360</v>
      </c>
      <c r="G143" s="3643">
        <v>108.29</v>
      </c>
      <c r="H143" s="3649">
        <v>10150</v>
      </c>
      <c r="I143" s="3649">
        <f t="shared" si="2"/>
        <v>110</v>
      </c>
      <c r="J143" s="3644">
        <f ca="1">典型户型修正!T165</f>
        <v>181</v>
      </c>
    </row>
    <row r="144" spans="1:10" s="3633" customFormat="1">
      <c r="A144" s="3629">
        <v>140</v>
      </c>
      <c r="B144" s="3629" t="s">
        <v>8361</v>
      </c>
      <c r="C144" s="3629">
        <v>17</v>
      </c>
      <c r="D144" s="3629" t="s">
        <v>8072</v>
      </c>
      <c r="E144" s="3629" t="s">
        <v>8073</v>
      </c>
      <c r="F144" s="3629" t="s">
        <v>8362</v>
      </c>
      <c r="G144" s="3643">
        <v>108.29</v>
      </c>
      <c r="H144" s="3649">
        <v>10150</v>
      </c>
      <c r="I144" s="3649">
        <f t="shared" si="2"/>
        <v>110</v>
      </c>
      <c r="J144" s="3644">
        <f ca="1">典型户型修正!T166</f>
        <v>181</v>
      </c>
    </row>
    <row r="145" spans="1:10" s="3633" customFormat="1">
      <c r="A145" s="3629">
        <v>141</v>
      </c>
      <c r="B145" s="3629" t="s">
        <v>8363</v>
      </c>
      <c r="C145" s="3629">
        <v>17</v>
      </c>
      <c r="D145" s="3629" t="s">
        <v>8072</v>
      </c>
      <c r="E145" s="3629" t="s">
        <v>8073</v>
      </c>
      <c r="F145" s="3629" t="s">
        <v>8364</v>
      </c>
      <c r="G145" s="3643">
        <v>108.29</v>
      </c>
      <c r="H145" s="3649">
        <v>10150</v>
      </c>
      <c r="I145" s="3649">
        <f t="shared" si="2"/>
        <v>110</v>
      </c>
      <c r="J145" s="3644">
        <f ca="1">典型户型修正!T167</f>
        <v>181</v>
      </c>
    </row>
    <row r="146" spans="1:10" s="3633" customFormat="1">
      <c r="A146" s="3629">
        <v>142</v>
      </c>
      <c r="B146" s="3629" t="s">
        <v>8365</v>
      </c>
      <c r="C146" s="3629">
        <v>17</v>
      </c>
      <c r="D146" s="3629" t="s">
        <v>8072</v>
      </c>
      <c r="E146" s="3629" t="s">
        <v>8073</v>
      </c>
      <c r="F146" s="3629" t="s">
        <v>8366</v>
      </c>
      <c r="G146" s="3643">
        <v>108.29</v>
      </c>
      <c r="H146" s="3649">
        <v>10150</v>
      </c>
      <c r="I146" s="3649">
        <f t="shared" si="2"/>
        <v>110</v>
      </c>
      <c r="J146" s="3644">
        <f ca="1">典型户型修正!T168</f>
        <v>178</v>
      </c>
    </row>
    <row r="147" spans="1:10" s="3633" customFormat="1">
      <c r="A147" s="3629">
        <v>143</v>
      </c>
      <c r="B147" s="3629" t="s">
        <v>8367</v>
      </c>
      <c r="C147" s="3629">
        <v>17</v>
      </c>
      <c r="D147" s="3629" t="s">
        <v>8072</v>
      </c>
      <c r="E147" s="3629" t="s">
        <v>8073</v>
      </c>
      <c r="F147" s="3629" t="s">
        <v>8368</v>
      </c>
      <c r="G147" s="3643">
        <v>108.29</v>
      </c>
      <c r="H147" s="3649">
        <v>10150</v>
      </c>
      <c r="I147" s="3649">
        <f t="shared" si="2"/>
        <v>110</v>
      </c>
      <c r="J147" s="3644">
        <f ca="1">典型户型修正!T169</f>
        <v>178</v>
      </c>
    </row>
    <row r="148" spans="1:10" s="3633" customFormat="1">
      <c r="A148" s="3629">
        <v>144</v>
      </c>
      <c r="B148" s="3629" t="s">
        <v>8369</v>
      </c>
      <c r="C148" s="3629">
        <v>17</v>
      </c>
      <c r="D148" s="3629" t="s">
        <v>8072</v>
      </c>
      <c r="E148" s="3629" t="s">
        <v>8073</v>
      </c>
      <c r="F148" s="3629" t="s">
        <v>8370</v>
      </c>
      <c r="G148" s="3643">
        <v>108.29</v>
      </c>
      <c r="H148" s="3649">
        <v>10150</v>
      </c>
      <c r="I148" s="3649">
        <f t="shared" si="2"/>
        <v>110</v>
      </c>
      <c r="J148" s="3644">
        <f ca="1">典型户型修正!T170</f>
        <v>178</v>
      </c>
    </row>
    <row r="149" spans="1:10" s="3633" customFormat="1">
      <c r="A149" s="3629">
        <v>145</v>
      </c>
      <c r="B149" s="3629" t="s">
        <v>8371</v>
      </c>
      <c r="C149" s="3629">
        <v>17</v>
      </c>
      <c r="D149" s="3629" t="s">
        <v>8072</v>
      </c>
      <c r="E149" s="3629" t="s">
        <v>8073</v>
      </c>
      <c r="F149" s="3629" t="s">
        <v>8372</v>
      </c>
      <c r="G149" s="3643">
        <v>108.29</v>
      </c>
      <c r="H149" s="3649">
        <v>10100</v>
      </c>
      <c r="I149" s="3649">
        <f t="shared" si="2"/>
        <v>109</v>
      </c>
      <c r="J149" s="3644">
        <f ca="1">典型户型修正!T171</f>
        <v>178</v>
      </c>
    </row>
    <row r="150" spans="1:10" s="3633" customFormat="1">
      <c r="A150" s="3629">
        <v>146</v>
      </c>
      <c r="B150" s="3629" t="s">
        <v>8373</v>
      </c>
      <c r="C150" s="3629">
        <v>17</v>
      </c>
      <c r="D150" s="3629" t="s">
        <v>8072</v>
      </c>
      <c r="E150" s="3629" t="s">
        <v>8073</v>
      </c>
      <c r="F150" s="3629" t="s">
        <v>8374</v>
      </c>
      <c r="G150" s="3643">
        <v>94.02</v>
      </c>
      <c r="H150" s="3649">
        <v>9800</v>
      </c>
      <c r="I150" s="3649">
        <f t="shared" si="2"/>
        <v>92</v>
      </c>
      <c r="J150" s="3644">
        <f ca="1">典型户型修正!T172</f>
        <v>153</v>
      </c>
    </row>
    <row r="151" spans="1:10" s="3633" customFormat="1">
      <c r="A151" s="3629">
        <v>147</v>
      </c>
      <c r="B151" s="3629" t="s">
        <v>8375</v>
      </c>
      <c r="C151" s="3629">
        <v>17</v>
      </c>
      <c r="D151" s="3629" t="s">
        <v>8072</v>
      </c>
      <c r="E151" s="3629" t="s">
        <v>8073</v>
      </c>
      <c r="F151" s="3629" t="s">
        <v>8376</v>
      </c>
      <c r="G151" s="3643">
        <v>87.85</v>
      </c>
      <c r="H151" s="3649">
        <v>10400</v>
      </c>
      <c r="I151" s="3649">
        <f t="shared" si="2"/>
        <v>91</v>
      </c>
      <c r="J151" s="3644">
        <f ca="1">典型户型修正!T173</f>
        <v>140</v>
      </c>
    </row>
    <row r="152" spans="1:10" s="3633" customFormat="1">
      <c r="A152" s="3629">
        <v>148</v>
      </c>
      <c r="B152" s="3629" t="s">
        <v>8377</v>
      </c>
      <c r="C152" s="3629">
        <v>17</v>
      </c>
      <c r="D152" s="3629" t="s">
        <v>8072</v>
      </c>
      <c r="E152" s="3629" t="s">
        <v>8073</v>
      </c>
      <c r="F152" s="3629" t="s">
        <v>8378</v>
      </c>
      <c r="G152" s="3643">
        <v>87.85</v>
      </c>
      <c r="H152" s="3649">
        <v>9500</v>
      </c>
      <c r="I152" s="3649">
        <f t="shared" si="2"/>
        <v>83</v>
      </c>
      <c r="J152" s="3644">
        <f ca="1">典型户型修正!T174</f>
        <v>140</v>
      </c>
    </row>
    <row r="153" spans="1:10" s="3633" customFormat="1">
      <c r="A153" s="3629">
        <v>149</v>
      </c>
      <c r="B153" s="3629" t="s">
        <v>8379</v>
      </c>
      <c r="C153" s="3629">
        <v>17</v>
      </c>
      <c r="D153" s="3629" t="s">
        <v>8072</v>
      </c>
      <c r="E153" s="3629" t="s">
        <v>8073</v>
      </c>
      <c r="F153" s="3629" t="s">
        <v>8380</v>
      </c>
      <c r="G153" s="3643">
        <v>87.85</v>
      </c>
      <c r="H153" s="3649">
        <v>9800</v>
      </c>
      <c r="I153" s="3649">
        <f t="shared" si="2"/>
        <v>86</v>
      </c>
      <c r="J153" s="3644">
        <f ca="1">典型户型修正!T175</f>
        <v>140</v>
      </c>
    </row>
    <row r="154" spans="1:10" s="3633" customFormat="1">
      <c r="A154" s="3629">
        <v>150</v>
      </c>
      <c r="B154" s="3629" t="s">
        <v>8381</v>
      </c>
      <c r="C154" s="3629">
        <v>17</v>
      </c>
      <c r="D154" s="3629" t="s">
        <v>8072</v>
      </c>
      <c r="E154" s="3629" t="s">
        <v>8073</v>
      </c>
      <c r="F154" s="3629" t="s">
        <v>8382</v>
      </c>
      <c r="G154" s="3643">
        <v>87.85</v>
      </c>
      <c r="H154" s="3649">
        <v>10050</v>
      </c>
      <c r="I154" s="3649">
        <f t="shared" si="2"/>
        <v>88</v>
      </c>
      <c r="J154" s="3644">
        <f ca="1">典型户型修正!T176</f>
        <v>140</v>
      </c>
    </row>
    <row r="155" spans="1:10" s="3633" customFormat="1">
      <c r="A155" s="3629">
        <v>151</v>
      </c>
      <c r="B155" s="3629" t="s">
        <v>8383</v>
      </c>
      <c r="C155" s="3629">
        <v>17</v>
      </c>
      <c r="D155" s="3629" t="s">
        <v>8072</v>
      </c>
      <c r="E155" s="3629" t="s">
        <v>8073</v>
      </c>
      <c r="F155" s="3629" t="s">
        <v>8384</v>
      </c>
      <c r="G155" s="3643">
        <v>87.85</v>
      </c>
      <c r="H155" s="3649">
        <v>10100</v>
      </c>
      <c r="I155" s="3649">
        <f t="shared" si="2"/>
        <v>89</v>
      </c>
      <c r="J155" s="3644">
        <f ca="1">典型户型修正!T177</f>
        <v>140</v>
      </c>
    </row>
    <row r="156" spans="1:10" s="3633" customFormat="1">
      <c r="A156" s="3629">
        <v>152</v>
      </c>
      <c r="B156" s="3629" t="s">
        <v>8385</v>
      </c>
      <c r="C156" s="3629">
        <v>17</v>
      </c>
      <c r="D156" s="3629" t="s">
        <v>8072</v>
      </c>
      <c r="E156" s="3629" t="s">
        <v>8073</v>
      </c>
      <c r="F156" s="3629" t="s">
        <v>8386</v>
      </c>
      <c r="G156" s="3643">
        <v>87.85</v>
      </c>
      <c r="H156" s="3649">
        <v>10150</v>
      </c>
      <c r="I156" s="3649">
        <f t="shared" si="2"/>
        <v>89</v>
      </c>
      <c r="J156" s="3644">
        <f ca="1">典型户型修正!T178</f>
        <v>146</v>
      </c>
    </row>
    <row r="157" spans="1:10" s="3633" customFormat="1">
      <c r="A157" s="3629">
        <v>153</v>
      </c>
      <c r="B157" s="3629" t="s">
        <v>8387</v>
      </c>
      <c r="C157" s="3629">
        <v>17</v>
      </c>
      <c r="D157" s="3629" t="s">
        <v>8072</v>
      </c>
      <c r="E157" s="3629" t="s">
        <v>8073</v>
      </c>
      <c r="F157" s="3629" t="s">
        <v>8388</v>
      </c>
      <c r="G157" s="3643">
        <v>87.85</v>
      </c>
      <c r="H157" s="3649">
        <v>10150</v>
      </c>
      <c r="I157" s="3649">
        <f t="shared" si="2"/>
        <v>89</v>
      </c>
      <c r="J157" s="3644">
        <f ca="1">典型户型修正!T179</f>
        <v>146</v>
      </c>
    </row>
    <row r="158" spans="1:10" s="3633" customFormat="1">
      <c r="A158" s="3629">
        <v>154</v>
      </c>
      <c r="B158" s="3629" t="s">
        <v>8389</v>
      </c>
      <c r="C158" s="3629">
        <v>17</v>
      </c>
      <c r="D158" s="3629" t="s">
        <v>8072</v>
      </c>
      <c r="E158" s="3629" t="s">
        <v>8073</v>
      </c>
      <c r="F158" s="3629" t="s">
        <v>8390</v>
      </c>
      <c r="G158" s="3643">
        <v>87.85</v>
      </c>
      <c r="H158" s="3649">
        <v>10150</v>
      </c>
      <c r="I158" s="3649">
        <f t="shared" si="2"/>
        <v>89</v>
      </c>
      <c r="J158" s="3644">
        <f ca="1">典型户型修正!T180</f>
        <v>146</v>
      </c>
    </row>
    <row r="159" spans="1:10" s="3633" customFormat="1">
      <c r="A159" s="3629">
        <v>155</v>
      </c>
      <c r="B159" s="3629" t="s">
        <v>8391</v>
      </c>
      <c r="C159" s="3629">
        <v>17</v>
      </c>
      <c r="D159" s="3629" t="s">
        <v>8072</v>
      </c>
      <c r="E159" s="3629" t="s">
        <v>8073</v>
      </c>
      <c r="F159" s="3629" t="s">
        <v>8392</v>
      </c>
      <c r="G159" s="3643">
        <v>87.85</v>
      </c>
      <c r="H159" s="3649">
        <v>10150</v>
      </c>
      <c r="I159" s="3649">
        <f t="shared" si="2"/>
        <v>89</v>
      </c>
      <c r="J159" s="3644">
        <f ca="1">典型户型修正!T181</f>
        <v>146</v>
      </c>
    </row>
    <row r="160" spans="1:10" s="3633" customFormat="1">
      <c r="A160" s="3629">
        <v>156</v>
      </c>
      <c r="B160" s="3629" t="s">
        <v>8393</v>
      </c>
      <c r="C160" s="3629">
        <v>17</v>
      </c>
      <c r="D160" s="3629" t="s">
        <v>8072</v>
      </c>
      <c r="E160" s="3629" t="s">
        <v>8073</v>
      </c>
      <c r="F160" s="3629" t="s">
        <v>8394</v>
      </c>
      <c r="G160" s="3643">
        <v>87.85</v>
      </c>
      <c r="H160" s="3649">
        <v>10150</v>
      </c>
      <c r="I160" s="3649">
        <f t="shared" si="2"/>
        <v>89</v>
      </c>
      <c r="J160" s="3644">
        <f ca="1">典型户型修正!T182</f>
        <v>146</v>
      </c>
    </row>
    <row r="161" spans="1:10" s="3633" customFormat="1">
      <c r="A161" s="3629">
        <v>157</v>
      </c>
      <c r="B161" s="3629" t="s">
        <v>8395</v>
      </c>
      <c r="C161" s="3629">
        <v>17</v>
      </c>
      <c r="D161" s="3629" t="s">
        <v>8072</v>
      </c>
      <c r="E161" s="3629" t="s">
        <v>8073</v>
      </c>
      <c r="F161" s="3629" t="s">
        <v>8396</v>
      </c>
      <c r="G161" s="3643">
        <v>87.85</v>
      </c>
      <c r="H161" s="3649">
        <v>10150</v>
      </c>
      <c r="I161" s="3649">
        <f t="shared" si="2"/>
        <v>89</v>
      </c>
      <c r="J161" s="3644">
        <f ca="1">典型户型修正!T183</f>
        <v>146</v>
      </c>
    </row>
    <row r="162" spans="1:10" s="3633" customFormat="1">
      <c r="A162" s="3629">
        <v>158</v>
      </c>
      <c r="B162" s="3629" t="s">
        <v>8397</v>
      </c>
      <c r="C162" s="3629">
        <v>17</v>
      </c>
      <c r="D162" s="3629" t="s">
        <v>8072</v>
      </c>
      <c r="E162" s="3629" t="s">
        <v>8073</v>
      </c>
      <c r="F162" s="3629" t="s">
        <v>8398</v>
      </c>
      <c r="G162" s="3643">
        <v>87.85</v>
      </c>
      <c r="H162" s="3649">
        <v>10150</v>
      </c>
      <c r="I162" s="3649">
        <f t="shared" si="2"/>
        <v>89</v>
      </c>
      <c r="J162" s="3644">
        <f ca="1">典型户型修正!T184</f>
        <v>143</v>
      </c>
    </row>
    <row r="163" spans="1:10" s="3633" customFormat="1">
      <c r="A163" s="3629">
        <v>159</v>
      </c>
      <c r="B163" s="3629" t="s">
        <v>8399</v>
      </c>
      <c r="C163" s="3629">
        <v>17</v>
      </c>
      <c r="D163" s="3629" t="s">
        <v>8072</v>
      </c>
      <c r="E163" s="3629" t="s">
        <v>8073</v>
      </c>
      <c r="F163" s="3629" t="s">
        <v>8400</v>
      </c>
      <c r="G163" s="3643">
        <v>87.85</v>
      </c>
      <c r="H163" s="3649">
        <v>10150</v>
      </c>
      <c r="I163" s="3649">
        <f t="shared" si="2"/>
        <v>89</v>
      </c>
      <c r="J163" s="3644">
        <f ca="1">典型户型修正!T185</f>
        <v>143</v>
      </c>
    </row>
    <row r="164" spans="1:10" s="3633" customFormat="1">
      <c r="A164" s="3629">
        <v>160</v>
      </c>
      <c r="B164" s="3629" t="s">
        <v>8401</v>
      </c>
      <c r="C164" s="3629">
        <v>17</v>
      </c>
      <c r="D164" s="3629" t="s">
        <v>8072</v>
      </c>
      <c r="E164" s="3629" t="s">
        <v>8073</v>
      </c>
      <c r="F164" s="3629" t="s">
        <v>8402</v>
      </c>
      <c r="G164" s="3643">
        <v>87.85</v>
      </c>
      <c r="H164" s="3649">
        <v>10150</v>
      </c>
      <c r="I164" s="3649">
        <f t="shared" si="2"/>
        <v>89</v>
      </c>
      <c r="J164" s="3644">
        <f ca="1">典型户型修正!T186</f>
        <v>143</v>
      </c>
    </row>
    <row r="165" spans="1:10" s="3633" customFormat="1">
      <c r="A165" s="3629">
        <v>161</v>
      </c>
      <c r="B165" s="3629" t="s">
        <v>8403</v>
      </c>
      <c r="C165" s="3629">
        <v>17</v>
      </c>
      <c r="D165" s="3629" t="s">
        <v>8072</v>
      </c>
      <c r="E165" s="3629" t="s">
        <v>8073</v>
      </c>
      <c r="F165" s="3629" t="s">
        <v>8404</v>
      </c>
      <c r="G165" s="3643">
        <v>87.85</v>
      </c>
      <c r="H165" s="3649">
        <v>10100</v>
      </c>
      <c r="I165" s="3649">
        <f t="shared" si="2"/>
        <v>89</v>
      </c>
      <c r="J165" s="3644">
        <f ca="1">典型户型修正!T187</f>
        <v>143</v>
      </c>
    </row>
    <row r="166" spans="1:10" s="3633" customFormat="1">
      <c r="A166" s="3629">
        <v>162</v>
      </c>
      <c r="B166" s="3629" t="s">
        <v>8405</v>
      </c>
      <c r="C166" s="3629">
        <v>17</v>
      </c>
      <c r="D166" s="3629" t="s">
        <v>8072</v>
      </c>
      <c r="E166" s="3629" t="s">
        <v>8073</v>
      </c>
      <c r="F166" s="3629" t="s">
        <v>8406</v>
      </c>
      <c r="G166" s="3643">
        <v>88.05</v>
      </c>
      <c r="H166" s="3649">
        <v>9800</v>
      </c>
      <c r="I166" s="3649">
        <f t="shared" si="2"/>
        <v>86</v>
      </c>
      <c r="J166" s="3644">
        <f ca="1">典型户型修正!T188</f>
        <v>143</v>
      </c>
    </row>
    <row r="167" spans="1:10" s="3633" customFormat="1">
      <c r="A167" s="3629">
        <v>163</v>
      </c>
      <c r="B167" s="3629" t="s">
        <v>8407</v>
      </c>
      <c r="C167" s="3629">
        <v>17</v>
      </c>
      <c r="D167" s="3629" t="s">
        <v>8072</v>
      </c>
      <c r="E167" s="3629" t="s">
        <v>8087</v>
      </c>
      <c r="F167" s="3629" t="s">
        <v>8408</v>
      </c>
      <c r="G167" s="3643">
        <v>110.15</v>
      </c>
      <c r="H167" s="3649">
        <v>11750</v>
      </c>
      <c r="I167" s="3649">
        <f t="shared" si="2"/>
        <v>129</v>
      </c>
      <c r="J167" s="3644">
        <f ca="1">典型户型修正!T189</f>
        <v>179</v>
      </c>
    </row>
    <row r="168" spans="1:10" s="3633" customFormat="1">
      <c r="A168" s="3629">
        <v>164</v>
      </c>
      <c r="B168" s="3629" t="s">
        <v>8409</v>
      </c>
      <c r="C168" s="3629">
        <v>17</v>
      </c>
      <c r="D168" s="3629" t="s">
        <v>8072</v>
      </c>
      <c r="E168" s="3629" t="s">
        <v>8087</v>
      </c>
      <c r="F168" s="3629" t="s">
        <v>8410</v>
      </c>
      <c r="G168" s="3643">
        <v>110.15</v>
      </c>
      <c r="H168" s="3649">
        <v>10850</v>
      </c>
      <c r="I168" s="3649">
        <f t="shared" si="2"/>
        <v>120</v>
      </c>
      <c r="J168" s="3644">
        <f ca="1">典型户型修正!T190</f>
        <v>179</v>
      </c>
    </row>
    <row r="169" spans="1:10" s="3633" customFormat="1">
      <c r="A169" s="3629">
        <v>165</v>
      </c>
      <c r="B169" s="3629" t="s">
        <v>8411</v>
      </c>
      <c r="C169" s="3629">
        <v>17</v>
      </c>
      <c r="D169" s="3629" t="s">
        <v>8072</v>
      </c>
      <c r="E169" s="3629" t="s">
        <v>8087</v>
      </c>
      <c r="F169" s="3629" t="s">
        <v>8412</v>
      </c>
      <c r="G169" s="3643">
        <v>110.15</v>
      </c>
      <c r="H169" s="3649">
        <v>11150</v>
      </c>
      <c r="I169" s="3649">
        <f t="shared" si="2"/>
        <v>123</v>
      </c>
      <c r="J169" s="3644">
        <f ca="1">典型户型修正!T191</f>
        <v>179</v>
      </c>
    </row>
    <row r="170" spans="1:10" s="3633" customFormat="1">
      <c r="A170" s="3629">
        <v>166</v>
      </c>
      <c r="B170" s="3629" t="s">
        <v>8413</v>
      </c>
      <c r="C170" s="3629">
        <v>17</v>
      </c>
      <c r="D170" s="3629" t="s">
        <v>8072</v>
      </c>
      <c r="E170" s="3629" t="s">
        <v>8087</v>
      </c>
      <c r="F170" s="3629" t="s">
        <v>8414</v>
      </c>
      <c r="G170" s="3643">
        <v>110.15</v>
      </c>
      <c r="H170" s="3649">
        <v>11400</v>
      </c>
      <c r="I170" s="3649">
        <f t="shared" si="2"/>
        <v>126</v>
      </c>
      <c r="J170" s="3644">
        <f ca="1">典型户型修正!T192</f>
        <v>179</v>
      </c>
    </row>
    <row r="171" spans="1:10" s="3633" customFormat="1">
      <c r="A171" s="3629">
        <v>167</v>
      </c>
      <c r="B171" s="3629" t="s">
        <v>8415</v>
      </c>
      <c r="C171" s="3629">
        <v>17</v>
      </c>
      <c r="D171" s="3629" t="s">
        <v>8072</v>
      </c>
      <c r="E171" s="3629" t="s">
        <v>8087</v>
      </c>
      <c r="F171" s="3629" t="s">
        <v>8416</v>
      </c>
      <c r="G171" s="3643">
        <v>110.15</v>
      </c>
      <c r="H171" s="3649">
        <v>11450</v>
      </c>
      <c r="I171" s="3649">
        <f t="shared" si="2"/>
        <v>126</v>
      </c>
      <c r="J171" s="3644">
        <f ca="1">典型户型修正!T193</f>
        <v>179</v>
      </c>
    </row>
    <row r="172" spans="1:10" s="3633" customFormat="1">
      <c r="A172" s="3629">
        <v>168</v>
      </c>
      <c r="B172" s="3629" t="s">
        <v>8417</v>
      </c>
      <c r="C172" s="3629">
        <v>17</v>
      </c>
      <c r="D172" s="3629" t="s">
        <v>8072</v>
      </c>
      <c r="E172" s="3629" t="s">
        <v>8087</v>
      </c>
      <c r="F172" s="3629" t="s">
        <v>8418</v>
      </c>
      <c r="G172" s="3643">
        <v>110.15</v>
      </c>
      <c r="H172" s="3649">
        <v>11500</v>
      </c>
      <c r="I172" s="3649">
        <f t="shared" si="2"/>
        <v>127</v>
      </c>
      <c r="J172" s="3644">
        <f ca="1">典型户型修正!T194</f>
        <v>186</v>
      </c>
    </row>
    <row r="173" spans="1:10" s="3633" customFormat="1">
      <c r="A173" s="3629">
        <v>169</v>
      </c>
      <c r="B173" s="3629" t="s">
        <v>8419</v>
      </c>
      <c r="C173" s="3629">
        <v>17</v>
      </c>
      <c r="D173" s="3629" t="s">
        <v>8072</v>
      </c>
      <c r="E173" s="3629" t="s">
        <v>8087</v>
      </c>
      <c r="F173" s="3629" t="s">
        <v>8420</v>
      </c>
      <c r="G173" s="3643">
        <v>110.15</v>
      </c>
      <c r="H173" s="3649">
        <v>11500</v>
      </c>
      <c r="I173" s="3649">
        <f t="shared" si="2"/>
        <v>127</v>
      </c>
      <c r="J173" s="3644">
        <f ca="1">典型户型修正!T195</f>
        <v>186</v>
      </c>
    </row>
    <row r="174" spans="1:10" s="3633" customFormat="1">
      <c r="A174" s="3629">
        <v>170</v>
      </c>
      <c r="B174" s="3629" t="s">
        <v>8421</v>
      </c>
      <c r="C174" s="3629">
        <v>17</v>
      </c>
      <c r="D174" s="3629" t="s">
        <v>8072</v>
      </c>
      <c r="E174" s="3629" t="s">
        <v>8087</v>
      </c>
      <c r="F174" s="3629" t="s">
        <v>8422</v>
      </c>
      <c r="G174" s="3643">
        <v>110.15</v>
      </c>
      <c r="H174" s="3649">
        <v>11500</v>
      </c>
      <c r="I174" s="3649">
        <f t="shared" si="2"/>
        <v>127</v>
      </c>
      <c r="J174" s="3644">
        <f ca="1">典型户型修正!T196</f>
        <v>186</v>
      </c>
    </row>
    <row r="175" spans="1:10" s="3633" customFormat="1">
      <c r="A175" s="3629">
        <v>171</v>
      </c>
      <c r="B175" s="3629" t="s">
        <v>8423</v>
      </c>
      <c r="C175" s="3629">
        <v>17</v>
      </c>
      <c r="D175" s="3629" t="s">
        <v>8072</v>
      </c>
      <c r="E175" s="3629" t="s">
        <v>8087</v>
      </c>
      <c r="F175" s="3629" t="s">
        <v>8424</v>
      </c>
      <c r="G175" s="3643">
        <v>110.15</v>
      </c>
      <c r="H175" s="3649">
        <v>11500</v>
      </c>
      <c r="I175" s="3649">
        <f t="shared" si="2"/>
        <v>127</v>
      </c>
      <c r="J175" s="3644">
        <f ca="1">典型户型修正!T197</f>
        <v>186</v>
      </c>
    </row>
    <row r="176" spans="1:10" s="3633" customFormat="1">
      <c r="A176" s="3629">
        <v>172</v>
      </c>
      <c r="B176" s="3629" t="s">
        <v>8425</v>
      </c>
      <c r="C176" s="3629">
        <v>17</v>
      </c>
      <c r="D176" s="3629" t="s">
        <v>8072</v>
      </c>
      <c r="E176" s="3629" t="s">
        <v>8087</v>
      </c>
      <c r="F176" s="3629" t="s">
        <v>8426</v>
      </c>
      <c r="G176" s="3643">
        <v>110.15</v>
      </c>
      <c r="H176" s="3649">
        <v>11500</v>
      </c>
      <c r="I176" s="3649">
        <f t="shared" si="2"/>
        <v>127</v>
      </c>
      <c r="J176" s="3644">
        <f ca="1">典型户型修正!T198</f>
        <v>186</v>
      </c>
    </row>
    <row r="177" spans="1:10" s="3633" customFormat="1">
      <c r="A177" s="3629">
        <v>173</v>
      </c>
      <c r="B177" s="3629" t="s">
        <v>8427</v>
      </c>
      <c r="C177" s="3629">
        <v>17</v>
      </c>
      <c r="D177" s="3629" t="s">
        <v>8072</v>
      </c>
      <c r="E177" s="3629" t="s">
        <v>8087</v>
      </c>
      <c r="F177" s="3629" t="s">
        <v>8428</v>
      </c>
      <c r="G177" s="3643">
        <v>110.15</v>
      </c>
      <c r="H177" s="3649">
        <v>11500</v>
      </c>
      <c r="I177" s="3649">
        <f t="shared" si="2"/>
        <v>127</v>
      </c>
      <c r="J177" s="3644">
        <f ca="1">典型户型修正!T199</f>
        <v>186</v>
      </c>
    </row>
    <row r="178" spans="1:10" s="3633" customFormat="1">
      <c r="A178" s="3629">
        <v>174</v>
      </c>
      <c r="B178" s="3629" t="s">
        <v>8429</v>
      </c>
      <c r="C178" s="3629">
        <v>17</v>
      </c>
      <c r="D178" s="3629" t="s">
        <v>8072</v>
      </c>
      <c r="E178" s="3629" t="s">
        <v>8087</v>
      </c>
      <c r="F178" s="3629" t="s">
        <v>8430</v>
      </c>
      <c r="G178" s="3643">
        <v>110.15</v>
      </c>
      <c r="H178" s="3649">
        <v>11500</v>
      </c>
      <c r="I178" s="3649">
        <f t="shared" si="2"/>
        <v>127</v>
      </c>
      <c r="J178" s="3644">
        <f ca="1">典型户型修正!T200</f>
        <v>183</v>
      </c>
    </row>
    <row r="179" spans="1:10" s="3633" customFormat="1">
      <c r="A179" s="3629">
        <v>175</v>
      </c>
      <c r="B179" s="3629" t="s">
        <v>8431</v>
      </c>
      <c r="C179" s="3629">
        <v>17</v>
      </c>
      <c r="D179" s="3629" t="s">
        <v>8072</v>
      </c>
      <c r="E179" s="3629" t="s">
        <v>8087</v>
      </c>
      <c r="F179" s="3629" t="s">
        <v>8432</v>
      </c>
      <c r="G179" s="3643">
        <v>110.15</v>
      </c>
      <c r="H179" s="3649">
        <v>11500</v>
      </c>
      <c r="I179" s="3649">
        <f t="shared" si="2"/>
        <v>127</v>
      </c>
      <c r="J179" s="3644">
        <f ca="1">典型户型修正!T201</f>
        <v>183</v>
      </c>
    </row>
    <row r="180" spans="1:10" s="3633" customFormat="1">
      <c r="A180" s="3629">
        <v>176</v>
      </c>
      <c r="B180" s="3629" t="s">
        <v>8433</v>
      </c>
      <c r="C180" s="3629">
        <v>17</v>
      </c>
      <c r="D180" s="3629" t="s">
        <v>8072</v>
      </c>
      <c r="E180" s="3629" t="s">
        <v>8087</v>
      </c>
      <c r="F180" s="3629" t="s">
        <v>8434</v>
      </c>
      <c r="G180" s="3643">
        <v>110.15</v>
      </c>
      <c r="H180" s="3649">
        <v>11500</v>
      </c>
      <c r="I180" s="3649">
        <f t="shared" si="2"/>
        <v>127</v>
      </c>
      <c r="J180" s="3644">
        <f ca="1">典型户型修正!T202</f>
        <v>183</v>
      </c>
    </row>
    <row r="181" spans="1:10" s="3633" customFormat="1">
      <c r="A181" s="3629">
        <v>177</v>
      </c>
      <c r="B181" s="3629" t="s">
        <v>8435</v>
      </c>
      <c r="C181" s="3629">
        <v>17</v>
      </c>
      <c r="D181" s="3629" t="s">
        <v>8072</v>
      </c>
      <c r="E181" s="3629" t="s">
        <v>8087</v>
      </c>
      <c r="F181" s="3629" t="s">
        <v>8436</v>
      </c>
      <c r="G181" s="3643">
        <v>110.15</v>
      </c>
      <c r="H181" s="3649">
        <v>11450</v>
      </c>
      <c r="I181" s="3649">
        <f t="shared" si="2"/>
        <v>126</v>
      </c>
      <c r="J181" s="3644">
        <f ca="1">典型户型修正!T203</f>
        <v>183</v>
      </c>
    </row>
    <row r="182" spans="1:10" s="3633" customFormat="1">
      <c r="A182" s="3629">
        <v>178</v>
      </c>
      <c r="B182" s="3629" t="s">
        <v>8437</v>
      </c>
      <c r="C182" s="3629">
        <v>17</v>
      </c>
      <c r="D182" s="3629" t="s">
        <v>8072</v>
      </c>
      <c r="E182" s="3629" t="s">
        <v>8087</v>
      </c>
      <c r="F182" s="3629" t="s">
        <v>8438</v>
      </c>
      <c r="G182" s="3643">
        <v>96.21</v>
      </c>
      <c r="H182" s="3649">
        <v>11150</v>
      </c>
      <c r="I182" s="3649">
        <f t="shared" si="2"/>
        <v>107</v>
      </c>
      <c r="J182" s="3644">
        <f ca="1">典型户型修正!T204</f>
        <v>158</v>
      </c>
    </row>
    <row r="183" spans="1:10" s="3633" customFormat="1">
      <c r="A183" s="3629">
        <v>179</v>
      </c>
      <c r="B183" s="3629" t="s">
        <v>8439</v>
      </c>
      <c r="C183" s="3629">
        <v>30</v>
      </c>
      <c r="D183" s="3629" t="s">
        <v>8072</v>
      </c>
      <c r="E183" s="3629" t="s">
        <v>8073</v>
      </c>
      <c r="F183" s="3629" t="s">
        <v>8440</v>
      </c>
      <c r="G183" s="3643">
        <v>107.91</v>
      </c>
      <c r="H183" s="3649">
        <v>9450</v>
      </c>
      <c r="I183" s="3649">
        <f t="shared" si="2"/>
        <v>102</v>
      </c>
      <c r="J183" s="3644">
        <f ca="1">典型户型修正!T205</f>
        <v>174</v>
      </c>
    </row>
    <row r="184" spans="1:10" s="3633" customFormat="1">
      <c r="A184" s="3629">
        <v>180</v>
      </c>
      <c r="B184" s="3629" t="s">
        <v>8441</v>
      </c>
      <c r="C184" s="3629">
        <v>30</v>
      </c>
      <c r="D184" s="3629" t="s">
        <v>8072</v>
      </c>
      <c r="E184" s="3629" t="s">
        <v>8090</v>
      </c>
      <c r="F184" s="3629" t="s">
        <v>8442</v>
      </c>
      <c r="G184" s="3643">
        <v>127.19</v>
      </c>
      <c r="H184" s="3649">
        <v>11100</v>
      </c>
      <c r="I184" s="3649">
        <f t="shared" si="2"/>
        <v>141</v>
      </c>
      <c r="J184" s="3644">
        <f ca="1">典型户型修正!T206</f>
        <v>203</v>
      </c>
    </row>
    <row r="185" spans="1:10" s="3633" customFormat="1">
      <c r="A185" s="3629">
        <v>181</v>
      </c>
      <c r="B185" s="3629" t="s">
        <v>8443</v>
      </c>
      <c r="C185" s="3629">
        <v>30</v>
      </c>
      <c r="D185" s="3629" t="s">
        <v>8072</v>
      </c>
      <c r="E185" s="3629" t="s">
        <v>8090</v>
      </c>
      <c r="F185" s="3629" t="s">
        <v>8444</v>
      </c>
      <c r="G185" s="3643">
        <v>127.19</v>
      </c>
      <c r="H185" s="3649">
        <v>11300</v>
      </c>
      <c r="I185" s="3649">
        <f t="shared" si="2"/>
        <v>144</v>
      </c>
      <c r="J185" s="3644">
        <f ca="1">典型户型修正!T207</f>
        <v>203</v>
      </c>
    </row>
    <row r="186" spans="1:10" s="3633" customFormat="1">
      <c r="A186" s="3629">
        <v>182</v>
      </c>
      <c r="B186" s="3629" t="s">
        <v>8445</v>
      </c>
      <c r="C186" s="3629">
        <v>30</v>
      </c>
      <c r="D186" s="3629" t="s">
        <v>8072</v>
      </c>
      <c r="E186" s="3629" t="s">
        <v>8090</v>
      </c>
      <c r="F186" s="3629" t="s">
        <v>8446</v>
      </c>
      <c r="G186" s="3643">
        <v>127.19</v>
      </c>
      <c r="H186" s="3649">
        <v>11750</v>
      </c>
      <c r="I186" s="3649">
        <f t="shared" si="2"/>
        <v>149</v>
      </c>
      <c r="J186" s="3644">
        <f ca="1">典型户型修正!T208</f>
        <v>203</v>
      </c>
    </row>
    <row r="187" spans="1:10" s="3633" customFormat="1">
      <c r="A187" s="3629">
        <v>183</v>
      </c>
      <c r="B187" s="3629" t="s">
        <v>8447</v>
      </c>
      <c r="C187" s="3629">
        <v>30</v>
      </c>
      <c r="D187" s="3629" t="s">
        <v>8072</v>
      </c>
      <c r="E187" s="3629" t="s">
        <v>8090</v>
      </c>
      <c r="F187" s="3629" t="s">
        <v>8448</v>
      </c>
      <c r="G187" s="3643">
        <v>127.19</v>
      </c>
      <c r="H187" s="3649">
        <v>12100</v>
      </c>
      <c r="I187" s="3649">
        <f t="shared" si="2"/>
        <v>154</v>
      </c>
      <c r="J187" s="3644">
        <f ca="1">典型户型修正!T209</f>
        <v>203</v>
      </c>
    </row>
    <row r="188" spans="1:10" s="3633" customFormat="1">
      <c r="A188" s="3629">
        <v>184</v>
      </c>
      <c r="B188" s="3629" t="s">
        <v>8449</v>
      </c>
      <c r="C188" s="3629">
        <v>30</v>
      </c>
      <c r="D188" s="3629" t="s">
        <v>8072</v>
      </c>
      <c r="E188" s="3629" t="s">
        <v>8090</v>
      </c>
      <c r="F188" s="3629" t="s">
        <v>8450</v>
      </c>
      <c r="G188" s="3643">
        <v>127.19</v>
      </c>
      <c r="H188" s="3649">
        <v>12150</v>
      </c>
      <c r="I188" s="3649">
        <f t="shared" si="2"/>
        <v>155</v>
      </c>
      <c r="J188" s="3644">
        <f ca="1">典型户型修正!T210</f>
        <v>203</v>
      </c>
    </row>
    <row r="189" spans="1:10" s="3633" customFormat="1">
      <c r="A189" s="3629">
        <v>185</v>
      </c>
      <c r="B189" s="3629" t="s">
        <v>8451</v>
      </c>
      <c r="C189" s="3629">
        <v>30</v>
      </c>
      <c r="D189" s="3629" t="s">
        <v>8072</v>
      </c>
      <c r="E189" s="3629" t="s">
        <v>8090</v>
      </c>
      <c r="F189" s="3629" t="s">
        <v>8452</v>
      </c>
      <c r="G189" s="3643">
        <v>127.19</v>
      </c>
      <c r="H189" s="3649">
        <v>12200</v>
      </c>
      <c r="I189" s="3649">
        <f t="shared" si="2"/>
        <v>155</v>
      </c>
      <c r="J189" s="3644">
        <f ca="1">典型户型修正!T211</f>
        <v>203</v>
      </c>
    </row>
    <row r="190" spans="1:10" s="3633" customFormat="1">
      <c r="A190" s="3629">
        <v>186</v>
      </c>
      <c r="B190" s="3629" t="s">
        <v>8453</v>
      </c>
      <c r="C190" s="3629">
        <v>30</v>
      </c>
      <c r="D190" s="3629" t="s">
        <v>8072</v>
      </c>
      <c r="E190" s="3629" t="s">
        <v>8090</v>
      </c>
      <c r="F190" s="3629" t="s">
        <v>8454</v>
      </c>
      <c r="G190" s="3643">
        <v>127.19</v>
      </c>
      <c r="H190" s="3649">
        <v>12250</v>
      </c>
      <c r="I190" s="3649">
        <f t="shared" si="2"/>
        <v>156</v>
      </c>
      <c r="J190" s="3644">
        <f ca="1">典型户型修正!T212</f>
        <v>203</v>
      </c>
    </row>
    <row r="191" spans="1:10" s="3633" customFormat="1">
      <c r="A191" s="3629">
        <v>187</v>
      </c>
      <c r="B191" s="3629" t="s">
        <v>8455</v>
      </c>
      <c r="C191" s="3629">
        <v>30</v>
      </c>
      <c r="D191" s="3629" t="s">
        <v>8072</v>
      </c>
      <c r="E191" s="3629" t="s">
        <v>8090</v>
      </c>
      <c r="F191" s="3629" t="s">
        <v>8456</v>
      </c>
      <c r="G191" s="3643">
        <v>127.19</v>
      </c>
      <c r="H191" s="3649">
        <v>12300</v>
      </c>
      <c r="I191" s="3649">
        <f t="shared" si="2"/>
        <v>156</v>
      </c>
      <c r="J191" s="3644">
        <f ca="1">典型户型修正!T213</f>
        <v>203</v>
      </c>
    </row>
    <row r="192" spans="1:10" s="3633" customFormat="1">
      <c r="A192" s="3629">
        <v>188</v>
      </c>
      <c r="B192" s="3629" t="s">
        <v>8457</v>
      </c>
      <c r="C192" s="3629">
        <v>30</v>
      </c>
      <c r="D192" s="3629" t="s">
        <v>8072</v>
      </c>
      <c r="E192" s="3629" t="s">
        <v>8090</v>
      </c>
      <c r="F192" s="3629" t="s">
        <v>8458</v>
      </c>
      <c r="G192" s="3643">
        <v>127.19</v>
      </c>
      <c r="H192" s="3649">
        <v>11000</v>
      </c>
      <c r="I192" s="3649">
        <f t="shared" si="2"/>
        <v>140</v>
      </c>
      <c r="J192" s="3644">
        <f ca="1">典型户型修正!T214</f>
        <v>203</v>
      </c>
    </row>
    <row r="193" spans="1:10" s="3633" customFormat="1">
      <c r="A193" s="3629">
        <v>189</v>
      </c>
      <c r="B193" s="3629" t="s">
        <v>8459</v>
      </c>
      <c r="C193" s="3629">
        <v>30</v>
      </c>
      <c r="D193" s="3629" t="s">
        <v>8072</v>
      </c>
      <c r="E193" s="3629" t="s">
        <v>8090</v>
      </c>
      <c r="F193" s="3629" t="s">
        <v>8460</v>
      </c>
      <c r="G193" s="3643">
        <v>127.19</v>
      </c>
      <c r="H193" s="3649">
        <v>11050</v>
      </c>
      <c r="I193" s="3649">
        <f t="shared" si="2"/>
        <v>141</v>
      </c>
      <c r="J193" s="3644">
        <f ca="1">典型户型修正!T215</f>
        <v>211</v>
      </c>
    </row>
    <row r="194" spans="1:10" s="3633" customFormat="1">
      <c r="A194" s="3629">
        <v>190</v>
      </c>
      <c r="B194" s="3629" t="s">
        <v>8461</v>
      </c>
      <c r="C194" s="3629">
        <v>30</v>
      </c>
      <c r="D194" s="3629" t="s">
        <v>8072</v>
      </c>
      <c r="E194" s="3629" t="s">
        <v>8090</v>
      </c>
      <c r="F194" s="3629" t="s">
        <v>8462</v>
      </c>
      <c r="G194" s="3643">
        <v>127.19</v>
      </c>
      <c r="H194" s="3649">
        <v>11000</v>
      </c>
      <c r="I194" s="3649">
        <f t="shared" si="2"/>
        <v>140</v>
      </c>
      <c r="J194" s="3644">
        <f ca="1">典型户型修正!T216</f>
        <v>211</v>
      </c>
    </row>
    <row r="195" spans="1:10" s="3633" customFormat="1">
      <c r="A195" s="3629">
        <v>191</v>
      </c>
      <c r="B195" s="3629" t="s">
        <v>8463</v>
      </c>
      <c r="C195" s="3629">
        <v>30</v>
      </c>
      <c r="D195" s="3629" t="s">
        <v>8072</v>
      </c>
      <c r="E195" s="3629" t="s">
        <v>8090</v>
      </c>
      <c r="F195" s="3629" t="s">
        <v>8464</v>
      </c>
      <c r="G195" s="3643">
        <v>127.19</v>
      </c>
      <c r="H195" s="3649">
        <v>11100</v>
      </c>
      <c r="I195" s="3649">
        <f t="shared" si="2"/>
        <v>141</v>
      </c>
      <c r="J195" s="3644">
        <f ca="1">典型户型修正!T217</f>
        <v>211</v>
      </c>
    </row>
    <row r="196" spans="1:10" s="3633" customFormat="1">
      <c r="A196" s="3629">
        <v>192</v>
      </c>
      <c r="B196" s="3629" t="s">
        <v>8465</v>
      </c>
      <c r="C196" s="3629">
        <v>30</v>
      </c>
      <c r="D196" s="3629" t="s">
        <v>8072</v>
      </c>
      <c r="E196" s="3629" t="s">
        <v>8090</v>
      </c>
      <c r="F196" s="3629" t="s">
        <v>8466</v>
      </c>
      <c r="G196" s="3643">
        <v>127.19</v>
      </c>
      <c r="H196" s="3649">
        <v>11100</v>
      </c>
      <c r="I196" s="3649">
        <f t="shared" si="2"/>
        <v>141</v>
      </c>
      <c r="J196" s="3644">
        <f ca="1">典型户型修正!T218</f>
        <v>211</v>
      </c>
    </row>
    <row r="197" spans="1:10" s="3633" customFormat="1">
      <c r="A197" s="3629">
        <v>193</v>
      </c>
      <c r="B197" s="3629" t="s">
        <v>8467</v>
      </c>
      <c r="C197" s="3629">
        <v>30</v>
      </c>
      <c r="D197" s="3629" t="s">
        <v>8072</v>
      </c>
      <c r="E197" s="3629" t="s">
        <v>8090</v>
      </c>
      <c r="F197" s="3629" t="s">
        <v>8468</v>
      </c>
      <c r="G197" s="3643">
        <v>127.19</v>
      </c>
      <c r="H197" s="3649">
        <v>11130</v>
      </c>
      <c r="I197" s="3649">
        <f t="shared" si="2"/>
        <v>142</v>
      </c>
      <c r="J197" s="3644">
        <f ca="1">典型户型修正!T219</f>
        <v>211</v>
      </c>
    </row>
    <row r="198" spans="1:10" s="3633" customFormat="1">
      <c r="A198" s="3629">
        <v>194</v>
      </c>
      <c r="B198" s="3629" t="s">
        <v>8469</v>
      </c>
      <c r="C198" s="3629">
        <v>30</v>
      </c>
      <c r="D198" s="3629" t="s">
        <v>8072</v>
      </c>
      <c r="E198" s="3629" t="s">
        <v>8090</v>
      </c>
      <c r="F198" s="3629" t="s">
        <v>8470</v>
      </c>
      <c r="G198" s="3643">
        <v>127.19</v>
      </c>
      <c r="H198" s="3649">
        <v>11130</v>
      </c>
      <c r="I198" s="3649">
        <f t="shared" si="2"/>
        <v>142</v>
      </c>
      <c r="J198" s="3644">
        <f ca="1">典型户型修正!T220</f>
        <v>211</v>
      </c>
    </row>
    <row r="199" spans="1:10" s="3633" customFormat="1">
      <c r="A199" s="3629">
        <v>195</v>
      </c>
      <c r="B199" s="3629" t="s">
        <v>8471</v>
      </c>
      <c r="C199" s="3629">
        <v>30</v>
      </c>
      <c r="D199" s="3629" t="s">
        <v>8072</v>
      </c>
      <c r="E199" s="3629" t="s">
        <v>8090</v>
      </c>
      <c r="F199" s="3629" t="s">
        <v>8472</v>
      </c>
      <c r="G199" s="3643">
        <v>127.19</v>
      </c>
      <c r="H199" s="3649">
        <v>11160</v>
      </c>
      <c r="I199" s="3649">
        <f t="shared" ref="I199:I262" si="3">ROUND(G199*H199/10000,0)</f>
        <v>142</v>
      </c>
      <c r="J199" s="3644">
        <f ca="1">典型户型修正!T221</f>
        <v>211</v>
      </c>
    </row>
    <row r="200" spans="1:10" s="3633" customFormat="1">
      <c r="A200" s="3629">
        <v>196</v>
      </c>
      <c r="B200" s="3629" t="s">
        <v>8473</v>
      </c>
      <c r="C200" s="3629">
        <v>30</v>
      </c>
      <c r="D200" s="3629" t="s">
        <v>8072</v>
      </c>
      <c r="E200" s="3629" t="s">
        <v>8090</v>
      </c>
      <c r="F200" s="3629" t="s">
        <v>8474</v>
      </c>
      <c r="G200" s="3643">
        <v>127.19</v>
      </c>
      <c r="H200" s="3649">
        <v>11160</v>
      </c>
      <c r="I200" s="3649">
        <f t="shared" si="3"/>
        <v>142</v>
      </c>
      <c r="J200" s="3644">
        <f ca="1">典型户型修正!T222</f>
        <v>211</v>
      </c>
    </row>
    <row r="201" spans="1:10" s="3633" customFormat="1">
      <c r="A201" s="3629">
        <v>197</v>
      </c>
      <c r="B201" s="3629" t="s">
        <v>8475</v>
      </c>
      <c r="C201" s="3629">
        <v>30</v>
      </c>
      <c r="D201" s="3629" t="s">
        <v>8072</v>
      </c>
      <c r="E201" s="3629" t="s">
        <v>8090</v>
      </c>
      <c r="F201" s="3629" t="s">
        <v>8476</v>
      </c>
      <c r="G201" s="3643">
        <v>127.19</v>
      </c>
      <c r="H201" s="3649">
        <v>11160</v>
      </c>
      <c r="I201" s="3649">
        <f t="shared" si="3"/>
        <v>142</v>
      </c>
      <c r="J201" s="3644">
        <f ca="1">典型户型修正!T223</f>
        <v>211</v>
      </c>
    </row>
    <row r="202" spans="1:10" s="3633" customFormat="1">
      <c r="A202" s="3629">
        <v>198</v>
      </c>
      <c r="B202" s="3629" t="s">
        <v>8477</v>
      </c>
      <c r="C202" s="3629">
        <v>30</v>
      </c>
      <c r="D202" s="3629" t="s">
        <v>8072</v>
      </c>
      <c r="E202" s="3629" t="s">
        <v>8090</v>
      </c>
      <c r="F202" s="3629" t="s">
        <v>8478</v>
      </c>
      <c r="G202" s="3643">
        <v>127.19</v>
      </c>
      <c r="H202" s="3649">
        <v>11160</v>
      </c>
      <c r="I202" s="3649">
        <f t="shared" si="3"/>
        <v>142</v>
      </c>
      <c r="J202" s="3644">
        <f ca="1">典型户型修正!T224</f>
        <v>211</v>
      </c>
    </row>
    <row r="203" spans="1:10" s="3633" customFormat="1">
      <c r="A203" s="3629">
        <v>199</v>
      </c>
      <c r="B203" s="3629" t="s">
        <v>8479</v>
      </c>
      <c r="C203" s="3629">
        <v>30</v>
      </c>
      <c r="D203" s="3629" t="s">
        <v>8072</v>
      </c>
      <c r="E203" s="3629" t="s">
        <v>8090</v>
      </c>
      <c r="F203" s="3629" t="s">
        <v>8480</v>
      </c>
      <c r="G203" s="3643">
        <v>127.19</v>
      </c>
      <c r="H203" s="3649">
        <v>11190</v>
      </c>
      <c r="I203" s="3649">
        <f t="shared" si="3"/>
        <v>142</v>
      </c>
      <c r="J203" s="3644">
        <f ca="1">典型户型修正!T225</f>
        <v>207</v>
      </c>
    </row>
    <row r="204" spans="1:10" s="3633" customFormat="1">
      <c r="A204" s="3629">
        <v>200</v>
      </c>
      <c r="B204" s="3629" t="s">
        <v>8481</v>
      </c>
      <c r="C204" s="3629">
        <v>30</v>
      </c>
      <c r="D204" s="3629" t="s">
        <v>8072</v>
      </c>
      <c r="E204" s="3629" t="s">
        <v>8090</v>
      </c>
      <c r="F204" s="3629" t="s">
        <v>8482</v>
      </c>
      <c r="G204" s="3643">
        <v>127.19</v>
      </c>
      <c r="H204" s="3649">
        <v>11190</v>
      </c>
      <c r="I204" s="3649">
        <f t="shared" si="3"/>
        <v>142</v>
      </c>
      <c r="J204" s="3644">
        <f ca="1">典型户型修正!T226</f>
        <v>207</v>
      </c>
    </row>
    <row r="205" spans="1:10" s="3633" customFormat="1">
      <c r="A205" s="3629">
        <v>201</v>
      </c>
      <c r="B205" s="3629" t="s">
        <v>8483</v>
      </c>
      <c r="C205" s="3629">
        <v>30</v>
      </c>
      <c r="D205" s="3629" t="s">
        <v>8072</v>
      </c>
      <c r="E205" s="3629" t="s">
        <v>8090</v>
      </c>
      <c r="F205" s="3629" t="s">
        <v>8484</v>
      </c>
      <c r="G205" s="3643">
        <v>127.19</v>
      </c>
      <c r="H205" s="3649">
        <v>11190</v>
      </c>
      <c r="I205" s="3649">
        <f t="shared" si="3"/>
        <v>142</v>
      </c>
      <c r="J205" s="3644">
        <f ca="1">典型户型修正!T227</f>
        <v>207</v>
      </c>
    </row>
    <row r="206" spans="1:10" s="3633" customFormat="1">
      <c r="A206" s="3629">
        <v>202</v>
      </c>
      <c r="B206" s="3629" t="s">
        <v>8485</v>
      </c>
      <c r="C206" s="3629">
        <v>30</v>
      </c>
      <c r="D206" s="3629" t="s">
        <v>8072</v>
      </c>
      <c r="E206" s="3629" t="s">
        <v>8090</v>
      </c>
      <c r="F206" s="3629" t="s">
        <v>8486</v>
      </c>
      <c r="G206" s="3643">
        <v>127.19</v>
      </c>
      <c r="H206" s="3649">
        <v>11190</v>
      </c>
      <c r="I206" s="3649">
        <f t="shared" si="3"/>
        <v>142</v>
      </c>
      <c r="J206" s="3644">
        <f ca="1">典型户型修正!T228</f>
        <v>207</v>
      </c>
    </row>
    <row r="207" spans="1:10" s="3633" customFormat="1">
      <c r="A207" s="3629">
        <v>203</v>
      </c>
      <c r="B207" s="3629" t="s">
        <v>8487</v>
      </c>
      <c r="C207" s="3629">
        <v>30</v>
      </c>
      <c r="D207" s="3629" t="s">
        <v>8072</v>
      </c>
      <c r="E207" s="3629" t="s">
        <v>8090</v>
      </c>
      <c r="F207" s="3629" t="s">
        <v>8488</v>
      </c>
      <c r="G207" s="3643">
        <v>127.19</v>
      </c>
      <c r="H207" s="3649">
        <v>11190</v>
      </c>
      <c r="I207" s="3649">
        <f t="shared" si="3"/>
        <v>142</v>
      </c>
      <c r="J207" s="3644">
        <f ca="1">典型户型修正!T229</f>
        <v>207</v>
      </c>
    </row>
    <row r="208" spans="1:10" s="3633" customFormat="1">
      <c r="A208" s="3629">
        <v>204</v>
      </c>
      <c r="B208" s="3629" t="s">
        <v>8489</v>
      </c>
      <c r="C208" s="3629">
        <v>30</v>
      </c>
      <c r="D208" s="3629" t="s">
        <v>8072</v>
      </c>
      <c r="E208" s="3629" t="s">
        <v>8090</v>
      </c>
      <c r="F208" s="3629" t="s">
        <v>8490</v>
      </c>
      <c r="G208" s="3643">
        <v>127.19</v>
      </c>
      <c r="H208" s="3649">
        <v>11190</v>
      </c>
      <c r="I208" s="3649">
        <f t="shared" si="3"/>
        <v>142</v>
      </c>
      <c r="J208" s="3644">
        <f ca="1">典型户型修正!T230</f>
        <v>207</v>
      </c>
    </row>
    <row r="209" spans="1:10" s="3633" customFormat="1">
      <c r="A209" s="3629">
        <v>205</v>
      </c>
      <c r="B209" s="3629" t="s">
        <v>8491</v>
      </c>
      <c r="C209" s="3629">
        <v>30</v>
      </c>
      <c r="D209" s="3629" t="s">
        <v>8072</v>
      </c>
      <c r="E209" s="3629" t="s">
        <v>8090</v>
      </c>
      <c r="F209" s="3629" t="s">
        <v>8492</v>
      </c>
      <c r="G209" s="3643">
        <v>127.19</v>
      </c>
      <c r="H209" s="3649">
        <v>11190</v>
      </c>
      <c r="I209" s="3649">
        <f t="shared" si="3"/>
        <v>142</v>
      </c>
      <c r="J209" s="3644">
        <f ca="1">典型户型修正!T231</f>
        <v>207</v>
      </c>
    </row>
    <row r="210" spans="1:10" s="3633" customFormat="1">
      <c r="A210" s="3629">
        <v>206</v>
      </c>
      <c r="B210" s="3629" t="s">
        <v>8493</v>
      </c>
      <c r="C210" s="3629">
        <v>30</v>
      </c>
      <c r="D210" s="3629" t="s">
        <v>8072</v>
      </c>
      <c r="E210" s="3629" t="s">
        <v>8090</v>
      </c>
      <c r="F210" s="3629" t="s">
        <v>8494</v>
      </c>
      <c r="G210" s="3643">
        <v>127.19</v>
      </c>
      <c r="H210" s="3649">
        <v>11190</v>
      </c>
      <c r="I210" s="3649">
        <f t="shared" si="3"/>
        <v>142</v>
      </c>
      <c r="J210" s="3644">
        <f ca="1">典型户型修正!T232</f>
        <v>207</v>
      </c>
    </row>
    <row r="211" spans="1:10" s="3633" customFormat="1">
      <c r="A211" s="3629">
        <v>207</v>
      </c>
      <c r="B211" s="3629" t="s">
        <v>8495</v>
      </c>
      <c r="C211" s="3629">
        <v>30</v>
      </c>
      <c r="D211" s="3629" t="s">
        <v>8072</v>
      </c>
      <c r="E211" s="3629" t="s">
        <v>8090</v>
      </c>
      <c r="F211" s="3629" t="s">
        <v>8496</v>
      </c>
      <c r="G211" s="3643">
        <v>127.19</v>
      </c>
      <c r="H211" s="3649">
        <v>11190</v>
      </c>
      <c r="I211" s="3649">
        <f t="shared" si="3"/>
        <v>142</v>
      </c>
      <c r="J211" s="3644">
        <f ca="1">典型户型修正!T233</f>
        <v>207</v>
      </c>
    </row>
    <row r="212" spans="1:10" s="3633" customFormat="1">
      <c r="A212" s="3629">
        <v>208</v>
      </c>
      <c r="B212" s="3629" t="s">
        <v>8497</v>
      </c>
      <c r="C212" s="3629">
        <v>30</v>
      </c>
      <c r="D212" s="3629" t="s">
        <v>8072</v>
      </c>
      <c r="E212" s="3629" t="s">
        <v>8090</v>
      </c>
      <c r="F212" s="3629" t="s">
        <v>8498</v>
      </c>
      <c r="G212" s="3643">
        <v>114.04</v>
      </c>
      <c r="H212" s="3649">
        <v>10690</v>
      </c>
      <c r="I212" s="3649">
        <f t="shared" si="3"/>
        <v>122</v>
      </c>
      <c r="J212" s="3644">
        <f ca="1">典型户型修正!T234</f>
        <v>191</v>
      </c>
    </row>
    <row r="213" spans="1:10" s="3633" customFormat="1">
      <c r="A213" s="3629">
        <v>209</v>
      </c>
      <c r="B213" s="3629" t="s">
        <v>8499</v>
      </c>
      <c r="C213" s="3629">
        <v>30</v>
      </c>
      <c r="D213" s="3629" t="s">
        <v>8072</v>
      </c>
      <c r="E213" s="3629" t="s">
        <v>8073</v>
      </c>
      <c r="F213" s="3629" t="s">
        <v>8500</v>
      </c>
      <c r="G213" s="3643">
        <v>87.98</v>
      </c>
      <c r="H213" s="3649">
        <v>10750</v>
      </c>
      <c r="I213" s="3649">
        <f t="shared" si="3"/>
        <v>95</v>
      </c>
      <c r="J213" s="3644">
        <f ca="1">典型户型修正!T235</f>
        <v>140</v>
      </c>
    </row>
    <row r="214" spans="1:10" s="3633" customFormat="1">
      <c r="A214" s="3629">
        <v>210</v>
      </c>
      <c r="B214" s="3629" t="s">
        <v>8501</v>
      </c>
      <c r="C214" s="3629">
        <v>30</v>
      </c>
      <c r="D214" s="3629" t="s">
        <v>8072</v>
      </c>
      <c r="E214" s="3629" t="s">
        <v>8073</v>
      </c>
      <c r="F214" s="3629" t="s">
        <v>8502</v>
      </c>
      <c r="G214" s="3643">
        <v>87.98</v>
      </c>
      <c r="H214" s="3649">
        <v>10950</v>
      </c>
      <c r="I214" s="3649">
        <f t="shared" si="3"/>
        <v>96</v>
      </c>
      <c r="J214" s="3644">
        <f ca="1">典型户型修正!T236</f>
        <v>140</v>
      </c>
    </row>
    <row r="215" spans="1:10" s="3633" customFormat="1">
      <c r="A215" s="3629">
        <v>211</v>
      </c>
      <c r="B215" s="3629" t="s">
        <v>8503</v>
      </c>
      <c r="C215" s="3629">
        <v>30</v>
      </c>
      <c r="D215" s="3629" t="s">
        <v>8072</v>
      </c>
      <c r="E215" s="3629" t="s">
        <v>8073</v>
      </c>
      <c r="F215" s="3629" t="s">
        <v>8504</v>
      </c>
      <c r="G215" s="3643">
        <v>87.98</v>
      </c>
      <c r="H215" s="3649">
        <v>11400</v>
      </c>
      <c r="I215" s="3649">
        <f t="shared" si="3"/>
        <v>100</v>
      </c>
      <c r="J215" s="3644">
        <f ca="1">典型户型修正!T237</f>
        <v>140</v>
      </c>
    </row>
    <row r="216" spans="1:10" s="3633" customFormat="1">
      <c r="A216" s="3629">
        <v>212</v>
      </c>
      <c r="B216" s="3629" t="s">
        <v>8505</v>
      </c>
      <c r="C216" s="3629">
        <v>30</v>
      </c>
      <c r="D216" s="3629" t="s">
        <v>8072</v>
      </c>
      <c r="E216" s="3629" t="s">
        <v>8073</v>
      </c>
      <c r="F216" s="3629" t="s">
        <v>8506</v>
      </c>
      <c r="G216" s="3643">
        <v>87.98</v>
      </c>
      <c r="H216" s="3649">
        <v>11750</v>
      </c>
      <c r="I216" s="3649">
        <f t="shared" si="3"/>
        <v>103</v>
      </c>
      <c r="J216" s="3644">
        <f ca="1">典型户型修正!T238</f>
        <v>140</v>
      </c>
    </row>
    <row r="217" spans="1:10" s="3633" customFormat="1">
      <c r="A217" s="3629">
        <v>213</v>
      </c>
      <c r="B217" s="3629" t="s">
        <v>8507</v>
      </c>
      <c r="C217" s="3629">
        <v>30</v>
      </c>
      <c r="D217" s="3629" t="s">
        <v>8072</v>
      </c>
      <c r="E217" s="3629" t="s">
        <v>8073</v>
      </c>
      <c r="F217" s="3629" t="s">
        <v>8508</v>
      </c>
      <c r="G217" s="3643">
        <v>87.98</v>
      </c>
      <c r="H217" s="3649">
        <v>11800</v>
      </c>
      <c r="I217" s="3649">
        <f t="shared" si="3"/>
        <v>104</v>
      </c>
      <c r="J217" s="3644">
        <f ca="1">典型户型修正!T239</f>
        <v>140</v>
      </c>
    </row>
    <row r="218" spans="1:10" s="3633" customFormat="1">
      <c r="A218" s="3629">
        <v>214</v>
      </c>
      <c r="B218" s="3629" t="s">
        <v>8509</v>
      </c>
      <c r="C218" s="3629">
        <v>30</v>
      </c>
      <c r="D218" s="3629" t="s">
        <v>8072</v>
      </c>
      <c r="E218" s="3629" t="s">
        <v>8073</v>
      </c>
      <c r="F218" s="3629" t="s">
        <v>8510</v>
      </c>
      <c r="G218" s="3643">
        <v>87.98</v>
      </c>
      <c r="H218" s="3649">
        <v>11850</v>
      </c>
      <c r="I218" s="3649">
        <f t="shared" si="3"/>
        <v>104</v>
      </c>
      <c r="J218" s="3644">
        <f ca="1">典型户型修正!T240</f>
        <v>140</v>
      </c>
    </row>
    <row r="219" spans="1:10" s="3633" customFormat="1">
      <c r="A219" s="3629">
        <v>215</v>
      </c>
      <c r="B219" s="3629" t="s">
        <v>8511</v>
      </c>
      <c r="C219" s="3629">
        <v>30</v>
      </c>
      <c r="D219" s="3629" t="s">
        <v>8072</v>
      </c>
      <c r="E219" s="3629" t="s">
        <v>8073</v>
      </c>
      <c r="F219" s="3629" t="s">
        <v>8512</v>
      </c>
      <c r="G219" s="3643">
        <v>87.98</v>
      </c>
      <c r="H219" s="3649">
        <v>11900</v>
      </c>
      <c r="I219" s="3649">
        <f t="shared" si="3"/>
        <v>105</v>
      </c>
      <c r="J219" s="3644">
        <f ca="1">典型户型修正!T241</f>
        <v>140</v>
      </c>
    </row>
    <row r="220" spans="1:10" s="3633" customFormat="1">
      <c r="A220" s="3629">
        <v>216</v>
      </c>
      <c r="B220" s="3629" t="s">
        <v>8513</v>
      </c>
      <c r="C220" s="3629">
        <v>30</v>
      </c>
      <c r="D220" s="3629" t="s">
        <v>8072</v>
      </c>
      <c r="E220" s="3629" t="s">
        <v>8073</v>
      </c>
      <c r="F220" s="3629" t="s">
        <v>8514</v>
      </c>
      <c r="G220" s="3643">
        <v>87.98</v>
      </c>
      <c r="H220" s="3649">
        <v>11950</v>
      </c>
      <c r="I220" s="3649">
        <f t="shared" si="3"/>
        <v>105</v>
      </c>
      <c r="J220" s="3644">
        <f ca="1">典型户型修正!T242</f>
        <v>140</v>
      </c>
    </row>
    <row r="221" spans="1:10" s="3633" customFormat="1">
      <c r="A221" s="3629">
        <v>217</v>
      </c>
      <c r="B221" s="3629" t="s">
        <v>8515</v>
      </c>
      <c r="C221" s="3629">
        <v>30</v>
      </c>
      <c r="D221" s="3629" t="s">
        <v>8072</v>
      </c>
      <c r="E221" s="3629" t="s">
        <v>8073</v>
      </c>
      <c r="F221" s="3629" t="s">
        <v>8516</v>
      </c>
      <c r="G221" s="3643">
        <v>87.98</v>
      </c>
      <c r="H221" s="3649">
        <v>12000</v>
      </c>
      <c r="I221" s="3649">
        <f t="shared" si="3"/>
        <v>106</v>
      </c>
      <c r="J221" s="3644">
        <f ca="1">典型户型修正!T243</f>
        <v>140</v>
      </c>
    </row>
    <row r="222" spans="1:10" s="3633" customFormat="1">
      <c r="A222" s="3629">
        <v>218</v>
      </c>
      <c r="B222" s="3629" t="s">
        <v>8517</v>
      </c>
      <c r="C222" s="3629">
        <v>30</v>
      </c>
      <c r="D222" s="3629" t="s">
        <v>8072</v>
      </c>
      <c r="E222" s="3629" t="s">
        <v>8073</v>
      </c>
      <c r="F222" s="3629" t="s">
        <v>8518</v>
      </c>
      <c r="G222" s="3643">
        <v>87.98</v>
      </c>
      <c r="H222" s="3649">
        <v>12050</v>
      </c>
      <c r="I222" s="3649">
        <f t="shared" si="3"/>
        <v>106</v>
      </c>
      <c r="J222" s="3644">
        <f ca="1">典型户型修正!T244</f>
        <v>146</v>
      </c>
    </row>
    <row r="223" spans="1:10" s="3633" customFormat="1">
      <c r="A223" s="3629">
        <v>219</v>
      </c>
      <c r="B223" s="3629" t="s">
        <v>8519</v>
      </c>
      <c r="C223" s="3629">
        <v>30</v>
      </c>
      <c r="D223" s="3629" t="s">
        <v>8072</v>
      </c>
      <c r="E223" s="3629" t="s">
        <v>8073</v>
      </c>
      <c r="F223" s="3629" t="s">
        <v>8520</v>
      </c>
      <c r="G223" s="3643">
        <v>87.98</v>
      </c>
      <c r="H223" s="3649">
        <v>12100</v>
      </c>
      <c r="I223" s="3649">
        <f t="shared" si="3"/>
        <v>106</v>
      </c>
      <c r="J223" s="3644">
        <f ca="1">典型户型修正!T245</f>
        <v>146</v>
      </c>
    </row>
    <row r="224" spans="1:10" s="3633" customFormat="1">
      <c r="A224" s="3629">
        <v>220</v>
      </c>
      <c r="B224" s="3629" t="s">
        <v>8521</v>
      </c>
      <c r="C224" s="3629">
        <v>30</v>
      </c>
      <c r="D224" s="3629" t="s">
        <v>8072</v>
      </c>
      <c r="E224" s="3629" t="s">
        <v>8073</v>
      </c>
      <c r="F224" s="3629" t="s">
        <v>8522</v>
      </c>
      <c r="G224" s="3643">
        <v>87.98</v>
      </c>
      <c r="H224" s="3649">
        <v>12100</v>
      </c>
      <c r="I224" s="3649">
        <f t="shared" si="3"/>
        <v>106</v>
      </c>
      <c r="J224" s="3644">
        <f ca="1">典型户型修正!T246</f>
        <v>146</v>
      </c>
    </row>
    <row r="225" spans="1:10" s="3633" customFormat="1">
      <c r="A225" s="3629">
        <v>221</v>
      </c>
      <c r="B225" s="3629" t="s">
        <v>8523</v>
      </c>
      <c r="C225" s="3629">
        <v>30</v>
      </c>
      <c r="D225" s="3629" t="s">
        <v>8072</v>
      </c>
      <c r="E225" s="3629" t="s">
        <v>8073</v>
      </c>
      <c r="F225" s="3629" t="s">
        <v>8524</v>
      </c>
      <c r="G225" s="3643">
        <v>87.98</v>
      </c>
      <c r="H225" s="3649">
        <v>12100</v>
      </c>
      <c r="I225" s="3649">
        <f t="shared" si="3"/>
        <v>106</v>
      </c>
      <c r="J225" s="3644">
        <f ca="1">典型户型修正!T247</f>
        <v>146</v>
      </c>
    </row>
    <row r="226" spans="1:10" s="3633" customFormat="1">
      <c r="A226" s="3629">
        <v>222</v>
      </c>
      <c r="B226" s="3629" t="s">
        <v>8525</v>
      </c>
      <c r="C226" s="3629">
        <v>30</v>
      </c>
      <c r="D226" s="3629" t="s">
        <v>8072</v>
      </c>
      <c r="E226" s="3629" t="s">
        <v>8073</v>
      </c>
      <c r="F226" s="3629" t="s">
        <v>8526</v>
      </c>
      <c r="G226" s="3643">
        <v>87.98</v>
      </c>
      <c r="H226" s="3649">
        <v>12130</v>
      </c>
      <c r="I226" s="3649">
        <f t="shared" si="3"/>
        <v>107</v>
      </c>
      <c r="J226" s="3644">
        <f ca="1">典型户型修正!T248</f>
        <v>146</v>
      </c>
    </row>
    <row r="227" spans="1:10" s="3633" customFormat="1">
      <c r="A227" s="3629">
        <v>223</v>
      </c>
      <c r="B227" s="3629" t="s">
        <v>8527</v>
      </c>
      <c r="C227" s="3629">
        <v>30</v>
      </c>
      <c r="D227" s="3629" t="s">
        <v>8072</v>
      </c>
      <c r="E227" s="3629" t="s">
        <v>8073</v>
      </c>
      <c r="F227" s="3629" t="s">
        <v>8528</v>
      </c>
      <c r="G227" s="3643">
        <v>87.98</v>
      </c>
      <c r="H227" s="3649">
        <v>12130</v>
      </c>
      <c r="I227" s="3649">
        <f t="shared" si="3"/>
        <v>107</v>
      </c>
      <c r="J227" s="3644">
        <f ca="1">典型户型修正!T249</f>
        <v>146</v>
      </c>
    </row>
    <row r="228" spans="1:10" s="3633" customFormat="1">
      <c r="A228" s="3629">
        <v>224</v>
      </c>
      <c r="B228" s="3629" t="s">
        <v>8529</v>
      </c>
      <c r="C228" s="3629">
        <v>30</v>
      </c>
      <c r="D228" s="3629" t="s">
        <v>8072</v>
      </c>
      <c r="E228" s="3629" t="s">
        <v>8073</v>
      </c>
      <c r="F228" s="3629" t="s">
        <v>8530</v>
      </c>
      <c r="G228" s="3643">
        <v>87.98</v>
      </c>
      <c r="H228" s="3649">
        <v>12160</v>
      </c>
      <c r="I228" s="3649">
        <f t="shared" si="3"/>
        <v>107</v>
      </c>
      <c r="J228" s="3644">
        <f ca="1">典型户型修正!T250</f>
        <v>146</v>
      </c>
    </row>
    <row r="229" spans="1:10" s="3633" customFormat="1">
      <c r="A229" s="3629">
        <v>225</v>
      </c>
      <c r="B229" s="3629" t="s">
        <v>8531</v>
      </c>
      <c r="C229" s="3629">
        <v>30</v>
      </c>
      <c r="D229" s="3629" t="s">
        <v>8072</v>
      </c>
      <c r="E229" s="3629" t="s">
        <v>8073</v>
      </c>
      <c r="F229" s="3629" t="s">
        <v>8532</v>
      </c>
      <c r="G229" s="3643">
        <v>87.98</v>
      </c>
      <c r="H229" s="3649">
        <v>12160</v>
      </c>
      <c r="I229" s="3649">
        <f t="shared" si="3"/>
        <v>107</v>
      </c>
      <c r="J229" s="3644">
        <f ca="1">典型户型修正!T251</f>
        <v>146</v>
      </c>
    </row>
    <row r="230" spans="1:10" s="3633" customFormat="1">
      <c r="A230" s="3629">
        <v>226</v>
      </c>
      <c r="B230" s="3629" t="s">
        <v>8533</v>
      </c>
      <c r="C230" s="3629">
        <v>30</v>
      </c>
      <c r="D230" s="3629" t="s">
        <v>8072</v>
      </c>
      <c r="E230" s="3629" t="s">
        <v>8073</v>
      </c>
      <c r="F230" s="3629" t="s">
        <v>8534</v>
      </c>
      <c r="G230" s="3643">
        <v>87.98</v>
      </c>
      <c r="H230" s="3649">
        <v>12160</v>
      </c>
      <c r="I230" s="3649">
        <f t="shared" si="3"/>
        <v>107</v>
      </c>
      <c r="J230" s="3644">
        <f ca="1">典型户型修正!T252</f>
        <v>146</v>
      </c>
    </row>
    <row r="231" spans="1:10" s="3633" customFormat="1">
      <c r="A231" s="3629">
        <v>227</v>
      </c>
      <c r="B231" s="3629" t="s">
        <v>8535</v>
      </c>
      <c r="C231" s="3629">
        <v>30</v>
      </c>
      <c r="D231" s="3629" t="s">
        <v>8072</v>
      </c>
      <c r="E231" s="3629" t="s">
        <v>8073</v>
      </c>
      <c r="F231" s="3629" t="s">
        <v>8536</v>
      </c>
      <c r="G231" s="3643">
        <v>87.98</v>
      </c>
      <c r="H231" s="3649">
        <v>12160</v>
      </c>
      <c r="I231" s="3649">
        <f t="shared" si="3"/>
        <v>107</v>
      </c>
      <c r="J231" s="3644">
        <f ca="1">典型户型修正!T253</f>
        <v>146</v>
      </c>
    </row>
    <row r="232" spans="1:10" s="3633" customFormat="1">
      <c r="A232" s="3629">
        <v>228</v>
      </c>
      <c r="B232" s="3629" t="s">
        <v>8537</v>
      </c>
      <c r="C232" s="3629">
        <v>30</v>
      </c>
      <c r="D232" s="3629" t="s">
        <v>8072</v>
      </c>
      <c r="E232" s="3629" t="s">
        <v>8073</v>
      </c>
      <c r="F232" s="3629" t="s">
        <v>8538</v>
      </c>
      <c r="G232" s="3643">
        <v>87.98</v>
      </c>
      <c r="H232" s="3649">
        <v>12190</v>
      </c>
      <c r="I232" s="3649">
        <f t="shared" si="3"/>
        <v>107</v>
      </c>
      <c r="J232" s="3644">
        <f ca="1">典型户型修正!T254</f>
        <v>143</v>
      </c>
    </row>
    <row r="233" spans="1:10" s="3633" customFormat="1">
      <c r="A233" s="3629">
        <v>229</v>
      </c>
      <c r="B233" s="3629" t="s">
        <v>8539</v>
      </c>
      <c r="C233" s="3629">
        <v>30</v>
      </c>
      <c r="D233" s="3629" t="s">
        <v>8072</v>
      </c>
      <c r="E233" s="3629" t="s">
        <v>8073</v>
      </c>
      <c r="F233" s="3629" t="s">
        <v>8540</v>
      </c>
      <c r="G233" s="3643">
        <v>87.98</v>
      </c>
      <c r="H233" s="3649">
        <v>12190</v>
      </c>
      <c r="I233" s="3649">
        <f t="shared" si="3"/>
        <v>107</v>
      </c>
      <c r="J233" s="3644">
        <f ca="1">典型户型修正!T255</f>
        <v>143</v>
      </c>
    </row>
    <row r="234" spans="1:10" s="3633" customFormat="1">
      <c r="A234" s="3629">
        <v>230</v>
      </c>
      <c r="B234" s="3629" t="s">
        <v>8541</v>
      </c>
      <c r="C234" s="3629">
        <v>30</v>
      </c>
      <c r="D234" s="3629" t="s">
        <v>8072</v>
      </c>
      <c r="E234" s="3629" t="s">
        <v>8073</v>
      </c>
      <c r="F234" s="3629" t="s">
        <v>8542</v>
      </c>
      <c r="G234" s="3643">
        <v>87.98</v>
      </c>
      <c r="H234" s="3649">
        <v>12190</v>
      </c>
      <c r="I234" s="3649">
        <f t="shared" si="3"/>
        <v>107</v>
      </c>
      <c r="J234" s="3644">
        <f ca="1">典型户型修正!T256</f>
        <v>143</v>
      </c>
    </row>
    <row r="235" spans="1:10" s="3633" customFormat="1">
      <c r="A235" s="3629">
        <v>231</v>
      </c>
      <c r="B235" s="3629" t="s">
        <v>8543</v>
      </c>
      <c r="C235" s="3629">
        <v>30</v>
      </c>
      <c r="D235" s="3629" t="s">
        <v>8072</v>
      </c>
      <c r="E235" s="3629" t="s">
        <v>8073</v>
      </c>
      <c r="F235" s="3629" t="s">
        <v>8544</v>
      </c>
      <c r="G235" s="3643">
        <v>87.98</v>
      </c>
      <c r="H235" s="3649">
        <v>12190</v>
      </c>
      <c r="I235" s="3649">
        <f t="shared" si="3"/>
        <v>107</v>
      </c>
      <c r="J235" s="3644">
        <f ca="1">典型户型修正!T257</f>
        <v>143</v>
      </c>
    </row>
    <row r="236" spans="1:10" s="3633" customFormat="1">
      <c r="A236" s="3629">
        <v>232</v>
      </c>
      <c r="B236" s="3629" t="s">
        <v>8545</v>
      </c>
      <c r="C236" s="3629">
        <v>30</v>
      </c>
      <c r="D236" s="3629" t="s">
        <v>8072</v>
      </c>
      <c r="E236" s="3629" t="s">
        <v>8073</v>
      </c>
      <c r="F236" s="3629" t="s">
        <v>8546</v>
      </c>
      <c r="G236" s="3643">
        <v>87.98</v>
      </c>
      <c r="H236" s="3649">
        <v>12190</v>
      </c>
      <c r="I236" s="3649">
        <f t="shared" si="3"/>
        <v>107</v>
      </c>
      <c r="J236" s="3644">
        <f ca="1">典型户型修正!T258</f>
        <v>143</v>
      </c>
    </row>
    <row r="237" spans="1:10" s="3633" customFormat="1">
      <c r="A237" s="3629">
        <v>233</v>
      </c>
      <c r="B237" s="3629" t="s">
        <v>8547</v>
      </c>
      <c r="C237" s="3629">
        <v>30</v>
      </c>
      <c r="D237" s="3629" t="s">
        <v>8072</v>
      </c>
      <c r="E237" s="3629" t="s">
        <v>8073</v>
      </c>
      <c r="F237" s="3629" t="s">
        <v>8548</v>
      </c>
      <c r="G237" s="3643">
        <v>87.98</v>
      </c>
      <c r="H237" s="3649">
        <v>12190</v>
      </c>
      <c r="I237" s="3649">
        <f t="shared" si="3"/>
        <v>107</v>
      </c>
      <c r="J237" s="3644">
        <f ca="1">典型户型修正!T259</f>
        <v>143</v>
      </c>
    </row>
    <row r="238" spans="1:10" s="3633" customFormat="1">
      <c r="A238" s="3629">
        <v>234</v>
      </c>
      <c r="B238" s="3629" t="s">
        <v>8549</v>
      </c>
      <c r="C238" s="3629">
        <v>30</v>
      </c>
      <c r="D238" s="3629" t="s">
        <v>8072</v>
      </c>
      <c r="E238" s="3629" t="s">
        <v>8073</v>
      </c>
      <c r="F238" s="3629" t="s">
        <v>8550</v>
      </c>
      <c r="G238" s="3643">
        <v>87.98</v>
      </c>
      <c r="H238" s="3649">
        <v>12190</v>
      </c>
      <c r="I238" s="3649">
        <f t="shared" si="3"/>
        <v>107</v>
      </c>
      <c r="J238" s="3644">
        <f ca="1">典型户型修正!T260</f>
        <v>143</v>
      </c>
    </row>
    <row r="239" spans="1:10" s="3633" customFormat="1">
      <c r="A239" s="3629">
        <v>235</v>
      </c>
      <c r="B239" s="3629" t="s">
        <v>8551</v>
      </c>
      <c r="C239" s="3629">
        <v>30</v>
      </c>
      <c r="D239" s="3629" t="s">
        <v>8072</v>
      </c>
      <c r="E239" s="3629" t="s">
        <v>8073</v>
      </c>
      <c r="F239" s="3629" t="s">
        <v>8552</v>
      </c>
      <c r="G239" s="3643">
        <v>87.98</v>
      </c>
      <c r="H239" s="3649">
        <v>12190</v>
      </c>
      <c r="I239" s="3649">
        <f t="shared" si="3"/>
        <v>107</v>
      </c>
      <c r="J239" s="3644">
        <f ca="1">典型户型修正!T261</f>
        <v>143</v>
      </c>
    </row>
    <row r="240" spans="1:10" s="3633" customFormat="1">
      <c r="A240" s="3629">
        <v>236</v>
      </c>
      <c r="B240" s="3629" t="s">
        <v>8553</v>
      </c>
      <c r="C240" s="3629">
        <v>30</v>
      </c>
      <c r="D240" s="3629" t="s">
        <v>8072</v>
      </c>
      <c r="E240" s="3629" t="s">
        <v>8073</v>
      </c>
      <c r="F240" s="3629" t="s">
        <v>8554</v>
      </c>
      <c r="G240" s="3643">
        <v>87.98</v>
      </c>
      <c r="H240" s="3649">
        <v>12190</v>
      </c>
      <c r="I240" s="3649">
        <f t="shared" si="3"/>
        <v>107</v>
      </c>
      <c r="J240" s="3644">
        <f ca="1">典型户型修正!T262</f>
        <v>143</v>
      </c>
    </row>
    <row r="241" spans="1:10" s="3633" customFormat="1">
      <c r="A241" s="3629">
        <v>237</v>
      </c>
      <c r="B241" s="3629" t="s">
        <v>8555</v>
      </c>
      <c r="C241" s="3629">
        <v>30</v>
      </c>
      <c r="D241" s="3629" t="s">
        <v>8072</v>
      </c>
      <c r="E241" s="3629" t="s">
        <v>8073</v>
      </c>
      <c r="F241" s="3629" t="s">
        <v>8556</v>
      </c>
      <c r="G241" s="3643">
        <v>87.98</v>
      </c>
      <c r="H241" s="3649">
        <v>11190</v>
      </c>
      <c r="I241" s="3649">
        <f t="shared" si="3"/>
        <v>98</v>
      </c>
      <c r="J241" s="3644">
        <f ca="1">典型户型修正!T263</f>
        <v>143</v>
      </c>
    </row>
    <row r="242" spans="1:10" s="3633" customFormat="1">
      <c r="A242" s="3629">
        <v>238</v>
      </c>
      <c r="B242" s="3629" t="s">
        <v>8557</v>
      </c>
      <c r="C242" s="3629">
        <v>30</v>
      </c>
      <c r="D242" s="3629" t="s">
        <v>8072</v>
      </c>
      <c r="E242" s="3629" t="s">
        <v>8073</v>
      </c>
      <c r="F242" s="3629" t="s">
        <v>8558</v>
      </c>
      <c r="G242" s="3643">
        <v>88</v>
      </c>
      <c r="H242" s="3649">
        <v>10750</v>
      </c>
      <c r="I242" s="3649">
        <f t="shared" si="3"/>
        <v>95</v>
      </c>
      <c r="J242" s="3644">
        <f ca="1">典型户型修正!T264</f>
        <v>140</v>
      </c>
    </row>
    <row r="243" spans="1:10" s="3633" customFormat="1">
      <c r="A243" s="3629">
        <v>239</v>
      </c>
      <c r="B243" s="3629" t="s">
        <v>8559</v>
      </c>
      <c r="C243" s="3629">
        <v>30</v>
      </c>
      <c r="D243" s="3629" t="s">
        <v>8072</v>
      </c>
      <c r="E243" s="3629" t="s">
        <v>8073</v>
      </c>
      <c r="F243" s="3629" t="s">
        <v>8560</v>
      </c>
      <c r="G243" s="3643">
        <v>88</v>
      </c>
      <c r="H243" s="3649">
        <v>10950</v>
      </c>
      <c r="I243" s="3649">
        <f t="shared" si="3"/>
        <v>96</v>
      </c>
      <c r="J243" s="3644">
        <f ca="1">典型户型修正!T265</f>
        <v>140</v>
      </c>
    </row>
    <row r="244" spans="1:10" s="3633" customFormat="1">
      <c r="A244" s="3629">
        <v>240</v>
      </c>
      <c r="B244" s="3629" t="s">
        <v>8561</v>
      </c>
      <c r="C244" s="3629">
        <v>30</v>
      </c>
      <c r="D244" s="3629" t="s">
        <v>8072</v>
      </c>
      <c r="E244" s="3629" t="s">
        <v>8073</v>
      </c>
      <c r="F244" s="3629" t="s">
        <v>8562</v>
      </c>
      <c r="G244" s="3643">
        <v>88</v>
      </c>
      <c r="H244" s="3649">
        <v>11400</v>
      </c>
      <c r="I244" s="3649">
        <f t="shared" si="3"/>
        <v>100</v>
      </c>
      <c r="J244" s="3644">
        <f ca="1">典型户型修正!T266</f>
        <v>140</v>
      </c>
    </row>
    <row r="245" spans="1:10" s="3633" customFormat="1">
      <c r="A245" s="3629">
        <v>241</v>
      </c>
      <c r="B245" s="3629" t="s">
        <v>8563</v>
      </c>
      <c r="C245" s="3629">
        <v>30</v>
      </c>
      <c r="D245" s="3629" t="s">
        <v>8072</v>
      </c>
      <c r="E245" s="3629" t="s">
        <v>8073</v>
      </c>
      <c r="F245" s="3629" t="s">
        <v>8564</v>
      </c>
      <c r="G245" s="3643">
        <v>88</v>
      </c>
      <c r="H245" s="3649">
        <v>11750</v>
      </c>
      <c r="I245" s="3649">
        <f t="shared" si="3"/>
        <v>103</v>
      </c>
      <c r="J245" s="3644">
        <f ca="1">典型户型修正!T267</f>
        <v>140</v>
      </c>
    </row>
    <row r="246" spans="1:10" s="3633" customFormat="1">
      <c r="A246" s="3629">
        <v>242</v>
      </c>
      <c r="B246" s="3629" t="s">
        <v>8565</v>
      </c>
      <c r="C246" s="3629">
        <v>30</v>
      </c>
      <c r="D246" s="3629" t="s">
        <v>8072</v>
      </c>
      <c r="E246" s="3629" t="s">
        <v>8073</v>
      </c>
      <c r="F246" s="3629" t="s">
        <v>8566</v>
      </c>
      <c r="G246" s="3643">
        <v>88</v>
      </c>
      <c r="H246" s="3649">
        <v>11800</v>
      </c>
      <c r="I246" s="3649">
        <f t="shared" si="3"/>
        <v>104</v>
      </c>
      <c r="J246" s="3644">
        <f ca="1">典型户型修正!T268</f>
        <v>140</v>
      </c>
    </row>
    <row r="247" spans="1:10" s="3633" customFormat="1">
      <c r="A247" s="3629">
        <v>243</v>
      </c>
      <c r="B247" s="3629" t="s">
        <v>8567</v>
      </c>
      <c r="C247" s="3629">
        <v>30</v>
      </c>
      <c r="D247" s="3629" t="s">
        <v>8072</v>
      </c>
      <c r="E247" s="3629" t="s">
        <v>8073</v>
      </c>
      <c r="F247" s="3629" t="s">
        <v>8568</v>
      </c>
      <c r="G247" s="3643">
        <v>88</v>
      </c>
      <c r="H247" s="3649">
        <v>11850</v>
      </c>
      <c r="I247" s="3649">
        <f t="shared" si="3"/>
        <v>104</v>
      </c>
      <c r="J247" s="3644">
        <f ca="1">典型户型修正!T269</f>
        <v>140</v>
      </c>
    </row>
    <row r="248" spans="1:10" s="3633" customFormat="1">
      <c r="A248" s="3629">
        <v>244</v>
      </c>
      <c r="B248" s="3629" t="s">
        <v>8569</v>
      </c>
      <c r="C248" s="3629">
        <v>30</v>
      </c>
      <c r="D248" s="3629" t="s">
        <v>8072</v>
      </c>
      <c r="E248" s="3629" t="s">
        <v>8073</v>
      </c>
      <c r="F248" s="3629" t="s">
        <v>8570</v>
      </c>
      <c r="G248" s="3643">
        <v>88</v>
      </c>
      <c r="H248" s="3649">
        <v>11900</v>
      </c>
      <c r="I248" s="3649">
        <f t="shared" si="3"/>
        <v>105</v>
      </c>
      <c r="J248" s="3644">
        <f ca="1">典型户型修正!T270</f>
        <v>140</v>
      </c>
    </row>
    <row r="249" spans="1:10" s="3633" customFormat="1">
      <c r="A249" s="3629">
        <v>245</v>
      </c>
      <c r="B249" s="3629" t="s">
        <v>8571</v>
      </c>
      <c r="C249" s="3629">
        <v>30</v>
      </c>
      <c r="D249" s="3629" t="s">
        <v>8072</v>
      </c>
      <c r="E249" s="3629" t="s">
        <v>8073</v>
      </c>
      <c r="F249" s="3629" t="s">
        <v>8572</v>
      </c>
      <c r="G249" s="3643">
        <v>88</v>
      </c>
      <c r="H249" s="3649">
        <v>11950</v>
      </c>
      <c r="I249" s="3649">
        <f t="shared" si="3"/>
        <v>105</v>
      </c>
      <c r="J249" s="3644">
        <f ca="1">典型户型修正!T271</f>
        <v>140</v>
      </c>
    </row>
    <row r="250" spans="1:10" s="3633" customFormat="1">
      <c r="A250" s="3629">
        <v>246</v>
      </c>
      <c r="B250" s="3629" t="s">
        <v>8573</v>
      </c>
      <c r="C250" s="3629">
        <v>30</v>
      </c>
      <c r="D250" s="3629" t="s">
        <v>8072</v>
      </c>
      <c r="E250" s="3629" t="s">
        <v>8073</v>
      </c>
      <c r="F250" s="3629" t="s">
        <v>8574</v>
      </c>
      <c r="G250" s="3643">
        <v>88</v>
      </c>
      <c r="H250" s="3649">
        <v>12350</v>
      </c>
      <c r="I250" s="3649">
        <f t="shared" si="3"/>
        <v>109</v>
      </c>
      <c r="J250" s="3644">
        <f ca="1">典型户型修正!T272</f>
        <v>140</v>
      </c>
    </row>
    <row r="251" spans="1:10" s="3633" customFormat="1">
      <c r="A251" s="3629">
        <v>247</v>
      </c>
      <c r="B251" s="3629" t="s">
        <v>8575</v>
      </c>
      <c r="C251" s="3629">
        <v>30</v>
      </c>
      <c r="D251" s="3629" t="s">
        <v>8072</v>
      </c>
      <c r="E251" s="3629" t="s">
        <v>8073</v>
      </c>
      <c r="F251" s="3629" t="s">
        <v>8576</v>
      </c>
      <c r="G251" s="3643">
        <v>88</v>
      </c>
      <c r="H251" s="3649">
        <v>12400</v>
      </c>
      <c r="I251" s="3649">
        <f t="shared" si="3"/>
        <v>109</v>
      </c>
      <c r="J251" s="3644">
        <f ca="1">典型户型修正!T273</f>
        <v>146</v>
      </c>
    </row>
    <row r="252" spans="1:10" s="3633" customFormat="1">
      <c r="A252" s="3629">
        <v>248</v>
      </c>
      <c r="B252" s="3629" t="s">
        <v>8577</v>
      </c>
      <c r="C252" s="3629">
        <v>30</v>
      </c>
      <c r="D252" s="3629" t="s">
        <v>8072</v>
      </c>
      <c r="E252" s="3629" t="s">
        <v>8073</v>
      </c>
      <c r="F252" s="3629" t="s">
        <v>8578</v>
      </c>
      <c r="G252" s="3643">
        <v>88</v>
      </c>
      <c r="H252" s="3649">
        <v>12450</v>
      </c>
      <c r="I252" s="3649">
        <f t="shared" si="3"/>
        <v>110</v>
      </c>
      <c r="J252" s="3644">
        <f ca="1">典型户型修正!T274</f>
        <v>146</v>
      </c>
    </row>
    <row r="253" spans="1:10" s="3633" customFormat="1">
      <c r="A253" s="3629">
        <v>249</v>
      </c>
      <c r="B253" s="3629" t="s">
        <v>8579</v>
      </c>
      <c r="C253" s="3629">
        <v>30</v>
      </c>
      <c r="D253" s="3629" t="s">
        <v>8072</v>
      </c>
      <c r="E253" s="3629" t="s">
        <v>8073</v>
      </c>
      <c r="F253" s="3629" t="s">
        <v>8580</v>
      </c>
      <c r="G253" s="3643">
        <v>88</v>
      </c>
      <c r="H253" s="3649">
        <v>12450</v>
      </c>
      <c r="I253" s="3649">
        <f t="shared" si="3"/>
        <v>110</v>
      </c>
      <c r="J253" s="3644">
        <f ca="1">典型户型修正!T275</f>
        <v>146</v>
      </c>
    </row>
    <row r="254" spans="1:10" s="3633" customFormat="1">
      <c r="A254" s="3629">
        <v>250</v>
      </c>
      <c r="B254" s="3629" t="s">
        <v>8581</v>
      </c>
      <c r="C254" s="3629">
        <v>30</v>
      </c>
      <c r="D254" s="3629" t="s">
        <v>8072</v>
      </c>
      <c r="E254" s="3629" t="s">
        <v>8073</v>
      </c>
      <c r="F254" s="3629" t="s">
        <v>8582</v>
      </c>
      <c r="G254" s="3643">
        <v>88</v>
      </c>
      <c r="H254" s="3649">
        <v>12450</v>
      </c>
      <c r="I254" s="3649">
        <f t="shared" si="3"/>
        <v>110</v>
      </c>
      <c r="J254" s="3644">
        <f ca="1">典型户型修正!T276</f>
        <v>146</v>
      </c>
    </row>
    <row r="255" spans="1:10" s="3633" customFormat="1">
      <c r="A255" s="3629">
        <v>251</v>
      </c>
      <c r="B255" s="3629" t="s">
        <v>8583</v>
      </c>
      <c r="C255" s="3629">
        <v>30</v>
      </c>
      <c r="D255" s="3629" t="s">
        <v>8072</v>
      </c>
      <c r="E255" s="3629" t="s">
        <v>8073</v>
      </c>
      <c r="F255" s="3629" t="s">
        <v>8584</v>
      </c>
      <c r="G255" s="3643">
        <v>88</v>
      </c>
      <c r="H255" s="3649">
        <v>12480</v>
      </c>
      <c r="I255" s="3649">
        <f t="shared" si="3"/>
        <v>110</v>
      </c>
      <c r="J255" s="3644">
        <f ca="1">典型户型修正!T277</f>
        <v>146</v>
      </c>
    </row>
    <row r="256" spans="1:10" s="3633" customFormat="1">
      <c r="A256" s="3629">
        <v>252</v>
      </c>
      <c r="B256" s="3629" t="s">
        <v>8585</v>
      </c>
      <c r="C256" s="3629">
        <v>30</v>
      </c>
      <c r="D256" s="3629" t="s">
        <v>8072</v>
      </c>
      <c r="E256" s="3629" t="s">
        <v>8073</v>
      </c>
      <c r="F256" s="3629" t="s">
        <v>8586</v>
      </c>
      <c r="G256" s="3643">
        <v>88</v>
      </c>
      <c r="H256" s="3649">
        <v>12480</v>
      </c>
      <c r="I256" s="3649">
        <f t="shared" si="3"/>
        <v>110</v>
      </c>
      <c r="J256" s="3644">
        <f ca="1">典型户型修正!T278</f>
        <v>146</v>
      </c>
    </row>
    <row r="257" spans="1:10" s="3633" customFormat="1">
      <c r="A257" s="3629">
        <v>253</v>
      </c>
      <c r="B257" s="3629" t="s">
        <v>8587</v>
      </c>
      <c r="C257" s="3629">
        <v>30</v>
      </c>
      <c r="D257" s="3629" t="s">
        <v>8072</v>
      </c>
      <c r="E257" s="3629" t="s">
        <v>8073</v>
      </c>
      <c r="F257" s="3629" t="s">
        <v>8588</v>
      </c>
      <c r="G257" s="3643">
        <v>88</v>
      </c>
      <c r="H257" s="3649">
        <v>12510</v>
      </c>
      <c r="I257" s="3649">
        <f t="shared" si="3"/>
        <v>110</v>
      </c>
      <c r="J257" s="3644">
        <f ca="1">典型户型修正!T279</f>
        <v>146</v>
      </c>
    </row>
    <row r="258" spans="1:10" s="3633" customFormat="1">
      <c r="A258" s="3629">
        <v>254</v>
      </c>
      <c r="B258" s="3629" t="s">
        <v>8589</v>
      </c>
      <c r="C258" s="3629">
        <v>30</v>
      </c>
      <c r="D258" s="3629" t="s">
        <v>8072</v>
      </c>
      <c r="E258" s="3629" t="s">
        <v>8073</v>
      </c>
      <c r="F258" s="3629" t="s">
        <v>8590</v>
      </c>
      <c r="G258" s="3643">
        <v>88</v>
      </c>
      <c r="H258" s="3649">
        <v>12510</v>
      </c>
      <c r="I258" s="3649">
        <f t="shared" si="3"/>
        <v>110</v>
      </c>
      <c r="J258" s="3644">
        <f ca="1">典型户型修正!T280</f>
        <v>146</v>
      </c>
    </row>
    <row r="259" spans="1:10" s="3633" customFormat="1">
      <c r="A259" s="3629">
        <v>255</v>
      </c>
      <c r="B259" s="3629" t="s">
        <v>8591</v>
      </c>
      <c r="C259" s="3629">
        <v>30</v>
      </c>
      <c r="D259" s="3629" t="s">
        <v>8072</v>
      </c>
      <c r="E259" s="3629" t="s">
        <v>8073</v>
      </c>
      <c r="F259" s="3629" t="s">
        <v>8592</v>
      </c>
      <c r="G259" s="3643">
        <v>88</v>
      </c>
      <c r="H259" s="3649">
        <v>12160</v>
      </c>
      <c r="I259" s="3649">
        <f t="shared" si="3"/>
        <v>107</v>
      </c>
      <c r="J259" s="3644">
        <f ca="1">典型户型修正!T281</f>
        <v>146</v>
      </c>
    </row>
    <row r="260" spans="1:10" s="3633" customFormat="1">
      <c r="A260" s="3629">
        <v>256</v>
      </c>
      <c r="B260" s="3629" t="s">
        <v>8593</v>
      </c>
      <c r="C260" s="3629">
        <v>30</v>
      </c>
      <c r="D260" s="3629" t="s">
        <v>8072</v>
      </c>
      <c r="E260" s="3629" t="s">
        <v>8073</v>
      </c>
      <c r="F260" s="3629" t="s">
        <v>8594</v>
      </c>
      <c r="G260" s="3643">
        <v>88</v>
      </c>
      <c r="H260" s="3649">
        <v>12510</v>
      </c>
      <c r="I260" s="3649">
        <f t="shared" si="3"/>
        <v>110</v>
      </c>
      <c r="J260" s="3644">
        <f ca="1">典型户型修正!T282</f>
        <v>146</v>
      </c>
    </row>
    <row r="261" spans="1:10" s="3633" customFormat="1">
      <c r="A261" s="3629">
        <v>257</v>
      </c>
      <c r="B261" s="3629" t="s">
        <v>8595</v>
      </c>
      <c r="C261" s="3629">
        <v>30</v>
      </c>
      <c r="D261" s="3629" t="s">
        <v>8072</v>
      </c>
      <c r="E261" s="3629" t="s">
        <v>8073</v>
      </c>
      <c r="F261" s="3629" t="s">
        <v>8596</v>
      </c>
      <c r="G261" s="3643">
        <v>88</v>
      </c>
      <c r="H261" s="3649">
        <v>12450</v>
      </c>
      <c r="I261" s="3649">
        <f t="shared" si="3"/>
        <v>110</v>
      </c>
      <c r="J261" s="3644">
        <f ca="1">典型户型修正!T283</f>
        <v>143</v>
      </c>
    </row>
    <row r="262" spans="1:10" s="3633" customFormat="1">
      <c r="A262" s="3629">
        <v>258</v>
      </c>
      <c r="B262" s="3629" t="s">
        <v>8597</v>
      </c>
      <c r="C262" s="3629">
        <v>30</v>
      </c>
      <c r="D262" s="3629" t="s">
        <v>8072</v>
      </c>
      <c r="E262" s="3629" t="s">
        <v>8073</v>
      </c>
      <c r="F262" s="3629" t="s">
        <v>8598</v>
      </c>
      <c r="G262" s="3643">
        <v>88</v>
      </c>
      <c r="H262" s="3649">
        <v>12540</v>
      </c>
      <c r="I262" s="3649">
        <f t="shared" si="3"/>
        <v>110</v>
      </c>
      <c r="J262" s="3644">
        <f ca="1">典型户型修正!T284</f>
        <v>143</v>
      </c>
    </row>
    <row r="263" spans="1:10" s="3633" customFormat="1">
      <c r="A263" s="3629">
        <v>259</v>
      </c>
      <c r="B263" s="3629" t="s">
        <v>8599</v>
      </c>
      <c r="C263" s="3629">
        <v>30</v>
      </c>
      <c r="D263" s="3629" t="s">
        <v>8072</v>
      </c>
      <c r="E263" s="3629" t="s">
        <v>8073</v>
      </c>
      <c r="F263" s="3629" t="s">
        <v>8600</v>
      </c>
      <c r="G263" s="3643">
        <v>88</v>
      </c>
      <c r="H263" s="3649">
        <v>12540</v>
      </c>
      <c r="I263" s="3649">
        <f t="shared" ref="I263:I326" si="4">ROUND(G263*H263/10000,0)</f>
        <v>110</v>
      </c>
      <c r="J263" s="3644">
        <f ca="1">典型户型修正!T285</f>
        <v>143</v>
      </c>
    </row>
    <row r="264" spans="1:10" s="3633" customFormat="1">
      <c r="A264" s="3629">
        <v>260</v>
      </c>
      <c r="B264" s="3629" t="s">
        <v>8601</v>
      </c>
      <c r="C264" s="3629">
        <v>30</v>
      </c>
      <c r="D264" s="3629" t="s">
        <v>8072</v>
      </c>
      <c r="E264" s="3629" t="s">
        <v>8073</v>
      </c>
      <c r="F264" s="3629" t="s">
        <v>8602</v>
      </c>
      <c r="G264" s="3643">
        <v>88</v>
      </c>
      <c r="H264" s="3649">
        <v>12540</v>
      </c>
      <c r="I264" s="3649">
        <f t="shared" si="4"/>
        <v>110</v>
      </c>
      <c r="J264" s="3644">
        <f ca="1">典型户型修正!T286</f>
        <v>143</v>
      </c>
    </row>
    <row r="265" spans="1:10" s="3633" customFormat="1">
      <c r="A265" s="3629">
        <v>261</v>
      </c>
      <c r="B265" s="3629" t="s">
        <v>8603</v>
      </c>
      <c r="C265" s="3629">
        <v>30</v>
      </c>
      <c r="D265" s="3629" t="s">
        <v>8072</v>
      </c>
      <c r="E265" s="3629" t="s">
        <v>8073</v>
      </c>
      <c r="F265" s="3629" t="s">
        <v>8604</v>
      </c>
      <c r="G265" s="3643">
        <v>88</v>
      </c>
      <c r="H265" s="3649">
        <v>12540</v>
      </c>
      <c r="I265" s="3649">
        <f t="shared" si="4"/>
        <v>110</v>
      </c>
      <c r="J265" s="3644">
        <f ca="1">典型户型修正!T287</f>
        <v>143</v>
      </c>
    </row>
    <row r="266" spans="1:10" s="3633" customFormat="1">
      <c r="A266" s="3629">
        <v>262</v>
      </c>
      <c r="B266" s="3629" t="s">
        <v>8605</v>
      </c>
      <c r="C266" s="3629">
        <v>30</v>
      </c>
      <c r="D266" s="3629" t="s">
        <v>8072</v>
      </c>
      <c r="E266" s="3629" t="s">
        <v>8073</v>
      </c>
      <c r="F266" s="3629" t="s">
        <v>8606</v>
      </c>
      <c r="G266" s="3643">
        <v>88</v>
      </c>
      <c r="H266" s="3649">
        <v>12540</v>
      </c>
      <c r="I266" s="3649">
        <f t="shared" si="4"/>
        <v>110</v>
      </c>
      <c r="J266" s="3644">
        <f ca="1">典型户型修正!T288</f>
        <v>143</v>
      </c>
    </row>
    <row r="267" spans="1:10" s="3633" customFormat="1">
      <c r="A267" s="3629">
        <v>263</v>
      </c>
      <c r="B267" s="3629" t="s">
        <v>8607</v>
      </c>
      <c r="C267" s="3629">
        <v>30</v>
      </c>
      <c r="D267" s="3629" t="s">
        <v>8072</v>
      </c>
      <c r="E267" s="3629" t="s">
        <v>8073</v>
      </c>
      <c r="F267" s="3629" t="s">
        <v>8608</v>
      </c>
      <c r="G267" s="3643">
        <v>88</v>
      </c>
      <c r="H267" s="3649">
        <v>12540</v>
      </c>
      <c r="I267" s="3649">
        <f t="shared" si="4"/>
        <v>110</v>
      </c>
      <c r="J267" s="3644">
        <f ca="1">典型户型修正!T289</f>
        <v>143</v>
      </c>
    </row>
    <row r="268" spans="1:10" s="3633" customFormat="1">
      <c r="A268" s="3629">
        <v>264</v>
      </c>
      <c r="B268" s="3629" t="s">
        <v>8609</v>
      </c>
      <c r="C268" s="3629">
        <v>30</v>
      </c>
      <c r="D268" s="3629" t="s">
        <v>8072</v>
      </c>
      <c r="E268" s="3629" t="s">
        <v>8073</v>
      </c>
      <c r="F268" s="3629" t="s">
        <v>8610</v>
      </c>
      <c r="G268" s="3643">
        <v>88</v>
      </c>
      <c r="H268" s="3649">
        <v>12540</v>
      </c>
      <c r="I268" s="3649">
        <f t="shared" si="4"/>
        <v>110</v>
      </c>
      <c r="J268" s="3644">
        <f ca="1">典型户型修正!T290</f>
        <v>143</v>
      </c>
    </row>
    <row r="269" spans="1:10" s="3633" customFormat="1">
      <c r="A269" s="3629">
        <v>265</v>
      </c>
      <c r="B269" s="3629" t="s">
        <v>8611</v>
      </c>
      <c r="C269" s="3629">
        <v>30</v>
      </c>
      <c r="D269" s="3629" t="s">
        <v>8072</v>
      </c>
      <c r="E269" s="3629" t="s">
        <v>8073</v>
      </c>
      <c r="F269" s="3629" t="s">
        <v>8612</v>
      </c>
      <c r="G269" s="3643">
        <v>88</v>
      </c>
      <c r="H269" s="3649">
        <v>12540</v>
      </c>
      <c r="I269" s="3649">
        <f t="shared" si="4"/>
        <v>110</v>
      </c>
      <c r="J269" s="3644">
        <f ca="1">典型户型修正!T291</f>
        <v>143</v>
      </c>
    </row>
    <row r="270" spans="1:10" s="3633" customFormat="1">
      <c r="A270" s="3629">
        <v>266</v>
      </c>
      <c r="B270" s="3629" t="s">
        <v>8613</v>
      </c>
      <c r="C270" s="3629">
        <v>30</v>
      </c>
      <c r="D270" s="3629" t="s">
        <v>8072</v>
      </c>
      <c r="E270" s="3629" t="s">
        <v>8073</v>
      </c>
      <c r="F270" s="3629" t="s">
        <v>8614</v>
      </c>
      <c r="G270" s="3643">
        <v>88.11</v>
      </c>
      <c r="H270" s="3649">
        <v>11190</v>
      </c>
      <c r="I270" s="3649">
        <f t="shared" si="4"/>
        <v>99</v>
      </c>
      <c r="J270" s="3644">
        <f ca="1">典型户型修正!T292</f>
        <v>143</v>
      </c>
    </row>
    <row r="271" spans="1:10" s="3633" customFormat="1">
      <c r="A271" s="3629">
        <v>267</v>
      </c>
      <c r="B271" s="3629" t="s">
        <v>8615</v>
      </c>
      <c r="C271" s="3629">
        <v>30</v>
      </c>
      <c r="D271" s="3629" t="s">
        <v>8072</v>
      </c>
      <c r="E271" s="3629" t="s">
        <v>8073</v>
      </c>
      <c r="F271" s="3629" t="s">
        <v>8616</v>
      </c>
      <c r="G271" s="3643">
        <v>107.91</v>
      </c>
      <c r="H271" s="3649">
        <v>9750</v>
      </c>
      <c r="I271" s="3649">
        <f t="shared" si="4"/>
        <v>105</v>
      </c>
      <c r="J271" s="3644">
        <f ca="1">典型户型修正!T293</f>
        <v>174</v>
      </c>
    </row>
    <row r="272" spans="1:10" s="3633" customFormat="1">
      <c r="A272" s="3629">
        <v>268</v>
      </c>
      <c r="B272" s="3629" t="s">
        <v>8617</v>
      </c>
      <c r="C272" s="3629">
        <v>30</v>
      </c>
      <c r="D272" s="3629" t="s">
        <v>8072</v>
      </c>
      <c r="E272" s="3629" t="s">
        <v>8073</v>
      </c>
      <c r="F272" s="3629" t="s">
        <v>8618</v>
      </c>
      <c r="G272" s="3643">
        <v>107.91</v>
      </c>
      <c r="H272" s="3649">
        <v>9950</v>
      </c>
      <c r="I272" s="3649">
        <f t="shared" si="4"/>
        <v>107</v>
      </c>
      <c r="J272" s="3644">
        <f ca="1">典型户型修正!T294</f>
        <v>174</v>
      </c>
    </row>
    <row r="273" spans="1:10" s="3633" customFormat="1">
      <c r="A273" s="3629">
        <v>269</v>
      </c>
      <c r="B273" s="3629" t="s">
        <v>8619</v>
      </c>
      <c r="C273" s="3629">
        <v>30</v>
      </c>
      <c r="D273" s="3629" t="s">
        <v>8072</v>
      </c>
      <c r="E273" s="3629" t="s">
        <v>8073</v>
      </c>
      <c r="F273" s="3629" t="s">
        <v>8620</v>
      </c>
      <c r="G273" s="3643">
        <v>107.91</v>
      </c>
      <c r="H273" s="3649">
        <v>10400</v>
      </c>
      <c r="I273" s="3649">
        <f t="shared" si="4"/>
        <v>112</v>
      </c>
      <c r="J273" s="3644">
        <f ca="1">典型户型修正!T295</f>
        <v>174</v>
      </c>
    </row>
    <row r="274" spans="1:10" s="3633" customFormat="1">
      <c r="A274" s="3629">
        <v>270</v>
      </c>
      <c r="B274" s="3629" t="s">
        <v>8621</v>
      </c>
      <c r="C274" s="3629">
        <v>30</v>
      </c>
      <c r="D274" s="3629" t="s">
        <v>8072</v>
      </c>
      <c r="E274" s="3629" t="s">
        <v>8073</v>
      </c>
      <c r="F274" s="3629" t="s">
        <v>8622</v>
      </c>
      <c r="G274" s="3643">
        <v>107.91</v>
      </c>
      <c r="H274" s="3649">
        <v>10750</v>
      </c>
      <c r="I274" s="3649">
        <f t="shared" si="4"/>
        <v>116</v>
      </c>
      <c r="J274" s="3644">
        <f ca="1">典型户型修正!T296</f>
        <v>174</v>
      </c>
    </row>
    <row r="275" spans="1:10" s="3633" customFormat="1">
      <c r="A275" s="3629">
        <v>271</v>
      </c>
      <c r="B275" s="3629" t="s">
        <v>8623</v>
      </c>
      <c r="C275" s="3629">
        <v>30</v>
      </c>
      <c r="D275" s="3629" t="s">
        <v>8072</v>
      </c>
      <c r="E275" s="3629" t="s">
        <v>8073</v>
      </c>
      <c r="F275" s="3629" t="s">
        <v>8624</v>
      </c>
      <c r="G275" s="3643">
        <v>107.91</v>
      </c>
      <c r="H275" s="3649">
        <v>10800</v>
      </c>
      <c r="I275" s="3649">
        <f t="shared" si="4"/>
        <v>117</v>
      </c>
      <c r="J275" s="3644">
        <f ca="1">典型户型修正!T297</f>
        <v>174</v>
      </c>
    </row>
    <row r="276" spans="1:10" s="3633" customFormat="1">
      <c r="A276" s="3629">
        <v>272</v>
      </c>
      <c r="B276" s="3629" t="s">
        <v>8625</v>
      </c>
      <c r="C276" s="3629">
        <v>30</v>
      </c>
      <c r="D276" s="3629" t="s">
        <v>8072</v>
      </c>
      <c r="E276" s="3629" t="s">
        <v>8073</v>
      </c>
      <c r="F276" s="3629" t="s">
        <v>8626</v>
      </c>
      <c r="G276" s="3643">
        <v>107.91</v>
      </c>
      <c r="H276" s="3649">
        <v>10850</v>
      </c>
      <c r="I276" s="3649">
        <f t="shared" si="4"/>
        <v>117</v>
      </c>
      <c r="J276" s="3644">
        <f ca="1">典型户型修正!T298</f>
        <v>174</v>
      </c>
    </row>
    <row r="277" spans="1:10" s="3633" customFormat="1">
      <c r="A277" s="3629">
        <v>273</v>
      </c>
      <c r="B277" s="3629" t="s">
        <v>8627</v>
      </c>
      <c r="C277" s="3629">
        <v>30</v>
      </c>
      <c r="D277" s="3629" t="s">
        <v>8072</v>
      </c>
      <c r="E277" s="3629" t="s">
        <v>8073</v>
      </c>
      <c r="F277" s="3629" t="s">
        <v>8628</v>
      </c>
      <c r="G277" s="3643">
        <v>107.91</v>
      </c>
      <c r="H277" s="3649">
        <v>10900</v>
      </c>
      <c r="I277" s="3649">
        <f t="shared" si="4"/>
        <v>118</v>
      </c>
      <c r="J277" s="3644">
        <f ca="1">典型户型修正!T299</f>
        <v>174</v>
      </c>
    </row>
    <row r="278" spans="1:10" s="3633" customFormat="1">
      <c r="A278" s="3629">
        <v>274</v>
      </c>
      <c r="B278" s="3629" t="s">
        <v>8629</v>
      </c>
      <c r="C278" s="3629">
        <v>30</v>
      </c>
      <c r="D278" s="3629" t="s">
        <v>8072</v>
      </c>
      <c r="E278" s="3629" t="s">
        <v>8073</v>
      </c>
      <c r="F278" s="3629" t="s">
        <v>8630</v>
      </c>
      <c r="G278" s="3643">
        <v>107.91</v>
      </c>
      <c r="H278" s="3649">
        <v>10950</v>
      </c>
      <c r="I278" s="3649">
        <f t="shared" si="4"/>
        <v>118</v>
      </c>
      <c r="J278" s="3644">
        <f ca="1">典型户型修正!T300</f>
        <v>174</v>
      </c>
    </row>
    <row r="279" spans="1:10" s="3633" customFormat="1">
      <c r="A279" s="3629">
        <v>275</v>
      </c>
      <c r="B279" s="3629" t="s">
        <v>8631</v>
      </c>
      <c r="C279" s="3629">
        <v>30</v>
      </c>
      <c r="D279" s="3629" t="s">
        <v>8072</v>
      </c>
      <c r="E279" s="3629" t="s">
        <v>8073</v>
      </c>
      <c r="F279" s="3629" t="s">
        <v>8632</v>
      </c>
      <c r="G279" s="3643">
        <v>107.91</v>
      </c>
      <c r="H279" s="3649">
        <v>11000</v>
      </c>
      <c r="I279" s="3649">
        <f t="shared" si="4"/>
        <v>119</v>
      </c>
      <c r="J279" s="3644">
        <f ca="1">典型户型修正!T301</f>
        <v>174</v>
      </c>
    </row>
    <row r="280" spans="1:10" s="3633" customFormat="1">
      <c r="A280" s="3629">
        <v>276</v>
      </c>
      <c r="B280" s="3629" t="s">
        <v>8633</v>
      </c>
      <c r="C280" s="3629">
        <v>30</v>
      </c>
      <c r="D280" s="3629" t="s">
        <v>8072</v>
      </c>
      <c r="E280" s="3629" t="s">
        <v>8073</v>
      </c>
      <c r="F280" s="3629" t="s">
        <v>8634</v>
      </c>
      <c r="G280" s="3643">
        <v>107.91</v>
      </c>
      <c r="H280" s="3649">
        <v>11050</v>
      </c>
      <c r="I280" s="3649">
        <f t="shared" si="4"/>
        <v>119</v>
      </c>
      <c r="J280" s="3644">
        <f ca="1">典型户型修正!T302</f>
        <v>181</v>
      </c>
    </row>
    <row r="281" spans="1:10" s="3633" customFormat="1">
      <c r="A281" s="3629">
        <v>277</v>
      </c>
      <c r="B281" s="3629" t="s">
        <v>8635</v>
      </c>
      <c r="C281" s="3629">
        <v>30</v>
      </c>
      <c r="D281" s="3629" t="s">
        <v>8072</v>
      </c>
      <c r="E281" s="3629" t="s">
        <v>8073</v>
      </c>
      <c r="F281" s="3629" t="s">
        <v>8636</v>
      </c>
      <c r="G281" s="3643">
        <v>107.91</v>
      </c>
      <c r="H281" s="3649">
        <v>11000</v>
      </c>
      <c r="I281" s="3649">
        <f t="shared" si="4"/>
        <v>119</v>
      </c>
      <c r="J281" s="3644">
        <f ca="1">典型户型修正!T303</f>
        <v>181</v>
      </c>
    </row>
    <row r="282" spans="1:10" s="3633" customFormat="1">
      <c r="A282" s="3629">
        <v>278</v>
      </c>
      <c r="B282" s="3629" t="s">
        <v>8637</v>
      </c>
      <c r="C282" s="3629">
        <v>30</v>
      </c>
      <c r="D282" s="3629" t="s">
        <v>8072</v>
      </c>
      <c r="E282" s="3629" t="s">
        <v>8073</v>
      </c>
      <c r="F282" s="3629" t="s">
        <v>8638</v>
      </c>
      <c r="G282" s="3643">
        <v>107.91</v>
      </c>
      <c r="H282" s="3649">
        <v>11000</v>
      </c>
      <c r="I282" s="3649">
        <f t="shared" si="4"/>
        <v>119</v>
      </c>
      <c r="J282" s="3644">
        <f ca="1">典型户型修正!T304</f>
        <v>181</v>
      </c>
    </row>
    <row r="283" spans="1:10" s="3633" customFormat="1">
      <c r="A283" s="3629">
        <v>279</v>
      </c>
      <c r="B283" s="3629" t="s">
        <v>8639</v>
      </c>
      <c r="C283" s="3629">
        <v>30</v>
      </c>
      <c r="D283" s="3629" t="s">
        <v>8072</v>
      </c>
      <c r="E283" s="3629" t="s">
        <v>8073</v>
      </c>
      <c r="F283" s="3629" t="s">
        <v>8640</v>
      </c>
      <c r="G283" s="3643">
        <v>107.91</v>
      </c>
      <c r="H283" s="3649">
        <v>11000</v>
      </c>
      <c r="I283" s="3649">
        <f t="shared" si="4"/>
        <v>119</v>
      </c>
      <c r="J283" s="3644">
        <f ca="1">典型户型修正!T305</f>
        <v>181</v>
      </c>
    </row>
    <row r="284" spans="1:10" s="3633" customFormat="1">
      <c r="A284" s="3629">
        <v>280</v>
      </c>
      <c r="B284" s="3629" t="s">
        <v>8641</v>
      </c>
      <c r="C284" s="3629">
        <v>30</v>
      </c>
      <c r="D284" s="3629" t="s">
        <v>8072</v>
      </c>
      <c r="E284" s="3629" t="s">
        <v>8073</v>
      </c>
      <c r="F284" s="3629" t="s">
        <v>8642</v>
      </c>
      <c r="G284" s="3643">
        <v>107.91</v>
      </c>
      <c r="H284" s="3649">
        <v>11130</v>
      </c>
      <c r="I284" s="3649">
        <f t="shared" si="4"/>
        <v>120</v>
      </c>
      <c r="J284" s="3644">
        <f ca="1">典型户型修正!T306</f>
        <v>181</v>
      </c>
    </row>
    <row r="285" spans="1:10" s="3633" customFormat="1">
      <c r="A285" s="3629">
        <v>281</v>
      </c>
      <c r="B285" s="3629" t="s">
        <v>8643</v>
      </c>
      <c r="C285" s="3629">
        <v>30</v>
      </c>
      <c r="D285" s="3629" t="s">
        <v>8072</v>
      </c>
      <c r="E285" s="3629" t="s">
        <v>8073</v>
      </c>
      <c r="F285" s="3629" t="s">
        <v>8644</v>
      </c>
      <c r="G285" s="3643">
        <v>107.91</v>
      </c>
      <c r="H285" s="3649">
        <v>11130</v>
      </c>
      <c r="I285" s="3649">
        <f t="shared" si="4"/>
        <v>120</v>
      </c>
      <c r="J285" s="3644">
        <f ca="1">典型户型修正!T307</f>
        <v>181</v>
      </c>
    </row>
    <row r="286" spans="1:10" s="3633" customFormat="1">
      <c r="A286" s="3629">
        <v>282</v>
      </c>
      <c r="B286" s="3629" t="s">
        <v>8645</v>
      </c>
      <c r="C286" s="3629">
        <v>30</v>
      </c>
      <c r="D286" s="3629" t="s">
        <v>8072</v>
      </c>
      <c r="E286" s="3629" t="s">
        <v>8073</v>
      </c>
      <c r="F286" s="3629" t="s">
        <v>8646</v>
      </c>
      <c r="G286" s="3643">
        <v>107.91</v>
      </c>
      <c r="H286" s="3649">
        <v>11160</v>
      </c>
      <c r="I286" s="3649">
        <f t="shared" si="4"/>
        <v>120</v>
      </c>
      <c r="J286" s="3644">
        <f ca="1">典型户型修正!T308</f>
        <v>181</v>
      </c>
    </row>
    <row r="287" spans="1:10" s="3633" customFormat="1">
      <c r="A287" s="3629">
        <v>283</v>
      </c>
      <c r="B287" s="3629" t="s">
        <v>8647</v>
      </c>
      <c r="C287" s="3629">
        <v>30</v>
      </c>
      <c r="D287" s="3629" t="s">
        <v>8072</v>
      </c>
      <c r="E287" s="3629" t="s">
        <v>8073</v>
      </c>
      <c r="F287" s="3629" t="s">
        <v>8648</v>
      </c>
      <c r="G287" s="3643">
        <v>107.91</v>
      </c>
      <c r="H287" s="3649">
        <v>11160</v>
      </c>
      <c r="I287" s="3649">
        <f t="shared" si="4"/>
        <v>120</v>
      </c>
      <c r="J287" s="3644">
        <f ca="1">典型户型修正!T309</f>
        <v>181</v>
      </c>
    </row>
    <row r="288" spans="1:10" s="3633" customFormat="1">
      <c r="A288" s="3629">
        <v>284</v>
      </c>
      <c r="B288" s="3629" t="s">
        <v>8649</v>
      </c>
      <c r="C288" s="3629">
        <v>30</v>
      </c>
      <c r="D288" s="3629" t="s">
        <v>8072</v>
      </c>
      <c r="E288" s="3629" t="s">
        <v>8073</v>
      </c>
      <c r="F288" s="3629" t="s">
        <v>8650</v>
      </c>
      <c r="G288" s="3643">
        <v>107.91</v>
      </c>
      <c r="H288" s="3649">
        <v>11160</v>
      </c>
      <c r="I288" s="3649">
        <f t="shared" si="4"/>
        <v>120</v>
      </c>
      <c r="J288" s="3644">
        <f ca="1">典型户型修正!T310</f>
        <v>181</v>
      </c>
    </row>
    <row r="289" spans="1:10" s="3633" customFormat="1">
      <c r="A289" s="3629">
        <v>285</v>
      </c>
      <c r="B289" s="3629" t="s">
        <v>8651</v>
      </c>
      <c r="C289" s="3629">
        <v>30</v>
      </c>
      <c r="D289" s="3629" t="s">
        <v>8072</v>
      </c>
      <c r="E289" s="3629" t="s">
        <v>8073</v>
      </c>
      <c r="F289" s="3629" t="s">
        <v>8652</v>
      </c>
      <c r="G289" s="3643">
        <v>107.91</v>
      </c>
      <c r="H289" s="3649">
        <v>11160</v>
      </c>
      <c r="I289" s="3649">
        <f t="shared" si="4"/>
        <v>120</v>
      </c>
      <c r="J289" s="3644">
        <f ca="1">典型户型修正!T311</f>
        <v>181</v>
      </c>
    </row>
    <row r="290" spans="1:10" s="3633" customFormat="1">
      <c r="A290" s="3629">
        <v>286</v>
      </c>
      <c r="B290" s="3629" t="s">
        <v>8653</v>
      </c>
      <c r="C290" s="3629">
        <v>30</v>
      </c>
      <c r="D290" s="3629" t="s">
        <v>8072</v>
      </c>
      <c r="E290" s="3629" t="s">
        <v>8073</v>
      </c>
      <c r="F290" s="3629" t="s">
        <v>8654</v>
      </c>
      <c r="G290" s="3643">
        <v>107.91</v>
      </c>
      <c r="H290" s="3649">
        <v>11190</v>
      </c>
      <c r="I290" s="3649">
        <f t="shared" si="4"/>
        <v>121</v>
      </c>
      <c r="J290" s="3644">
        <f ca="1">典型户型修正!T312</f>
        <v>177</v>
      </c>
    </row>
    <row r="291" spans="1:10" s="3633" customFormat="1">
      <c r="A291" s="3629">
        <v>287</v>
      </c>
      <c r="B291" s="3629" t="s">
        <v>8655</v>
      </c>
      <c r="C291" s="3629">
        <v>30</v>
      </c>
      <c r="D291" s="3629" t="s">
        <v>8072</v>
      </c>
      <c r="E291" s="3629" t="s">
        <v>8073</v>
      </c>
      <c r="F291" s="3629" t="s">
        <v>8656</v>
      </c>
      <c r="G291" s="3643">
        <v>107.91</v>
      </c>
      <c r="H291" s="3649">
        <v>11190</v>
      </c>
      <c r="I291" s="3649">
        <f t="shared" si="4"/>
        <v>121</v>
      </c>
      <c r="J291" s="3644">
        <f ca="1">典型户型修正!T313</f>
        <v>177</v>
      </c>
    </row>
    <row r="292" spans="1:10" s="3633" customFormat="1">
      <c r="A292" s="3629">
        <v>288</v>
      </c>
      <c r="B292" s="3629" t="s">
        <v>8657</v>
      </c>
      <c r="C292" s="3629">
        <v>30</v>
      </c>
      <c r="D292" s="3629" t="s">
        <v>8072</v>
      </c>
      <c r="E292" s="3629" t="s">
        <v>8073</v>
      </c>
      <c r="F292" s="3629" t="s">
        <v>8658</v>
      </c>
      <c r="G292" s="3643">
        <v>107.91</v>
      </c>
      <c r="H292" s="3649">
        <v>11190</v>
      </c>
      <c r="I292" s="3649">
        <f t="shared" si="4"/>
        <v>121</v>
      </c>
      <c r="J292" s="3644">
        <f ca="1">典型户型修正!T314</f>
        <v>177</v>
      </c>
    </row>
    <row r="293" spans="1:10" s="3633" customFormat="1">
      <c r="A293" s="3629">
        <v>289</v>
      </c>
      <c r="B293" s="3629" t="s">
        <v>8659</v>
      </c>
      <c r="C293" s="3629">
        <v>30</v>
      </c>
      <c r="D293" s="3629" t="s">
        <v>8072</v>
      </c>
      <c r="E293" s="3629" t="s">
        <v>8073</v>
      </c>
      <c r="F293" s="3629" t="s">
        <v>8660</v>
      </c>
      <c r="G293" s="3643">
        <v>107.91</v>
      </c>
      <c r="H293" s="3649">
        <v>11190</v>
      </c>
      <c r="I293" s="3649">
        <f t="shared" si="4"/>
        <v>121</v>
      </c>
      <c r="J293" s="3644">
        <f ca="1">典型户型修正!T315</f>
        <v>177</v>
      </c>
    </row>
    <row r="294" spans="1:10" s="3633" customFormat="1">
      <c r="A294" s="3629">
        <v>290</v>
      </c>
      <c r="B294" s="3629" t="s">
        <v>8661</v>
      </c>
      <c r="C294" s="3629">
        <v>30</v>
      </c>
      <c r="D294" s="3629" t="s">
        <v>8072</v>
      </c>
      <c r="E294" s="3629" t="s">
        <v>8073</v>
      </c>
      <c r="F294" s="3629" t="s">
        <v>8662</v>
      </c>
      <c r="G294" s="3643">
        <v>107.91</v>
      </c>
      <c r="H294" s="3649">
        <v>11190</v>
      </c>
      <c r="I294" s="3649">
        <f t="shared" si="4"/>
        <v>121</v>
      </c>
      <c r="J294" s="3644">
        <f ca="1">典型户型修正!T316</f>
        <v>177</v>
      </c>
    </row>
    <row r="295" spans="1:10" s="3633" customFormat="1">
      <c r="A295" s="3629">
        <v>291</v>
      </c>
      <c r="B295" s="3629" t="s">
        <v>8663</v>
      </c>
      <c r="C295" s="3629">
        <v>30</v>
      </c>
      <c r="D295" s="3629" t="s">
        <v>8072</v>
      </c>
      <c r="E295" s="3629" t="s">
        <v>8073</v>
      </c>
      <c r="F295" s="3629" t="s">
        <v>8664</v>
      </c>
      <c r="G295" s="3643">
        <v>107.91</v>
      </c>
      <c r="H295" s="3649">
        <v>11190</v>
      </c>
      <c r="I295" s="3649">
        <f t="shared" si="4"/>
        <v>121</v>
      </c>
      <c r="J295" s="3644">
        <f ca="1">典型户型修正!T317</f>
        <v>177</v>
      </c>
    </row>
    <row r="296" spans="1:10" s="3633" customFormat="1">
      <c r="A296" s="3629">
        <v>292</v>
      </c>
      <c r="B296" s="3629" t="s">
        <v>8665</v>
      </c>
      <c r="C296" s="3629">
        <v>30</v>
      </c>
      <c r="D296" s="3629" t="s">
        <v>8072</v>
      </c>
      <c r="E296" s="3629" t="s">
        <v>8073</v>
      </c>
      <c r="F296" s="3629" t="s">
        <v>8666</v>
      </c>
      <c r="G296" s="3643">
        <v>107.91</v>
      </c>
      <c r="H296" s="3649">
        <v>11190</v>
      </c>
      <c r="I296" s="3649">
        <f t="shared" si="4"/>
        <v>121</v>
      </c>
      <c r="J296" s="3644">
        <f ca="1">典型户型修正!T318</f>
        <v>177</v>
      </c>
    </row>
    <row r="297" spans="1:10" s="3633" customFormat="1">
      <c r="A297" s="3629">
        <v>293</v>
      </c>
      <c r="B297" s="3629" t="s">
        <v>8667</v>
      </c>
      <c r="C297" s="3629">
        <v>30</v>
      </c>
      <c r="D297" s="3629" t="s">
        <v>8072</v>
      </c>
      <c r="E297" s="3629" t="s">
        <v>8073</v>
      </c>
      <c r="F297" s="3629" t="s">
        <v>8668</v>
      </c>
      <c r="G297" s="3643">
        <v>107.91</v>
      </c>
      <c r="H297" s="3649">
        <v>11190</v>
      </c>
      <c r="I297" s="3649">
        <f t="shared" si="4"/>
        <v>121</v>
      </c>
      <c r="J297" s="3644">
        <f ca="1">典型户型修正!T319</f>
        <v>177</v>
      </c>
    </row>
    <row r="298" spans="1:10" s="3633" customFormat="1">
      <c r="A298" s="3629">
        <v>294</v>
      </c>
      <c r="B298" s="3629" t="s">
        <v>8669</v>
      </c>
      <c r="C298" s="3629">
        <v>30</v>
      </c>
      <c r="D298" s="3629" t="s">
        <v>8072</v>
      </c>
      <c r="E298" s="3629" t="s">
        <v>8073</v>
      </c>
      <c r="F298" s="3629" t="s">
        <v>8670</v>
      </c>
      <c r="G298" s="3643">
        <v>107.91</v>
      </c>
      <c r="H298" s="3649">
        <v>11190</v>
      </c>
      <c r="I298" s="3649">
        <f t="shared" si="4"/>
        <v>121</v>
      </c>
      <c r="J298" s="3644">
        <f ca="1">典型户型修正!T320</f>
        <v>177</v>
      </c>
    </row>
    <row r="299" spans="1:10" s="3633" customFormat="1">
      <c r="A299" s="3629">
        <v>295</v>
      </c>
      <c r="B299" s="3629" t="s">
        <v>8671</v>
      </c>
      <c r="C299" s="3629">
        <v>30</v>
      </c>
      <c r="D299" s="3629" t="s">
        <v>8072</v>
      </c>
      <c r="E299" s="3629" t="s">
        <v>8073</v>
      </c>
      <c r="F299" s="3629" t="s">
        <v>8672</v>
      </c>
      <c r="G299" s="3643">
        <v>93.87</v>
      </c>
      <c r="H299" s="3649">
        <v>10690</v>
      </c>
      <c r="I299" s="3649">
        <f t="shared" si="4"/>
        <v>100</v>
      </c>
      <c r="J299" s="3644">
        <f ca="1">典型户型修正!T321</f>
        <v>153</v>
      </c>
    </row>
    <row r="300" spans="1:10" s="3633" customFormat="1">
      <c r="A300" s="3629">
        <v>296</v>
      </c>
      <c r="B300" s="3629" t="s">
        <v>8673</v>
      </c>
      <c r="C300" s="3629">
        <v>30</v>
      </c>
      <c r="D300" s="3629" t="s">
        <v>8072</v>
      </c>
      <c r="E300" s="3629" t="s">
        <v>8073</v>
      </c>
      <c r="F300" s="3629" t="s">
        <v>8674</v>
      </c>
      <c r="G300" s="3643">
        <v>107.91</v>
      </c>
      <c r="H300" s="3649">
        <v>9750</v>
      </c>
      <c r="I300" s="3649">
        <f t="shared" si="4"/>
        <v>105</v>
      </c>
      <c r="J300" s="3644">
        <f ca="1">典型户型修正!T322</f>
        <v>174</v>
      </c>
    </row>
    <row r="301" spans="1:10" s="3633" customFormat="1">
      <c r="A301" s="3629">
        <v>297</v>
      </c>
      <c r="B301" s="3629" t="s">
        <v>8675</v>
      </c>
      <c r="C301" s="3629">
        <v>30</v>
      </c>
      <c r="D301" s="3629" t="s">
        <v>8072</v>
      </c>
      <c r="E301" s="3629" t="s">
        <v>8073</v>
      </c>
      <c r="F301" s="3629" t="s">
        <v>8676</v>
      </c>
      <c r="G301" s="3643">
        <v>107.91</v>
      </c>
      <c r="H301" s="3649">
        <v>9950</v>
      </c>
      <c r="I301" s="3649">
        <f t="shared" si="4"/>
        <v>107</v>
      </c>
      <c r="J301" s="3644">
        <f ca="1">典型户型修正!T323</f>
        <v>174</v>
      </c>
    </row>
    <row r="302" spans="1:10" s="3633" customFormat="1">
      <c r="A302" s="3629">
        <v>298</v>
      </c>
      <c r="B302" s="3629" t="s">
        <v>8677</v>
      </c>
      <c r="C302" s="3629">
        <v>30</v>
      </c>
      <c r="D302" s="3629" t="s">
        <v>8072</v>
      </c>
      <c r="E302" s="3629" t="s">
        <v>8073</v>
      </c>
      <c r="F302" s="3629" t="s">
        <v>8678</v>
      </c>
      <c r="G302" s="3643">
        <v>107.91</v>
      </c>
      <c r="H302" s="3649">
        <v>10400</v>
      </c>
      <c r="I302" s="3649">
        <f t="shared" si="4"/>
        <v>112</v>
      </c>
      <c r="J302" s="3644">
        <f ca="1">典型户型修正!T324</f>
        <v>174</v>
      </c>
    </row>
    <row r="303" spans="1:10" s="3633" customFormat="1">
      <c r="A303" s="3629">
        <v>299</v>
      </c>
      <c r="B303" s="3629" t="s">
        <v>8679</v>
      </c>
      <c r="C303" s="3629">
        <v>30</v>
      </c>
      <c r="D303" s="3629" t="s">
        <v>8072</v>
      </c>
      <c r="E303" s="3629" t="s">
        <v>8073</v>
      </c>
      <c r="F303" s="3629" t="s">
        <v>8680</v>
      </c>
      <c r="G303" s="3643">
        <v>107.91</v>
      </c>
      <c r="H303" s="3649">
        <v>10750</v>
      </c>
      <c r="I303" s="3649">
        <f t="shared" si="4"/>
        <v>116</v>
      </c>
      <c r="J303" s="3644">
        <f ca="1">典型户型修正!T325</f>
        <v>174</v>
      </c>
    </row>
    <row r="304" spans="1:10" s="3633" customFormat="1">
      <c r="A304" s="3629">
        <v>300</v>
      </c>
      <c r="B304" s="3629" t="s">
        <v>8681</v>
      </c>
      <c r="C304" s="3629">
        <v>30</v>
      </c>
      <c r="D304" s="3629" t="s">
        <v>8072</v>
      </c>
      <c r="E304" s="3629" t="s">
        <v>8073</v>
      </c>
      <c r="F304" s="3629" t="s">
        <v>8682</v>
      </c>
      <c r="G304" s="3643">
        <v>107.91</v>
      </c>
      <c r="H304" s="3649">
        <v>10800</v>
      </c>
      <c r="I304" s="3649">
        <f t="shared" si="4"/>
        <v>117</v>
      </c>
      <c r="J304" s="3644">
        <f ca="1">典型户型修正!T326</f>
        <v>174</v>
      </c>
    </row>
    <row r="305" spans="1:10" s="3633" customFormat="1">
      <c r="A305" s="3629">
        <v>301</v>
      </c>
      <c r="B305" s="3629" t="s">
        <v>8683</v>
      </c>
      <c r="C305" s="3629">
        <v>30</v>
      </c>
      <c r="D305" s="3629" t="s">
        <v>8072</v>
      </c>
      <c r="E305" s="3629" t="s">
        <v>8073</v>
      </c>
      <c r="F305" s="3629" t="s">
        <v>8684</v>
      </c>
      <c r="G305" s="3643">
        <v>107.91</v>
      </c>
      <c r="H305" s="3649">
        <v>10850</v>
      </c>
      <c r="I305" s="3649">
        <f t="shared" si="4"/>
        <v>117</v>
      </c>
      <c r="J305" s="3644">
        <f ca="1">典型户型修正!T327</f>
        <v>174</v>
      </c>
    </row>
    <row r="306" spans="1:10" s="3633" customFormat="1">
      <c r="A306" s="3629">
        <v>302</v>
      </c>
      <c r="B306" s="3629" t="s">
        <v>8685</v>
      </c>
      <c r="C306" s="3629">
        <v>30</v>
      </c>
      <c r="D306" s="3629" t="s">
        <v>8072</v>
      </c>
      <c r="E306" s="3629" t="s">
        <v>8073</v>
      </c>
      <c r="F306" s="3629" t="s">
        <v>8686</v>
      </c>
      <c r="G306" s="3643">
        <v>107.91</v>
      </c>
      <c r="H306" s="3649">
        <v>10900</v>
      </c>
      <c r="I306" s="3649">
        <f t="shared" si="4"/>
        <v>118</v>
      </c>
      <c r="J306" s="3644">
        <f ca="1">典型户型修正!T328</f>
        <v>174</v>
      </c>
    </row>
    <row r="307" spans="1:10" s="3633" customFormat="1">
      <c r="A307" s="3629">
        <v>303</v>
      </c>
      <c r="B307" s="3629" t="s">
        <v>8687</v>
      </c>
      <c r="C307" s="3629">
        <v>30</v>
      </c>
      <c r="D307" s="3629" t="s">
        <v>8072</v>
      </c>
      <c r="E307" s="3629" t="s">
        <v>8073</v>
      </c>
      <c r="F307" s="3629" t="s">
        <v>8688</v>
      </c>
      <c r="G307" s="3643">
        <v>107.91</v>
      </c>
      <c r="H307" s="3649">
        <v>10950</v>
      </c>
      <c r="I307" s="3649">
        <f t="shared" si="4"/>
        <v>118</v>
      </c>
      <c r="J307" s="3644">
        <f ca="1">典型户型修正!T329</f>
        <v>174</v>
      </c>
    </row>
    <row r="308" spans="1:10" s="3633" customFormat="1">
      <c r="A308" s="3629">
        <v>304</v>
      </c>
      <c r="B308" s="3629" t="s">
        <v>8689</v>
      </c>
      <c r="C308" s="3629">
        <v>30</v>
      </c>
      <c r="D308" s="3629" t="s">
        <v>8072</v>
      </c>
      <c r="E308" s="3629" t="s">
        <v>8073</v>
      </c>
      <c r="F308" s="3629" t="s">
        <v>8690</v>
      </c>
      <c r="G308" s="3643">
        <v>107.91</v>
      </c>
      <c r="H308" s="3649">
        <v>11000</v>
      </c>
      <c r="I308" s="3649">
        <f t="shared" si="4"/>
        <v>119</v>
      </c>
      <c r="J308" s="3644">
        <f ca="1">典型户型修正!T330</f>
        <v>174</v>
      </c>
    </row>
    <row r="309" spans="1:10" s="3633" customFormat="1">
      <c r="A309" s="3629">
        <v>305</v>
      </c>
      <c r="B309" s="3629" t="s">
        <v>8691</v>
      </c>
      <c r="C309" s="3629">
        <v>30</v>
      </c>
      <c r="D309" s="3629" t="s">
        <v>8072</v>
      </c>
      <c r="E309" s="3629" t="s">
        <v>8073</v>
      </c>
      <c r="F309" s="3629" t="s">
        <v>8692</v>
      </c>
      <c r="G309" s="3643">
        <v>107.91</v>
      </c>
      <c r="H309" s="3649">
        <v>11050</v>
      </c>
      <c r="I309" s="3649">
        <f t="shared" si="4"/>
        <v>119</v>
      </c>
      <c r="J309" s="3644">
        <f ca="1">典型户型修正!T331</f>
        <v>181</v>
      </c>
    </row>
    <row r="310" spans="1:10" s="3633" customFormat="1">
      <c r="A310" s="3629">
        <v>306</v>
      </c>
      <c r="B310" s="3629" t="s">
        <v>8693</v>
      </c>
      <c r="C310" s="3629">
        <v>30</v>
      </c>
      <c r="D310" s="3629" t="s">
        <v>8072</v>
      </c>
      <c r="E310" s="3629" t="s">
        <v>8073</v>
      </c>
      <c r="F310" s="3629" t="s">
        <v>8694</v>
      </c>
      <c r="G310" s="3643">
        <v>107.91</v>
      </c>
      <c r="H310" s="3649">
        <v>11000</v>
      </c>
      <c r="I310" s="3649">
        <f t="shared" si="4"/>
        <v>119</v>
      </c>
      <c r="J310" s="3644">
        <f ca="1">典型户型修正!T332</f>
        <v>181</v>
      </c>
    </row>
    <row r="311" spans="1:10" s="3633" customFormat="1">
      <c r="A311" s="3629">
        <v>307</v>
      </c>
      <c r="B311" s="3629" t="s">
        <v>8695</v>
      </c>
      <c r="C311" s="3629">
        <v>30</v>
      </c>
      <c r="D311" s="3629" t="s">
        <v>8072</v>
      </c>
      <c r="E311" s="3629" t="s">
        <v>8073</v>
      </c>
      <c r="F311" s="3629" t="s">
        <v>8696</v>
      </c>
      <c r="G311" s="3643">
        <v>107.91</v>
      </c>
      <c r="H311" s="3649">
        <v>11100</v>
      </c>
      <c r="I311" s="3649">
        <f t="shared" si="4"/>
        <v>120</v>
      </c>
      <c r="J311" s="3644">
        <f ca="1">典型户型修正!T333</f>
        <v>181</v>
      </c>
    </row>
    <row r="312" spans="1:10" s="3633" customFormat="1">
      <c r="A312" s="3629">
        <v>308</v>
      </c>
      <c r="B312" s="3629" t="s">
        <v>8697</v>
      </c>
      <c r="C312" s="3629">
        <v>30</v>
      </c>
      <c r="D312" s="3629" t="s">
        <v>8072</v>
      </c>
      <c r="E312" s="3629" t="s">
        <v>8073</v>
      </c>
      <c r="F312" s="3629" t="s">
        <v>8698</v>
      </c>
      <c r="G312" s="3643">
        <v>107.91</v>
      </c>
      <c r="H312" s="3649">
        <v>11100</v>
      </c>
      <c r="I312" s="3649">
        <f t="shared" si="4"/>
        <v>120</v>
      </c>
      <c r="J312" s="3644">
        <f ca="1">典型户型修正!T334</f>
        <v>181</v>
      </c>
    </row>
    <row r="313" spans="1:10" s="3633" customFormat="1">
      <c r="A313" s="3629">
        <v>309</v>
      </c>
      <c r="B313" s="3629" t="s">
        <v>8699</v>
      </c>
      <c r="C313" s="3629">
        <v>30</v>
      </c>
      <c r="D313" s="3629" t="s">
        <v>8072</v>
      </c>
      <c r="E313" s="3629" t="s">
        <v>8073</v>
      </c>
      <c r="F313" s="3629" t="s">
        <v>8700</v>
      </c>
      <c r="G313" s="3643">
        <v>107.91</v>
      </c>
      <c r="H313" s="3649">
        <v>11130</v>
      </c>
      <c r="I313" s="3649">
        <f t="shared" si="4"/>
        <v>120</v>
      </c>
      <c r="J313" s="3644">
        <f ca="1">典型户型修正!T335</f>
        <v>181</v>
      </c>
    </row>
    <row r="314" spans="1:10" s="3633" customFormat="1">
      <c r="A314" s="3629">
        <v>310</v>
      </c>
      <c r="B314" s="3629" t="s">
        <v>8701</v>
      </c>
      <c r="C314" s="3629">
        <v>30</v>
      </c>
      <c r="D314" s="3629" t="s">
        <v>8072</v>
      </c>
      <c r="E314" s="3629" t="s">
        <v>8073</v>
      </c>
      <c r="F314" s="3629" t="s">
        <v>8702</v>
      </c>
      <c r="G314" s="3643">
        <v>107.91</v>
      </c>
      <c r="H314" s="3649">
        <v>11130</v>
      </c>
      <c r="I314" s="3649">
        <f t="shared" si="4"/>
        <v>120</v>
      </c>
      <c r="J314" s="3644">
        <f ca="1">典型户型修正!T336</f>
        <v>181</v>
      </c>
    </row>
    <row r="315" spans="1:10" s="3633" customFormat="1">
      <c r="A315" s="3629">
        <v>311</v>
      </c>
      <c r="B315" s="3629" t="s">
        <v>8703</v>
      </c>
      <c r="C315" s="3629">
        <v>30</v>
      </c>
      <c r="D315" s="3629" t="s">
        <v>8072</v>
      </c>
      <c r="E315" s="3629" t="s">
        <v>8073</v>
      </c>
      <c r="F315" s="3629" t="s">
        <v>8704</v>
      </c>
      <c r="G315" s="3643">
        <v>107.91</v>
      </c>
      <c r="H315" s="3649">
        <v>11160</v>
      </c>
      <c r="I315" s="3649">
        <f t="shared" si="4"/>
        <v>120</v>
      </c>
      <c r="J315" s="3644">
        <f ca="1">典型户型修正!T337</f>
        <v>181</v>
      </c>
    </row>
    <row r="316" spans="1:10" s="3633" customFormat="1">
      <c r="A316" s="3629">
        <v>312</v>
      </c>
      <c r="B316" s="3629" t="s">
        <v>8705</v>
      </c>
      <c r="C316" s="3629">
        <v>30</v>
      </c>
      <c r="D316" s="3629" t="s">
        <v>8072</v>
      </c>
      <c r="E316" s="3629" t="s">
        <v>8073</v>
      </c>
      <c r="F316" s="3629" t="s">
        <v>8706</v>
      </c>
      <c r="G316" s="3643">
        <v>107.91</v>
      </c>
      <c r="H316" s="3649">
        <v>11160</v>
      </c>
      <c r="I316" s="3649">
        <f t="shared" si="4"/>
        <v>120</v>
      </c>
      <c r="J316" s="3644">
        <f ca="1">典型户型修正!T338</f>
        <v>181</v>
      </c>
    </row>
    <row r="317" spans="1:10" s="3633" customFormat="1">
      <c r="A317" s="3629">
        <v>313</v>
      </c>
      <c r="B317" s="3629" t="s">
        <v>8707</v>
      </c>
      <c r="C317" s="3629">
        <v>30</v>
      </c>
      <c r="D317" s="3629" t="s">
        <v>8072</v>
      </c>
      <c r="E317" s="3629" t="s">
        <v>8073</v>
      </c>
      <c r="F317" s="3629" t="s">
        <v>8708</v>
      </c>
      <c r="G317" s="3643">
        <v>107.91</v>
      </c>
      <c r="H317" s="3649">
        <v>11160</v>
      </c>
      <c r="I317" s="3649">
        <f t="shared" si="4"/>
        <v>120</v>
      </c>
      <c r="J317" s="3644">
        <f ca="1">典型户型修正!T339</f>
        <v>181</v>
      </c>
    </row>
    <row r="318" spans="1:10" s="3633" customFormat="1">
      <c r="A318" s="3629">
        <v>314</v>
      </c>
      <c r="B318" s="3629" t="s">
        <v>8709</v>
      </c>
      <c r="C318" s="3629">
        <v>30</v>
      </c>
      <c r="D318" s="3629" t="s">
        <v>8072</v>
      </c>
      <c r="E318" s="3629" t="s">
        <v>8073</v>
      </c>
      <c r="F318" s="3629" t="s">
        <v>8710</v>
      </c>
      <c r="G318" s="3643">
        <v>107.91</v>
      </c>
      <c r="H318" s="3649">
        <v>11160</v>
      </c>
      <c r="I318" s="3649">
        <f t="shared" si="4"/>
        <v>120</v>
      </c>
      <c r="J318" s="3644">
        <f ca="1">典型户型修正!T340</f>
        <v>181</v>
      </c>
    </row>
    <row r="319" spans="1:10" s="3633" customFormat="1">
      <c r="A319" s="3629">
        <v>315</v>
      </c>
      <c r="B319" s="3629" t="s">
        <v>8711</v>
      </c>
      <c r="C319" s="3629">
        <v>30</v>
      </c>
      <c r="D319" s="3629" t="s">
        <v>8072</v>
      </c>
      <c r="E319" s="3629" t="s">
        <v>8073</v>
      </c>
      <c r="F319" s="3629" t="s">
        <v>8712</v>
      </c>
      <c r="G319" s="3643">
        <v>107.91</v>
      </c>
      <c r="H319" s="3649">
        <v>11190</v>
      </c>
      <c r="I319" s="3649">
        <f t="shared" si="4"/>
        <v>121</v>
      </c>
      <c r="J319" s="3644">
        <f ca="1">典型户型修正!T341</f>
        <v>177</v>
      </c>
    </row>
    <row r="320" spans="1:10" s="3633" customFormat="1">
      <c r="A320" s="3629">
        <v>316</v>
      </c>
      <c r="B320" s="3629" t="s">
        <v>8713</v>
      </c>
      <c r="C320" s="3629">
        <v>30</v>
      </c>
      <c r="D320" s="3629" t="s">
        <v>8072</v>
      </c>
      <c r="E320" s="3629" t="s">
        <v>8073</v>
      </c>
      <c r="F320" s="3629" t="s">
        <v>8714</v>
      </c>
      <c r="G320" s="3643">
        <v>107.91</v>
      </c>
      <c r="H320" s="3649">
        <v>11190</v>
      </c>
      <c r="I320" s="3649">
        <f t="shared" si="4"/>
        <v>121</v>
      </c>
      <c r="J320" s="3644">
        <f ca="1">典型户型修正!T342</f>
        <v>177</v>
      </c>
    </row>
    <row r="321" spans="1:10" s="3633" customFormat="1">
      <c r="A321" s="3629">
        <v>317</v>
      </c>
      <c r="B321" s="3629" t="s">
        <v>8715</v>
      </c>
      <c r="C321" s="3629">
        <v>30</v>
      </c>
      <c r="D321" s="3629" t="s">
        <v>8072</v>
      </c>
      <c r="E321" s="3629" t="s">
        <v>8073</v>
      </c>
      <c r="F321" s="3629" t="s">
        <v>8716</v>
      </c>
      <c r="G321" s="3643">
        <v>107.91</v>
      </c>
      <c r="H321" s="3649">
        <v>11190</v>
      </c>
      <c r="I321" s="3649">
        <f t="shared" si="4"/>
        <v>121</v>
      </c>
      <c r="J321" s="3644">
        <f ca="1">典型户型修正!T343</f>
        <v>177</v>
      </c>
    </row>
    <row r="322" spans="1:10" s="3633" customFormat="1">
      <c r="A322" s="3629">
        <v>318</v>
      </c>
      <c r="B322" s="3629" t="s">
        <v>8717</v>
      </c>
      <c r="C322" s="3629">
        <v>30</v>
      </c>
      <c r="D322" s="3629" t="s">
        <v>8072</v>
      </c>
      <c r="E322" s="3629" t="s">
        <v>8073</v>
      </c>
      <c r="F322" s="3629" t="s">
        <v>8718</v>
      </c>
      <c r="G322" s="3643">
        <v>107.91</v>
      </c>
      <c r="H322" s="3649">
        <v>11190</v>
      </c>
      <c r="I322" s="3649">
        <f t="shared" si="4"/>
        <v>121</v>
      </c>
      <c r="J322" s="3644">
        <f ca="1">典型户型修正!T344</f>
        <v>177</v>
      </c>
    </row>
    <row r="323" spans="1:10" s="3633" customFormat="1">
      <c r="A323" s="3629">
        <v>319</v>
      </c>
      <c r="B323" s="3629" t="s">
        <v>8719</v>
      </c>
      <c r="C323" s="3629">
        <v>30</v>
      </c>
      <c r="D323" s="3629" t="s">
        <v>8072</v>
      </c>
      <c r="E323" s="3629" t="s">
        <v>8073</v>
      </c>
      <c r="F323" s="3629" t="s">
        <v>8720</v>
      </c>
      <c r="G323" s="3643">
        <v>107.91</v>
      </c>
      <c r="H323" s="3649">
        <v>11190</v>
      </c>
      <c r="I323" s="3649">
        <f t="shared" si="4"/>
        <v>121</v>
      </c>
      <c r="J323" s="3644">
        <f ca="1">典型户型修正!T345</f>
        <v>177</v>
      </c>
    </row>
    <row r="324" spans="1:10" s="3633" customFormat="1">
      <c r="A324" s="3629">
        <v>320</v>
      </c>
      <c r="B324" s="3629" t="s">
        <v>8721</v>
      </c>
      <c r="C324" s="3629">
        <v>30</v>
      </c>
      <c r="D324" s="3629" t="s">
        <v>8072</v>
      </c>
      <c r="E324" s="3629" t="s">
        <v>8073</v>
      </c>
      <c r="F324" s="3629" t="s">
        <v>8722</v>
      </c>
      <c r="G324" s="3643">
        <v>107.91</v>
      </c>
      <c r="H324" s="3649">
        <v>11190</v>
      </c>
      <c r="I324" s="3649">
        <f t="shared" si="4"/>
        <v>121</v>
      </c>
      <c r="J324" s="3644">
        <f ca="1">典型户型修正!T346</f>
        <v>177</v>
      </c>
    </row>
    <row r="325" spans="1:10" s="3633" customFormat="1">
      <c r="A325" s="3629">
        <v>321</v>
      </c>
      <c r="B325" s="3629" t="s">
        <v>8723</v>
      </c>
      <c r="C325" s="3629">
        <v>30</v>
      </c>
      <c r="D325" s="3629" t="s">
        <v>8072</v>
      </c>
      <c r="E325" s="3629" t="s">
        <v>8073</v>
      </c>
      <c r="F325" s="3629" t="s">
        <v>8724</v>
      </c>
      <c r="G325" s="3643">
        <v>107.91</v>
      </c>
      <c r="H325" s="3649">
        <v>11190</v>
      </c>
      <c r="I325" s="3649">
        <f t="shared" si="4"/>
        <v>121</v>
      </c>
      <c r="J325" s="3644">
        <f ca="1">典型户型修正!T347</f>
        <v>177</v>
      </c>
    </row>
    <row r="326" spans="1:10" s="3633" customFormat="1">
      <c r="A326" s="3629">
        <v>322</v>
      </c>
      <c r="B326" s="3629" t="s">
        <v>8725</v>
      </c>
      <c r="C326" s="3629">
        <v>30</v>
      </c>
      <c r="D326" s="3629" t="s">
        <v>8072</v>
      </c>
      <c r="E326" s="3629" t="s">
        <v>8073</v>
      </c>
      <c r="F326" s="3629" t="s">
        <v>8726</v>
      </c>
      <c r="G326" s="3643">
        <v>107.91</v>
      </c>
      <c r="H326" s="3649">
        <v>11190</v>
      </c>
      <c r="I326" s="3649">
        <f t="shared" si="4"/>
        <v>121</v>
      </c>
      <c r="J326" s="3644">
        <f ca="1">典型户型修正!T348</f>
        <v>177</v>
      </c>
    </row>
    <row r="327" spans="1:10" s="3633" customFormat="1">
      <c r="A327" s="3629">
        <v>323</v>
      </c>
      <c r="B327" s="3629" t="s">
        <v>8727</v>
      </c>
      <c r="C327" s="3629">
        <v>30</v>
      </c>
      <c r="D327" s="3629" t="s">
        <v>8072</v>
      </c>
      <c r="E327" s="3629" t="s">
        <v>8073</v>
      </c>
      <c r="F327" s="3629" t="s">
        <v>8728</v>
      </c>
      <c r="G327" s="3643">
        <v>107.91</v>
      </c>
      <c r="H327" s="3649">
        <v>11190</v>
      </c>
      <c r="I327" s="3649">
        <f t="shared" ref="I327:I390" si="5">ROUND(G327*H327/10000,0)</f>
        <v>121</v>
      </c>
      <c r="J327" s="3644">
        <f ca="1">典型户型修正!T349</f>
        <v>177</v>
      </c>
    </row>
    <row r="328" spans="1:10" s="3633" customFormat="1">
      <c r="A328" s="3629">
        <v>324</v>
      </c>
      <c r="B328" s="3629" t="s">
        <v>8729</v>
      </c>
      <c r="C328" s="3629">
        <v>30</v>
      </c>
      <c r="D328" s="3629" t="s">
        <v>8072</v>
      </c>
      <c r="E328" s="3629" t="s">
        <v>8073</v>
      </c>
      <c r="F328" s="3629" t="s">
        <v>8730</v>
      </c>
      <c r="G328" s="3643">
        <v>93.87</v>
      </c>
      <c r="H328" s="3649">
        <v>10690</v>
      </c>
      <c r="I328" s="3649">
        <f t="shared" si="5"/>
        <v>100</v>
      </c>
      <c r="J328" s="3644">
        <f ca="1">典型户型修正!T350</f>
        <v>153</v>
      </c>
    </row>
    <row r="329" spans="1:10" s="3633" customFormat="1">
      <c r="A329" s="3629">
        <v>325</v>
      </c>
      <c r="B329" s="3629" t="s">
        <v>8731</v>
      </c>
      <c r="C329" s="3629">
        <v>30</v>
      </c>
      <c r="D329" s="3629" t="s">
        <v>8072</v>
      </c>
      <c r="E329" s="3629" t="s">
        <v>8073</v>
      </c>
      <c r="F329" s="3629" t="s">
        <v>8732</v>
      </c>
      <c r="G329" s="3643">
        <v>87.87</v>
      </c>
      <c r="H329" s="3649">
        <v>10750</v>
      </c>
      <c r="I329" s="3649">
        <f t="shared" si="5"/>
        <v>94</v>
      </c>
      <c r="J329" s="3644">
        <f ca="1">典型户型修正!T351</f>
        <v>140</v>
      </c>
    </row>
    <row r="330" spans="1:10" s="3633" customFormat="1">
      <c r="A330" s="3629">
        <v>326</v>
      </c>
      <c r="B330" s="3629" t="s">
        <v>8733</v>
      </c>
      <c r="C330" s="3629">
        <v>30</v>
      </c>
      <c r="D330" s="3629" t="s">
        <v>8072</v>
      </c>
      <c r="E330" s="3629" t="s">
        <v>8073</v>
      </c>
      <c r="F330" s="3629" t="s">
        <v>8734</v>
      </c>
      <c r="G330" s="3643">
        <v>87.87</v>
      </c>
      <c r="H330" s="3649">
        <v>10950</v>
      </c>
      <c r="I330" s="3649">
        <f t="shared" si="5"/>
        <v>96</v>
      </c>
      <c r="J330" s="3644">
        <f ca="1">典型户型修正!T352</f>
        <v>140</v>
      </c>
    </row>
    <row r="331" spans="1:10" s="3633" customFormat="1">
      <c r="A331" s="3629">
        <v>327</v>
      </c>
      <c r="B331" s="3629" t="s">
        <v>8735</v>
      </c>
      <c r="C331" s="3629">
        <v>30</v>
      </c>
      <c r="D331" s="3629" t="s">
        <v>8072</v>
      </c>
      <c r="E331" s="3629" t="s">
        <v>8073</v>
      </c>
      <c r="F331" s="3629" t="s">
        <v>8736</v>
      </c>
      <c r="G331" s="3643">
        <v>87.87</v>
      </c>
      <c r="H331" s="3649">
        <v>11400</v>
      </c>
      <c r="I331" s="3649">
        <f t="shared" si="5"/>
        <v>100</v>
      </c>
      <c r="J331" s="3644">
        <f ca="1">典型户型修正!T353</f>
        <v>140</v>
      </c>
    </row>
    <row r="332" spans="1:10" s="3633" customFormat="1">
      <c r="A332" s="3629">
        <v>328</v>
      </c>
      <c r="B332" s="3629" t="s">
        <v>8737</v>
      </c>
      <c r="C332" s="3629">
        <v>30</v>
      </c>
      <c r="D332" s="3629" t="s">
        <v>8072</v>
      </c>
      <c r="E332" s="3629" t="s">
        <v>8073</v>
      </c>
      <c r="F332" s="3629" t="s">
        <v>8738</v>
      </c>
      <c r="G332" s="3643">
        <v>87.87</v>
      </c>
      <c r="H332" s="3649">
        <v>11750</v>
      </c>
      <c r="I332" s="3649">
        <f t="shared" si="5"/>
        <v>103</v>
      </c>
      <c r="J332" s="3644">
        <f ca="1">典型户型修正!T354</f>
        <v>140</v>
      </c>
    </row>
    <row r="333" spans="1:10" s="3633" customFormat="1">
      <c r="A333" s="3629">
        <v>329</v>
      </c>
      <c r="B333" s="3629" t="s">
        <v>8739</v>
      </c>
      <c r="C333" s="3629">
        <v>30</v>
      </c>
      <c r="D333" s="3629" t="s">
        <v>8072</v>
      </c>
      <c r="E333" s="3629" t="s">
        <v>8073</v>
      </c>
      <c r="F333" s="3629" t="s">
        <v>8740</v>
      </c>
      <c r="G333" s="3643">
        <v>87.87</v>
      </c>
      <c r="H333" s="3649">
        <v>11800</v>
      </c>
      <c r="I333" s="3649">
        <f t="shared" si="5"/>
        <v>104</v>
      </c>
      <c r="J333" s="3644">
        <f ca="1">典型户型修正!T355</f>
        <v>140</v>
      </c>
    </row>
    <row r="334" spans="1:10" s="3633" customFormat="1">
      <c r="A334" s="3629">
        <v>330</v>
      </c>
      <c r="B334" s="3629" t="s">
        <v>8741</v>
      </c>
      <c r="C334" s="3629">
        <v>30</v>
      </c>
      <c r="D334" s="3629" t="s">
        <v>8072</v>
      </c>
      <c r="E334" s="3629" t="s">
        <v>8073</v>
      </c>
      <c r="F334" s="3629" t="s">
        <v>8742</v>
      </c>
      <c r="G334" s="3643">
        <v>87.87</v>
      </c>
      <c r="H334" s="3649">
        <v>11850</v>
      </c>
      <c r="I334" s="3649">
        <f t="shared" si="5"/>
        <v>104</v>
      </c>
      <c r="J334" s="3644">
        <f ca="1">典型户型修正!T356</f>
        <v>140</v>
      </c>
    </row>
    <row r="335" spans="1:10" s="3633" customFormat="1">
      <c r="A335" s="3629">
        <v>331</v>
      </c>
      <c r="B335" s="3629" t="s">
        <v>8743</v>
      </c>
      <c r="C335" s="3629">
        <v>30</v>
      </c>
      <c r="D335" s="3629" t="s">
        <v>8072</v>
      </c>
      <c r="E335" s="3629" t="s">
        <v>8073</v>
      </c>
      <c r="F335" s="3629" t="s">
        <v>8744</v>
      </c>
      <c r="G335" s="3643">
        <v>87.87</v>
      </c>
      <c r="H335" s="3649">
        <v>11900</v>
      </c>
      <c r="I335" s="3649">
        <f t="shared" si="5"/>
        <v>105</v>
      </c>
      <c r="J335" s="3644">
        <f ca="1">典型户型修正!T357</f>
        <v>140</v>
      </c>
    </row>
    <row r="336" spans="1:10" s="3633" customFormat="1">
      <c r="A336" s="3629">
        <v>332</v>
      </c>
      <c r="B336" s="3629" t="s">
        <v>8745</v>
      </c>
      <c r="C336" s="3629">
        <v>30</v>
      </c>
      <c r="D336" s="3629" t="s">
        <v>8072</v>
      </c>
      <c r="E336" s="3629" t="s">
        <v>8073</v>
      </c>
      <c r="F336" s="3629" t="s">
        <v>8746</v>
      </c>
      <c r="G336" s="3643">
        <v>87.87</v>
      </c>
      <c r="H336" s="3649">
        <v>11950</v>
      </c>
      <c r="I336" s="3649">
        <f t="shared" si="5"/>
        <v>105</v>
      </c>
      <c r="J336" s="3644">
        <f ca="1">典型户型修正!T358</f>
        <v>140</v>
      </c>
    </row>
    <row r="337" spans="1:10" s="3633" customFormat="1">
      <c r="A337" s="3629">
        <v>333</v>
      </c>
      <c r="B337" s="3629" t="s">
        <v>8747</v>
      </c>
      <c r="C337" s="3629">
        <v>30</v>
      </c>
      <c r="D337" s="3629" t="s">
        <v>8072</v>
      </c>
      <c r="E337" s="3629" t="s">
        <v>8073</v>
      </c>
      <c r="F337" s="3629" t="s">
        <v>8748</v>
      </c>
      <c r="G337" s="3643">
        <v>87.87</v>
      </c>
      <c r="H337" s="3649">
        <v>12000</v>
      </c>
      <c r="I337" s="3649">
        <f t="shared" si="5"/>
        <v>105</v>
      </c>
      <c r="J337" s="3644">
        <f ca="1">典型户型修正!T359</f>
        <v>140</v>
      </c>
    </row>
    <row r="338" spans="1:10" s="3633" customFormat="1">
      <c r="A338" s="3629">
        <v>334</v>
      </c>
      <c r="B338" s="3629" t="s">
        <v>8749</v>
      </c>
      <c r="C338" s="3629">
        <v>30</v>
      </c>
      <c r="D338" s="3629" t="s">
        <v>8072</v>
      </c>
      <c r="E338" s="3629" t="s">
        <v>8073</v>
      </c>
      <c r="F338" s="3629" t="s">
        <v>8750</v>
      </c>
      <c r="G338" s="3643">
        <v>87.87</v>
      </c>
      <c r="H338" s="3649">
        <v>12050</v>
      </c>
      <c r="I338" s="3649">
        <f t="shared" si="5"/>
        <v>106</v>
      </c>
      <c r="J338" s="3644">
        <f ca="1">典型户型修正!T360</f>
        <v>146</v>
      </c>
    </row>
    <row r="339" spans="1:10" s="3633" customFormat="1">
      <c r="A339" s="3629">
        <v>335</v>
      </c>
      <c r="B339" s="3629" t="s">
        <v>8751</v>
      </c>
      <c r="C339" s="3629">
        <v>30</v>
      </c>
      <c r="D339" s="3629" t="s">
        <v>8072</v>
      </c>
      <c r="E339" s="3629" t="s">
        <v>8073</v>
      </c>
      <c r="F339" s="3629" t="s">
        <v>8752</v>
      </c>
      <c r="G339" s="3643">
        <v>87.87</v>
      </c>
      <c r="H339" s="3649">
        <v>12100</v>
      </c>
      <c r="I339" s="3649">
        <f t="shared" si="5"/>
        <v>106</v>
      </c>
      <c r="J339" s="3644">
        <f ca="1">典型户型修正!T361</f>
        <v>146</v>
      </c>
    </row>
    <row r="340" spans="1:10" s="3633" customFormat="1">
      <c r="A340" s="3629">
        <v>336</v>
      </c>
      <c r="B340" s="3629" t="s">
        <v>8753</v>
      </c>
      <c r="C340" s="3629">
        <v>30</v>
      </c>
      <c r="D340" s="3629" t="s">
        <v>8072</v>
      </c>
      <c r="E340" s="3629" t="s">
        <v>8073</v>
      </c>
      <c r="F340" s="3629" t="s">
        <v>8754</v>
      </c>
      <c r="G340" s="3643">
        <v>87.87</v>
      </c>
      <c r="H340" s="3649">
        <v>12100</v>
      </c>
      <c r="I340" s="3649">
        <f t="shared" si="5"/>
        <v>106</v>
      </c>
      <c r="J340" s="3644">
        <f ca="1">典型户型修正!T362</f>
        <v>146</v>
      </c>
    </row>
    <row r="341" spans="1:10" s="3633" customFormat="1">
      <c r="A341" s="3629">
        <v>337</v>
      </c>
      <c r="B341" s="3629" t="s">
        <v>8755</v>
      </c>
      <c r="C341" s="3629">
        <v>30</v>
      </c>
      <c r="D341" s="3629" t="s">
        <v>8072</v>
      </c>
      <c r="E341" s="3629" t="s">
        <v>8073</v>
      </c>
      <c r="F341" s="3629" t="s">
        <v>8756</v>
      </c>
      <c r="G341" s="3643">
        <v>87.87</v>
      </c>
      <c r="H341" s="3649">
        <v>12100</v>
      </c>
      <c r="I341" s="3649">
        <f t="shared" si="5"/>
        <v>106</v>
      </c>
      <c r="J341" s="3644">
        <f ca="1">典型户型修正!T363</f>
        <v>146</v>
      </c>
    </row>
    <row r="342" spans="1:10" s="3633" customFormat="1">
      <c r="A342" s="3629">
        <v>338</v>
      </c>
      <c r="B342" s="3629" t="s">
        <v>8757</v>
      </c>
      <c r="C342" s="3629">
        <v>30</v>
      </c>
      <c r="D342" s="3629" t="s">
        <v>8072</v>
      </c>
      <c r="E342" s="3629" t="s">
        <v>8073</v>
      </c>
      <c r="F342" s="3629" t="s">
        <v>8758</v>
      </c>
      <c r="G342" s="3643">
        <v>87.87</v>
      </c>
      <c r="H342" s="3649">
        <v>12130</v>
      </c>
      <c r="I342" s="3649">
        <f t="shared" si="5"/>
        <v>107</v>
      </c>
      <c r="J342" s="3644">
        <f ca="1">典型户型修正!T364</f>
        <v>146</v>
      </c>
    </row>
    <row r="343" spans="1:10" s="3633" customFormat="1">
      <c r="A343" s="3629">
        <v>339</v>
      </c>
      <c r="B343" s="3629" t="s">
        <v>8759</v>
      </c>
      <c r="C343" s="3629">
        <v>30</v>
      </c>
      <c r="D343" s="3629" t="s">
        <v>8072</v>
      </c>
      <c r="E343" s="3629" t="s">
        <v>8073</v>
      </c>
      <c r="F343" s="3629" t="s">
        <v>8760</v>
      </c>
      <c r="G343" s="3643">
        <v>87.87</v>
      </c>
      <c r="H343" s="3649">
        <v>12130</v>
      </c>
      <c r="I343" s="3649">
        <f t="shared" si="5"/>
        <v>107</v>
      </c>
      <c r="J343" s="3644">
        <f ca="1">典型户型修正!T365</f>
        <v>146</v>
      </c>
    </row>
    <row r="344" spans="1:10" s="3633" customFormat="1">
      <c r="A344" s="3629">
        <v>340</v>
      </c>
      <c r="B344" s="3629" t="s">
        <v>8761</v>
      </c>
      <c r="C344" s="3629">
        <v>30</v>
      </c>
      <c r="D344" s="3629" t="s">
        <v>8072</v>
      </c>
      <c r="E344" s="3629" t="s">
        <v>8073</v>
      </c>
      <c r="F344" s="3629" t="s">
        <v>8762</v>
      </c>
      <c r="G344" s="3643">
        <v>87.87</v>
      </c>
      <c r="H344" s="3649">
        <v>12160</v>
      </c>
      <c r="I344" s="3649">
        <f t="shared" si="5"/>
        <v>107</v>
      </c>
      <c r="J344" s="3644">
        <f ca="1">典型户型修正!T366</f>
        <v>146</v>
      </c>
    </row>
    <row r="345" spans="1:10" s="3633" customFormat="1">
      <c r="A345" s="3629">
        <v>341</v>
      </c>
      <c r="B345" s="3629" t="s">
        <v>8763</v>
      </c>
      <c r="C345" s="3629">
        <v>30</v>
      </c>
      <c r="D345" s="3629" t="s">
        <v>8072</v>
      </c>
      <c r="E345" s="3629" t="s">
        <v>8073</v>
      </c>
      <c r="F345" s="3629" t="s">
        <v>8764</v>
      </c>
      <c r="G345" s="3643">
        <v>87.87</v>
      </c>
      <c r="H345" s="3649">
        <v>12160</v>
      </c>
      <c r="I345" s="3649">
        <f t="shared" si="5"/>
        <v>107</v>
      </c>
      <c r="J345" s="3644">
        <f ca="1">典型户型修正!T367</f>
        <v>146</v>
      </c>
    </row>
    <row r="346" spans="1:10" s="3633" customFormat="1">
      <c r="A346" s="3629">
        <v>342</v>
      </c>
      <c r="B346" s="3629" t="s">
        <v>8765</v>
      </c>
      <c r="C346" s="3629">
        <v>30</v>
      </c>
      <c r="D346" s="3629" t="s">
        <v>8072</v>
      </c>
      <c r="E346" s="3629" t="s">
        <v>8073</v>
      </c>
      <c r="F346" s="3629" t="s">
        <v>8766</v>
      </c>
      <c r="G346" s="3643">
        <v>87.87</v>
      </c>
      <c r="H346" s="3649">
        <v>12160</v>
      </c>
      <c r="I346" s="3649">
        <f t="shared" si="5"/>
        <v>107</v>
      </c>
      <c r="J346" s="3644">
        <f ca="1">典型户型修正!T368</f>
        <v>146</v>
      </c>
    </row>
    <row r="347" spans="1:10" s="3633" customFormat="1">
      <c r="A347" s="3629">
        <v>343</v>
      </c>
      <c r="B347" s="3629" t="s">
        <v>8767</v>
      </c>
      <c r="C347" s="3629">
        <v>30</v>
      </c>
      <c r="D347" s="3629" t="s">
        <v>8072</v>
      </c>
      <c r="E347" s="3629" t="s">
        <v>8073</v>
      </c>
      <c r="F347" s="3629" t="s">
        <v>8768</v>
      </c>
      <c r="G347" s="3643">
        <v>87.87</v>
      </c>
      <c r="H347" s="3649">
        <v>12160</v>
      </c>
      <c r="I347" s="3649">
        <f t="shared" si="5"/>
        <v>107</v>
      </c>
      <c r="J347" s="3644">
        <f ca="1">典型户型修正!T369</f>
        <v>146</v>
      </c>
    </row>
    <row r="348" spans="1:10" s="3633" customFormat="1">
      <c r="A348" s="3629">
        <v>344</v>
      </c>
      <c r="B348" s="3629" t="s">
        <v>8769</v>
      </c>
      <c r="C348" s="3629">
        <v>30</v>
      </c>
      <c r="D348" s="3629" t="s">
        <v>8072</v>
      </c>
      <c r="E348" s="3629" t="s">
        <v>8073</v>
      </c>
      <c r="F348" s="3629" t="s">
        <v>8770</v>
      </c>
      <c r="G348" s="3643">
        <v>87.87</v>
      </c>
      <c r="H348" s="3649">
        <v>12190</v>
      </c>
      <c r="I348" s="3649">
        <f t="shared" si="5"/>
        <v>107</v>
      </c>
      <c r="J348" s="3644">
        <f ca="1">典型户型修正!T370</f>
        <v>143</v>
      </c>
    </row>
    <row r="349" spans="1:10" s="3633" customFormat="1">
      <c r="A349" s="3629">
        <v>345</v>
      </c>
      <c r="B349" s="3629" t="s">
        <v>8771</v>
      </c>
      <c r="C349" s="3629">
        <v>30</v>
      </c>
      <c r="D349" s="3629" t="s">
        <v>8072</v>
      </c>
      <c r="E349" s="3629" t="s">
        <v>8073</v>
      </c>
      <c r="F349" s="3629" t="s">
        <v>8772</v>
      </c>
      <c r="G349" s="3643">
        <v>87.87</v>
      </c>
      <c r="H349" s="3649">
        <v>12190</v>
      </c>
      <c r="I349" s="3649">
        <f t="shared" si="5"/>
        <v>107</v>
      </c>
      <c r="J349" s="3644">
        <f ca="1">典型户型修正!T371</f>
        <v>143</v>
      </c>
    </row>
    <row r="350" spans="1:10" s="3633" customFormat="1">
      <c r="A350" s="3629">
        <v>346</v>
      </c>
      <c r="B350" s="3629" t="s">
        <v>8773</v>
      </c>
      <c r="C350" s="3629">
        <v>30</v>
      </c>
      <c r="D350" s="3629" t="s">
        <v>8072</v>
      </c>
      <c r="E350" s="3629" t="s">
        <v>8073</v>
      </c>
      <c r="F350" s="3629" t="s">
        <v>8774</v>
      </c>
      <c r="G350" s="3643">
        <v>87.87</v>
      </c>
      <c r="H350" s="3649">
        <v>12190</v>
      </c>
      <c r="I350" s="3649">
        <f t="shared" si="5"/>
        <v>107</v>
      </c>
      <c r="J350" s="3644">
        <f ca="1">典型户型修正!T372</f>
        <v>143</v>
      </c>
    </row>
    <row r="351" spans="1:10" s="3633" customFormat="1">
      <c r="A351" s="3629">
        <v>347</v>
      </c>
      <c r="B351" s="3629" t="s">
        <v>8775</v>
      </c>
      <c r="C351" s="3629">
        <v>30</v>
      </c>
      <c r="D351" s="3629" t="s">
        <v>8072</v>
      </c>
      <c r="E351" s="3629" t="s">
        <v>8073</v>
      </c>
      <c r="F351" s="3629" t="s">
        <v>8776</v>
      </c>
      <c r="G351" s="3643">
        <v>87.87</v>
      </c>
      <c r="H351" s="3649">
        <v>12190</v>
      </c>
      <c r="I351" s="3649">
        <f t="shared" si="5"/>
        <v>107</v>
      </c>
      <c r="J351" s="3644">
        <f ca="1">典型户型修正!T373</f>
        <v>143</v>
      </c>
    </row>
    <row r="352" spans="1:10" s="3633" customFormat="1">
      <c r="A352" s="3629">
        <v>348</v>
      </c>
      <c r="B352" s="3629" t="s">
        <v>8777</v>
      </c>
      <c r="C352" s="3629">
        <v>30</v>
      </c>
      <c r="D352" s="3629" t="s">
        <v>8072</v>
      </c>
      <c r="E352" s="3629" t="s">
        <v>8073</v>
      </c>
      <c r="F352" s="3629" t="s">
        <v>8778</v>
      </c>
      <c r="G352" s="3643">
        <v>87.87</v>
      </c>
      <c r="H352" s="3649">
        <v>12190</v>
      </c>
      <c r="I352" s="3649">
        <f t="shared" si="5"/>
        <v>107</v>
      </c>
      <c r="J352" s="3644">
        <f ca="1">典型户型修正!T374</f>
        <v>143</v>
      </c>
    </row>
    <row r="353" spans="1:10" s="3633" customFormat="1">
      <c r="A353" s="3629">
        <v>349</v>
      </c>
      <c r="B353" s="3629" t="s">
        <v>8779</v>
      </c>
      <c r="C353" s="3629">
        <v>30</v>
      </c>
      <c r="D353" s="3629" t="s">
        <v>8072</v>
      </c>
      <c r="E353" s="3629" t="s">
        <v>8073</v>
      </c>
      <c r="F353" s="3629" t="s">
        <v>8780</v>
      </c>
      <c r="G353" s="3643">
        <v>87.87</v>
      </c>
      <c r="H353" s="3649">
        <v>12190</v>
      </c>
      <c r="I353" s="3649">
        <f t="shared" si="5"/>
        <v>107</v>
      </c>
      <c r="J353" s="3644">
        <f ca="1">典型户型修正!T375</f>
        <v>143</v>
      </c>
    </row>
    <row r="354" spans="1:10" s="3633" customFormat="1">
      <c r="A354" s="3629">
        <v>350</v>
      </c>
      <c r="B354" s="3629" t="s">
        <v>8781</v>
      </c>
      <c r="C354" s="3629">
        <v>30</v>
      </c>
      <c r="D354" s="3629" t="s">
        <v>8072</v>
      </c>
      <c r="E354" s="3629" t="s">
        <v>8073</v>
      </c>
      <c r="F354" s="3629" t="s">
        <v>8782</v>
      </c>
      <c r="G354" s="3643">
        <v>87.87</v>
      </c>
      <c r="H354" s="3649">
        <v>12190</v>
      </c>
      <c r="I354" s="3649">
        <f t="shared" si="5"/>
        <v>107</v>
      </c>
      <c r="J354" s="3644">
        <f ca="1">典型户型修正!T376</f>
        <v>143</v>
      </c>
    </row>
    <row r="355" spans="1:10" s="3633" customFormat="1">
      <c r="A355" s="3629">
        <v>351</v>
      </c>
      <c r="B355" s="3629" t="s">
        <v>8783</v>
      </c>
      <c r="C355" s="3629">
        <v>30</v>
      </c>
      <c r="D355" s="3629" t="s">
        <v>8072</v>
      </c>
      <c r="E355" s="3629" t="s">
        <v>8073</v>
      </c>
      <c r="F355" s="3629" t="s">
        <v>8784</v>
      </c>
      <c r="G355" s="3643">
        <v>87.87</v>
      </c>
      <c r="H355" s="3649">
        <v>12190</v>
      </c>
      <c r="I355" s="3649">
        <f t="shared" si="5"/>
        <v>107</v>
      </c>
      <c r="J355" s="3644">
        <f ca="1">典型户型修正!T377</f>
        <v>143</v>
      </c>
    </row>
    <row r="356" spans="1:10" s="3633" customFormat="1">
      <c r="A356" s="3629">
        <v>352</v>
      </c>
      <c r="B356" s="3629" t="s">
        <v>8785</v>
      </c>
      <c r="C356" s="3629">
        <v>30</v>
      </c>
      <c r="D356" s="3629" t="s">
        <v>8072</v>
      </c>
      <c r="E356" s="3629" t="s">
        <v>8073</v>
      </c>
      <c r="F356" s="3629" t="s">
        <v>8786</v>
      </c>
      <c r="G356" s="3643">
        <v>87.87</v>
      </c>
      <c r="H356" s="3649">
        <v>12190</v>
      </c>
      <c r="I356" s="3649">
        <f t="shared" si="5"/>
        <v>107</v>
      </c>
      <c r="J356" s="3644">
        <f ca="1">典型户型修正!T378</f>
        <v>143</v>
      </c>
    </row>
    <row r="357" spans="1:10" s="3633" customFormat="1">
      <c r="A357" s="3629">
        <v>353</v>
      </c>
      <c r="B357" s="3629" t="s">
        <v>8787</v>
      </c>
      <c r="C357" s="3629">
        <v>30</v>
      </c>
      <c r="D357" s="3629" t="s">
        <v>8072</v>
      </c>
      <c r="E357" s="3629" t="s">
        <v>8073</v>
      </c>
      <c r="F357" s="3629" t="s">
        <v>8788</v>
      </c>
      <c r="G357" s="3643">
        <v>88.11</v>
      </c>
      <c r="H357" s="3649">
        <v>11190</v>
      </c>
      <c r="I357" s="3649">
        <f t="shared" si="5"/>
        <v>99</v>
      </c>
      <c r="J357" s="3644">
        <f ca="1">典型户型修正!T379</f>
        <v>143</v>
      </c>
    </row>
    <row r="358" spans="1:10" s="3633" customFormat="1">
      <c r="A358" s="3629">
        <v>354</v>
      </c>
      <c r="B358" s="3629" t="s">
        <v>8789</v>
      </c>
      <c r="C358" s="3629">
        <v>30</v>
      </c>
      <c r="D358" s="3629" t="s">
        <v>8072</v>
      </c>
      <c r="E358" s="3629" t="s">
        <v>8087</v>
      </c>
      <c r="F358" s="3629" t="s">
        <v>8790</v>
      </c>
      <c r="G358" s="3643">
        <v>127.04</v>
      </c>
      <c r="H358" s="3649">
        <v>11100</v>
      </c>
      <c r="I358" s="3649">
        <f t="shared" si="5"/>
        <v>141</v>
      </c>
      <c r="J358" s="3644">
        <f ca="1">典型户型修正!T380</f>
        <v>200</v>
      </c>
    </row>
    <row r="359" spans="1:10" s="3633" customFormat="1">
      <c r="A359" s="3629">
        <v>355</v>
      </c>
      <c r="B359" s="3629" t="s">
        <v>8791</v>
      </c>
      <c r="C359" s="3629">
        <v>30</v>
      </c>
      <c r="D359" s="3629" t="s">
        <v>8072</v>
      </c>
      <c r="E359" s="3629" t="s">
        <v>8087</v>
      </c>
      <c r="F359" s="3629" t="s">
        <v>8792</v>
      </c>
      <c r="G359" s="3643">
        <v>127.04</v>
      </c>
      <c r="H359" s="3649">
        <v>11300</v>
      </c>
      <c r="I359" s="3649">
        <f t="shared" si="5"/>
        <v>144</v>
      </c>
      <c r="J359" s="3644">
        <f ca="1">典型户型修正!T381</f>
        <v>200</v>
      </c>
    </row>
    <row r="360" spans="1:10" s="3633" customFormat="1">
      <c r="A360" s="3629">
        <v>356</v>
      </c>
      <c r="B360" s="3629" t="s">
        <v>8793</v>
      </c>
      <c r="C360" s="3629">
        <v>30</v>
      </c>
      <c r="D360" s="3629" t="s">
        <v>8072</v>
      </c>
      <c r="E360" s="3629" t="s">
        <v>8087</v>
      </c>
      <c r="F360" s="3629" t="s">
        <v>8794</v>
      </c>
      <c r="G360" s="3643">
        <v>127.04</v>
      </c>
      <c r="H360" s="3649">
        <v>11750</v>
      </c>
      <c r="I360" s="3649">
        <f t="shared" si="5"/>
        <v>149</v>
      </c>
      <c r="J360" s="3644">
        <f ca="1">典型户型修正!T382</f>
        <v>200</v>
      </c>
    </row>
    <row r="361" spans="1:10" s="3633" customFormat="1">
      <c r="A361" s="3629">
        <v>357</v>
      </c>
      <c r="B361" s="3629" t="s">
        <v>8795</v>
      </c>
      <c r="C361" s="3629">
        <v>30</v>
      </c>
      <c r="D361" s="3629" t="s">
        <v>8072</v>
      </c>
      <c r="E361" s="3629" t="s">
        <v>8087</v>
      </c>
      <c r="F361" s="3629" t="s">
        <v>8796</v>
      </c>
      <c r="G361" s="3643">
        <v>127.04</v>
      </c>
      <c r="H361" s="3649">
        <v>12100</v>
      </c>
      <c r="I361" s="3649">
        <f t="shared" si="5"/>
        <v>154</v>
      </c>
      <c r="J361" s="3644">
        <f ca="1">典型户型修正!T383</f>
        <v>200</v>
      </c>
    </row>
    <row r="362" spans="1:10" s="3633" customFormat="1">
      <c r="A362" s="3629">
        <v>358</v>
      </c>
      <c r="B362" s="3629" t="s">
        <v>8797</v>
      </c>
      <c r="C362" s="3629">
        <v>30</v>
      </c>
      <c r="D362" s="3629" t="s">
        <v>8072</v>
      </c>
      <c r="E362" s="3629" t="s">
        <v>8087</v>
      </c>
      <c r="F362" s="3629" t="s">
        <v>8798</v>
      </c>
      <c r="G362" s="3643">
        <v>127.04</v>
      </c>
      <c r="H362" s="3649">
        <v>12150</v>
      </c>
      <c r="I362" s="3649">
        <f t="shared" si="5"/>
        <v>154</v>
      </c>
      <c r="J362" s="3644">
        <f ca="1">典型户型修正!T384</f>
        <v>200</v>
      </c>
    </row>
    <row r="363" spans="1:10" s="3633" customFormat="1">
      <c r="A363" s="3629">
        <v>359</v>
      </c>
      <c r="B363" s="3629" t="s">
        <v>8799</v>
      </c>
      <c r="C363" s="3629">
        <v>30</v>
      </c>
      <c r="D363" s="3629" t="s">
        <v>8072</v>
      </c>
      <c r="E363" s="3629" t="s">
        <v>8087</v>
      </c>
      <c r="F363" s="3629" t="s">
        <v>8800</v>
      </c>
      <c r="G363" s="3643">
        <v>127.04</v>
      </c>
      <c r="H363" s="3649">
        <v>11200</v>
      </c>
      <c r="I363" s="3649">
        <f t="shared" si="5"/>
        <v>142</v>
      </c>
      <c r="J363" s="3644">
        <f ca="1">典型户型修正!T385</f>
        <v>200</v>
      </c>
    </row>
    <row r="364" spans="1:10" s="3633" customFormat="1">
      <c r="A364" s="3629">
        <v>360</v>
      </c>
      <c r="B364" s="3629" t="s">
        <v>8801</v>
      </c>
      <c r="C364" s="3629">
        <v>30</v>
      </c>
      <c r="D364" s="3629" t="s">
        <v>8072</v>
      </c>
      <c r="E364" s="3629" t="s">
        <v>8087</v>
      </c>
      <c r="F364" s="3629" t="s">
        <v>8802</v>
      </c>
      <c r="G364" s="3643">
        <v>127.04</v>
      </c>
      <c r="H364" s="3649">
        <v>12250</v>
      </c>
      <c r="I364" s="3649">
        <f t="shared" si="5"/>
        <v>156</v>
      </c>
      <c r="J364" s="3644">
        <f ca="1">典型户型修正!T386</f>
        <v>200</v>
      </c>
    </row>
    <row r="365" spans="1:10" s="3633" customFormat="1">
      <c r="A365" s="3629">
        <v>361</v>
      </c>
      <c r="B365" s="3629" t="s">
        <v>8803</v>
      </c>
      <c r="C365" s="3629">
        <v>30</v>
      </c>
      <c r="D365" s="3629" t="s">
        <v>8072</v>
      </c>
      <c r="E365" s="3629" t="s">
        <v>8087</v>
      </c>
      <c r="F365" s="3629" t="s">
        <v>8804</v>
      </c>
      <c r="G365" s="3643">
        <v>127.04</v>
      </c>
      <c r="H365" s="3649">
        <v>12300</v>
      </c>
      <c r="I365" s="3649">
        <f t="shared" si="5"/>
        <v>156</v>
      </c>
      <c r="J365" s="3644">
        <f ca="1">典型户型修正!T387</f>
        <v>200</v>
      </c>
    </row>
    <row r="366" spans="1:10" s="3633" customFormat="1">
      <c r="A366" s="3629">
        <v>362</v>
      </c>
      <c r="B366" s="3629" t="s">
        <v>8805</v>
      </c>
      <c r="C366" s="3629">
        <v>30</v>
      </c>
      <c r="D366" s="3629" t="s">
        <v>8072</v>
      </c>
      <c r="E366" s="3629" t="s">
        <v>8087</v>
      </c>
      <c r="F366" s="3629" t="s">
        <v>8806</v>
      </c>
      <c r="G366" s="3643">
        <v>127.04</v>
      </c>
      <c r="H366" s="3649">
        <v>12350</v>
      </c>
      <c r="I366" s="3649">
        <f t="shared" si="5"/>
        <v>157</v>
      </c>
      <c r="J366" s="3644">
        <f ca="1">典型户型修正!T388</f>
        <v>200</v>
      </c>
    </row>
    <row r="367" spans="1:10" s="3633" customFormat="1">
      <c r="A367" s="3629">
        <v>363</v>
      </c>
      <c r="B367" s="3629" t="s">
        <v>8807</v>
      </c>
      <c r="C367" s="3629">
        <v>30</v>
      </c>
      <c r="D367" s="3629" t="s">
        <v>8072</v>
      </c>
      <c r="E367" s="3629" t="s">
        <v>8087</v>
      </c>
      <c r="F367" s="3629" t="s">
        <v>8808</v>
      </c>
      <c r="G367" s="3643">
        <v>127.04</v>
      </c>
      <c r="H367" s="3649">
        <v>12400</v>
      </c>
      <c r="I367" s="3649">
        <f t="shared" si="5"/>
        <v>158</v>
      </c>
      <c r="J367" s="3644">
        <f ca="1">典型户型修正!T389</f>
        <v>208</v>
      </c>
    </row>
    <row r="368" spans="1:10" s="3633" customFormat="1">
      <c r="A368" s="3629">
        <v>364</v>
      </c>
      <c r="B368" s="3629" t="s">
        <v>8809</v>
      </c>
      <c r="C368" s="3629">
        <v>30</v>
      </c>
      <c r="D368" s="3629" t="s">
        <v>8072</v>
      </c>
      <c r="E368" s="3629" t="s">
        <v>8087</v>
      </c>
      <c r="F368" s="3629" t="s">
        <v>8810</v>
      </c>
      <c r="G368" s="3643">
        <v>127.04</v>
      </c>
      <c r="H368" s="3649">
        <v>12450</v>
      </c>
      <c r="I368" s="3649">
        <f t="shared" si="5"/>
        <v>158</v>
      </c>
      <c r="J368" s="3644">
        <f ca="1">典型户型修正!T390</f>
        <v>208</v>
      </c>
    </row>
    <row r="369" spans="1:10" s="3633" customFormat="1">
      <c r="A369" s="3629">
        <v>365</v>
      </c>
      <c r="B369" s="3629" t="s">
        <v>8811</v>
      </c>
      <c r="C369" s="3629">
        <v>30</v>
      </c>
      <c r="D369" s="3629" t="s">
        <v>8072</v>
      </c>
      <c r="E369" s="3629" t="s">
        <v>8087</v>
      </c>
      <c r="F369" s="3629" t="s">
        <v>8812</v>
      </c>
      <c r="G369" s="3643">
        <v>127.04</v>
      </c>
      <c r="H369" s="3649">
        <v>12450</v>
      </c>
      <c r="I369" s="3649">
        <f t="shared" si="5"/>
        <v>158</v>
      </c>
      <c r="J369" s="3644">
        <f ca="1">典型户型修正!T391</f>
        <v>208</v>
      </c>
    </row>
    <row r="370" spans="1:10" s="3633" customFormat="1">
      <c r="A370" s="3629">
        <v>366</v>
      </c>
      <c r="B370" s="3629" t="s">
        <v>8813</v>
      </c>
      <c r="C370" s="3629">
        <v>30</v>
      </c>
      <c r="D370" s="3629" t="s">
        <v>8072</v>
      </c>
      <c r="E370" s="3629" t="s">
        <v>8087</v>
      </c>
      <c r="F370" s="3629" t="s">
        <v>8814</v>
      </c>
      <c r="G370" s="3643">
        <v>127.04</v>
      </c>
      <c r="H370" s="3649">
        <v>12450</v>
      </c>
      <c r="I370" s="3649">
        <f t="shared" si="5"/>
        <v>158</v>
      </c>
      <c r="J370" s="3644">
        <f ca="1">典型户型修正!T392</f>
        <v>208</v>
      </c>
    </row>
    <row r="371" spans="1:10" s="3633" customFormat="1">
      <c r="A371" s="3629">
        <v>367</v>
      </c>
      <c r="B371" s="3629" t="s">
        <v>8815</v>
      </c>
      <c r="C371" s="3629">
        <v>30</v>
      </c>
      <c r="D371" s="3629" t="s">
        <v>8072</v>
      </c>
      <c r="E371" s="3629" t="s">
        <v>8087</v>
      </c>
      <c r="F371" s="3629" t="s">
        <v>8816</v>
      </c>
      <c r="G371" s="3643">
        <v>127.04</v>
      </c>
      <c r="H371" s="3649">
        <v>12480</v>
      </c>
      <c r="I371" s="3649">
        <f t="shared" si="5"/>
        <v>159</v>
      </c>
      <c r="J371" s="3644">
        <f ca="1">典型户型修正!T393</f>
        <v>208</v>
      </c>
    </row>
    <row r="372" spans="1:10" s="3633" customFormat="1">
      <c r="A372" s="3629">
        <v>368</v>
      </c>
      <c r="B372" s="3629" t="s">
        <v>8817</v>
      </c>
      <c r="C372" s="3629">
        <v>30</v>
      </c>
      <c r="D372" s="3629" t="s">
        <v>8072</v>
      </c>
      <c r="E372" s="3629" t="s">
        <v>8087</v>
      </c>
      <c r="F372" s="3629" t="s">
        <v>8818</v>
      </c>
      <c r="G372" s="3643">
        <v>127.04</v>
      </c>
      <c r="H372" s="3649">
        <v>12480</v>
      </c>
      <c r="I372" s="3649">
        <f t="shared" si="5"/>
        <v>159</v>
      </c>
      <c r="J372" s="3644">
        <f ca="1">典型户型修正!T394</f>
        <v>208</v>
      </c>
    </row>
    <row r="373" spans="1:10" s="3633" customFormat="1">
      <c r="A373" s="3629">
        <v>369</v>
      </c>
      <c r="B373" s="3629" t="s">
        <v>8819</v>
      </c>
      <c r="C373" s="3629">
        <v>30</v>
      </c>
      <c r="D373" s="3629" t="s">
        <v>8072</v>
      </c>
      <c r="E373" s="3629" t="s">
        <v>8087</v>
      </c>
      <c r="F373" s="3629" t="s">
        <v>8820</v>
      </c>
      <c r="G373" s="3643">
        <v>127.04</v>
      </c>
      <c r="H373" s="3649">
        <v>12510</v>
      </c>
      <c r="I373" s="3649">
        <f t="shared" si="5"/>
        <v>159</v>
      </c>
      <c r="J373" s="3644">
        <f ca="1">典型户型修正!T395</f>
        <v>208</v>
      </c>
    </row>
    <row r="374" spans="1:10" s="3633" customFormat="1">
      <c r="A374" s="3629">
        <v>370</v>
      </c>
      <c r="B374" s="3629" t="s">
        <v>8821</v>
      </c>
      <c r="C374" s="3629">
        <v>30</v>
      </c>
      <c r="D374" s="3629" t="s">
        <v>8072</v>
      </c>
      <c r="E374" s="3629" t="s">
        <v>8087</v>
      </c>
      <c r="F374" s="3629" t="s">
        <v>8822</v>
      </c>
      <c r="G374" s="3643">
        <v>127.04</v>
      </c>
      <c r="H374" s="3649">
        <v>12510</v>
      </c>
      <c r="I374" s="3649">
        <f t="shared" si="5"/>
        <v>159</v>
      </c>
      <c r="J374" s="3644">
        <f ca="1">典型户型修正!T396</f>
        <v>208</v>
      </c>
    </row>
    <row r="375" spans="1:10" s="3633" customFormat="1">
      <c r="A375" s="3629">
        <v>371</v>
      </c>
      <c r="B375" s="3629" t="s">
        <v>8823</v>
      </c>
      <c r="C375" s="3629">
        <v>30</v>
      </c>
      <c r="D375" s="3629" t="s">
        <v>8072</v>
      </c>
      <c r="E375" s="3629" t="s">
        <v>8087</v>
      </c>
      <c r="F375" s="3629" t="s">
        <v>8824</v>
      </c>
      <c r="G375" s="3643">
        <v>127.04</v>
      </c>
      <c r="H375" s="3649">
        <v>12510</v>
      </c>
      <c r="I375" s="3649">
        <f t="shared" si="5"/>
        <v>159</v>
      </c>
      <c r="J375" s="3644">
        <f ca="1">典型户型修正!T397</f>
        <v>208</v>
      </c>
    </row>
    <row r="376" spans="1:10" s="3633" customFormat="1">
      <c r="A376" s="3629">
        <v>372</v>
      </c>
      <c r="B376" s="3629" t="s">
        <v>8825</v>
      </c>
      <c r="C376" s="3629">
        <v>30</v>
      </c>
      <c r="D376" s="3629" t="s">
        <v>8072</v>
      </c>
      <c r="E376" s="3629" t="s">
        <v>8087</v>
      </c>
      <c r="F376" s="3629" t="s">
        <v>8826</v>
      </c>
      <c r="G376" s="3643">
        <v>127.04</v>
      </c>
      <c r="H376" s="3649">
        <v>12510</v>
      </c>
      <c r="I376" s="3649">
        <f t="shared" si="5"/>
        <v>159</v>
      </c>
      <c r="J376" s="3644">
        <f ca="1">典型户型修正!T398</f>
        <v>208</v>
      </c>
    </row>
    <row r="377" spans="1:10" s="3633" customFormat="1">
      <c r="A377" s="3629">
        <v>373</v>
      </c>
      <c r="B377" s="3629" t="s">
        <v>8827</v>
      </c>
      <c r="C377" s="3629">
        <v>30</v>
      </c>
      <c r="D377" s="3629" t="s">
        <v>8072</v>
      </c>
      <c r="E377" s="3629" t="s">
        <v>8087</v>
      </c>
      <c r="F377" s="3629" t="s">
        <v>8828</v>
      </c>
      <c r="G377" s="3643">
        <v>127.04</v>
      </c>
      <c r="H377" s="3649">
        <v>12450</v>
      </c>
      <c r="I377" s="3649">
        <f t="shared" si="5"/>
        <v>158</v>
      </c>
      <c r="J377" s="3644">
        <f ca="1">典型户型修正!T399</f>
        <v>204</v>
      </c>
    </row>
    <row r="378" spans="1:10" s="3633" customFormat="1">
      <c r="A378" s="3629">
        <v>374</v>
      </c>
      <c r="B378" s="3629" t="s">
        <v>8829</v>
      </c>
      <c r="C378" s="3629">
        <v>30</v>
      </c>
      <c r="D378" s="3629" t="s">
        <v>8072</v>
      </c>
      <c r="E378" s="3629" t="s">
        <v>8087</v>
      </c>
      <c r="F378" s="3629" t="s">
        <v>8830</v>
      </c>
      <c r="G378" s="3643">
        <v>127.04</v>
      </c>
      <c r="H378" s="3649">
        <v>12540</v>
      </c>
      <c r="I378" s="3649">
        <f t="shared" si="5"/>
        <v>159</v>
      </c>
      <c r="J378" s="3644">
        <f ca="1">典型户型修正!T400</f>
        <v>204</v>
      </c>
    </row>
    <row r="379" spans="1:10" s="3633" customFormat="1">
      <c r="A379" s="3629">
        <v>375</v>
      </c>
      <c r="B379" s="3629" t="s">
        <v>8831</v>
      </c>
      <c r="C379" s="3629">
        <v>30</v>
      </c>
      <c r="D379" s="3629" t="s">
        <v>8072</v>
      </c>
      <c r="E379" s="3629" t="s">
        <v>8087</v>
      </c>
      <c r="F379" s="3629" t="s">
        <v>8832</v>
      </c>
      <c r="G379" s="3643">
        <v>127.04</v>
      </c>
      <c r="H379" s="3649">
        <v>12540</v>
      </c>
      <c r="I379" s="3649">
        <f t="shared" si="5"/>
        <v>159</v>
      </c>
      <c r="J379" s="3644">
        <f ca="1">典型户型修正!T401</f>
        <v>204</v>
      </c>
    </row>
    <row r="380" spans="1:10" s="3633" customFormat="1">
      <c r="A380" s="3629">
        <v>376</v>
      </c>
      <c r="B380" s="3629" t="s">
        <v>8833</v>
      </c>
      <c r="C380" s="3629">
        <v>30</v>
      </c>
      <c r="D380" s="3629" t="s">
        <v>8072</v>
      </c>
      <c r="E380" s="3629" t="s">
        <v>8087</v>
      </c>
      <c r="F380" s="3629" t="s">
        <v>8834</v>
      </c>
      <c r="G380" s="3643">
        <v>127.04</v>
      </c>
      <c r="H380" s="3649">
        <v>12540</v>
      </c>
      <c r="I380" s="3649">
        <f t="shared" si="5"/>
        <v>159</v>
      </c>
      <c r="J380" s="3644">
        <f ca="1">典型户型修正!T402</f>
        <v>204</v>
      </c>
    </row>
    <row r="381" spans="1:10" s="3633" customFormat="1">
      <c r="A381" s="3629">
        <v>377</v>
      </c>
      <c r="B381" s="3629" t="s">
        <v>8835</v>
      </c>
      <c r="C381" s="3629">
        <v>30</v>
      </c>
      <c r="D381" s="3629" t="s">
        <v>8072</v>
      </c>
      <c r="E381" s="3629" t="s">
        <v>8087</v>
      </c>
      <c r="F381" s="3629" t="s">
        <v>8836</v>
      </c>
      <c r="G381" s="3643">
        <v>127.04</v>
      </c>
      <c r="H381" s="3649">
        <v>12540</v>
      </c>
      <c r="I381" s="3649">
        <f t="shared" si="5"/>
        <v>159</v>
      </c>
      <c r="J381" s="3644">
        <f ca="1">典型户型修正!T403</f>
        <v>204</v>
      </c>
    </row>
    <row r="382" spans="1:10" s="3633" customFormat="1">
      <c r="A382" s="3629">
        <v>378</v>
      </c>
      <c r="B382" s="3629" t="s">
        <v>8837</v>
      </c>
      <c r="C382" s="3629">
        <v>30</v>
      </c>
      <c r="D382" s="3629" t="s">
        <v>8072</v>
      </c>
      <c r="E382" s="3629" t="s">
        <v>8087</v>
      </c>
      <c r="F382" s="3629" t="s">
        <v>8838</v>
      </c>
      <c r="G382" s="3643">
        <v>127.04</v>
      </c>
      <c r="H382" s="3649">
        <v>12540</v>
      </c>
      <c r="I382" s="3649">
        <f t="shared" si="5"/>
        <v>159</v>
      </c>
      <c r="J382" s="3644">
        <f ca="1">典型户型修正!T404</f>
        <v>204</v>
      </c>
    </row>
    <row r="383" spans="1:10" s="3633" customFormat="1">
      <c r="A383" s="3629">
        <v>379</v>
      </c>
      <c r="B383" s="3629" t="s">
        <v>8839</v>
      </c>
      <c r="C383" s="3629">
        <v>30</v>
      </c>
      <c r="D383" s="3629" t="s">
        <v>8072</v>
      </c>
      <c r="E383" s="3629" t="s">
        <v>8087</v>
      </c>
      <c r="F383" s="3629" t="s">
        <v>8840</v>
      </c>
      <c r="G383" s="3643">
        <v>127.04</v>
      </c>
      <c r="H383" s="3649">
        <v>12540</v>
      </c>
      <c r="I383" s="3649">
        <f t="shared" si="5"/>
        <v>159</v>
      </c>
      <c r="J383" s="3644">
        <f ca="1">典型户型修正!T405</f>
        <v>204</v>
      </c>
    </row>
    <row r="384" spans="1:10" s="3633" customFormat="1">
      <c r="A384" s="3629">
        <v>380</v>
      </c>
      <c r="B384" s="3629" t="s">
        <v>8841</v>
      </c>
      <c r="C384" s="3629">
        <v>30</v>
      </c>
      <c r="D384" s="3629" t="s">
        <v>8072</v>
      </c>
      <c r="E384" s="3629" t="s">
        <v>8087</v>
      </c>
      <c r="F384" s="3629" t="s">
        <v>8842</v>
      </c>
      <c r="G384" s="3643">
        <v>127.04</v>
      </c>
      <c r="H384" s="3649">
        <v>12540</v>
      </c>
      <c r="I384" s="3649">
        <f t="shared" si="5"/>
        <v>159</v>
      </c>
      <c r="J384" s="3644">
        <f ca="1">典型户型修正!T406</f>
        <v>204</v>
      </c>
    </row>
    <row r="385" spans="1:10" s="3633" customFormat="1">
      <c r="A385" s="3629">
        <v>381</v>
      </c>
      <c r="B385" s="3629" t="s">
        <v>8843</v>
      </c>
      <c r="C385" s="3629">
        <v>30</v>
      </c>
      <c r="D385" s="3629" t="s">
        <v>8072</v>
      </c>
      <c r="E385" s="3629" t="s">
        <v>8087</v>
      </c>
      <c r="F385" s="3629" t="s">
        <v>8844</v>
      </c>
      <c r="G385" s="3643">
        <v>127.04</v>
      </c>
      <c r="H385" s="3649">
        <v>12540</v>
      </c>
      <c r="I385" s="3649">
        <f t="shared" si="5"/>
        <v>159</v>
      </c>
      <c r="J385" s="3644">
        <f ca="1">典型户型修正!T407</f>
        <v>204</v>
      </c>
    </row>
    <row r="386" spans="1:10" s="3633" customFormat="1">
      <c r="A386" s="3629">
        <v>382</v>
      </c>
      <c r="B386" s="3629" t="s">
        <v>8845</v>
      </c>
      <c r="C386" s="3629">
        <v>30</v>
      </c>
      <c r="D386" s="3629" t="s">
        <v>8072</v>
      </c>
      <c r="E386" s="3629" t="s">
        <v>8087</v>
      </c>
      <c r="F386" s="3629" t="s">
        <v>8846</v>
      </c>
      <c r="G386" s="3643">
        <v>104.77</v>
      </c>
      <c r="H386" s="3649">
        <v>11540</v>
      </c>
      <c r="I386" s="3649">
        <f t="shared" si="5"/>
        <v>121</v>
      </c>
      <c r="J386" s="3644">
        <f ca="1">典型户型修正!T408</f>
        <v>174</v>
      </c>
    </row>
    <row r="387" spans="1:10" s="3633" customFormat="1">
      <c r="A387" s="3629">
        <v>383</v>
      </c>
      <c r="B387" s="3629" t="s">
        <v>8847</v>
      </c>
      <c r="C387" s="3629">
        <v>30</v>
      </c>
      <c r="D387" s="3629" t="s">
        <v>8072</v>
      </c>
      <c r="E387" s="3629" t="s">
        <v>8090</v>
      </c>
      <c r="F387" s="3629" t="s">
        <v>8848</v>
      </c>
      <c r="G387" s="3643">
        <v>137.88</v>
      </c>
      <c r="H387" s="3649">
        <v>11150</v>
      </c>
      <c r="I387" s="3649">
        <f t="shared" si="5"/>
        <v>154</v>
      </c>
      <c r="J387" s="3644">
        <f ca="1">典型户型修正!T409</f>
        <v>220</v>
      </c>
    </row>
    <row r="388" spans="1:10" s="3633" customFormat="1">
      <c r="A388" s="3629">
        <v>384</v>
      </c>
      <c r="B388" s="3629" t="s">
        <v>8849</v>
      </c>
      <c r="C388" s="3629">
        <v>30</v>
      </c>
      <c r="D388" s="3629" t="s">
        <v>8072</v>
      </c>
      <c r="E388" s="3629" t="s">
        <v>8090</v>
      </c>
      <c r="F388" s="3629" t="s">
        <v>8850</v>
      </c>
      <c r="G388" s="3643">
        <v>137.88</v>
      </c>
      <c r="H388" s="3649">
        <v>11350</v>
      </c>
      <c r="I388" s="3649">
        <f t="shared" si="5"/>
        <v>156</v>
      </c>
      <c r="J388" s="3644">
        <f ca="1">典型户型修正!T410</f>
        <v>220</v>
      </c>
    </row>
    <row r="389" spans="1:10" s="3633" customFormat="1">
      <c r="A389" s="3629">
        <v>385</v>
      </c>
      <c r="B389" s="3629" t="s">
        <v>8851</v>
      </c>
      <c r="C389" s="3629">
        <v>30</v>
      </c>
      <c r="D389" s="3629" t="s">
        <v>8072</v>
      </c>
      <c r="E389" s="3629" t="s">
        <v>8090</v>
      </c>
      <c r="F389" s="3629"/>
      <c r="G389" s="3643">
        <v>137.88</v>
      </c>
      <c r="H389" s="3649">
        <v>11800</v>
      </c>
      <c r="I389" s="3649">
        <f t="shared" si="5"/>
        <v>163</v>
      </c>
      <c r="J389" s="3644">
        <f ca="1">典型户型修正!T411</f>
        <v>220</v>
      </c>
    </row>
    <row r="390" spans="1:10" s="3633" customFormat="1">
      <c r="A390" s="3629">
        <v>386</v>
      </c>
      <c r="B390" s="3629" t="s">
        <v>8852</v>
      </c>
      <c r="C390" s="3629">
        <v>30</v>
      </c>
      <c r="D390" s="3629" t="s">
        <v>8072</v>
      </c>
      <c r="E390" s="3629" t="s">
        <v>8090</v>
      </c>
      <c r="F390" s="3629" t="s">
        <v>8853</v>
      </c>
      <c r="G390" s="3643">
        <v>137.88</v>
      </c>
      <c r="H390" s="3649">
        <v>12150</v>
      </c>
      <c r="I390" s="3649">
        <f t="shared" si="5"/>
        <v>168</v>
      </c>
      <c r="J390" s="3644">
        <f ca="1">典型户型修正!T412</f>
        <v>220</v>
      </c>
    </row>
    <row r="391" spans="1:10" s="3633" customFormat="1">
      <c r="A391" s="3629">
        <v>387</v>
      </c>
      <c r="B391" s="3629" t="s">
        <v>8854</v>
      </c>
      <c r="C391" s="3629">
        <v>30</v>
      </c>
      <c r="D391" s="3629" t="s">
        <v>8072</v>
      </c>
      <c r="E391" s="3629" t="s">
        <v>8090</v>
      </c>
      <c r="F391" s="3629" t="s">
        <v>8855</v>
      </c>
      <c r="G391" s="3643">
        <v>137.88</v>
      </c>
      <c r="H391" s="3649">
        <v>12200</v>
      </c>
      <c r="I391" s="3649">
        <f t="shared" ref="I391:I454" si="6">ROUND(G391*H391/10000,0)</f>
        <v>168</v>
      </c>
      <c r="J391" s="3644">
        <f ca="1">典型户型修正!T413</f>
        <v>220</v>
      </c>
    </row>
    <row r="392" spans="1:10" s="3633" customFormat="1">
      <c r="A392" s="3629">
        <v>388</v>
      </c>
      <c r="B392" s="3629" t="s">
        <v>8856</v>
      </c>
      <c r="C392" s="3629">
        <v>30</v>
      </c>
      <c r="D392" s="3629" t="s">
        <v>8072</v>
      </c>
      <c r="E392" s="3629" t="s">
        <v>8090</v>
      </c>
      <c r="F392" s="3629" t="s">
        <v>8857</v>
      </c>
      <c r="G392" s="3643">
        <v>137.88</v>
      </c>
      <c r="H392" s="3649">
        <v>12250</v>
      </c>
      <c r="I392" s="3649">
        <f t="shared" si="6"/>
        <v>169</v>
      </c>
      <c r="J392" s="3644">
        <f ca="1">典型户型修正!T414</f>
        <v>220</v>
      </c>
    </row>
    <row r="393" spans="1:10" s="3633" customFormat="1">
      <c r="A393" s="3629">
        <v>389</v>
      </c>
      <c r="B393" s="3629" t="s">
        <v>8858</v>
      </c>
      <c r="C393" s="3629">
        <v>30</v>
      </c>
      <c r="D393" s="3629" t="s">
        <v>8072</v>
      </c>
      <c r="E393" s="3629" t="s">
        <v>8090</v>
      </c>
      <c r="F393" s="3629" t="s">
        <v>8859</v>
      </c>
      <c r="G393" s="3643">
        <v>137.88</v>
      </c>
      <c r="H393" s="3649">
        <v>12300</v>
      </c>
      <c r="I393" s="3649">
        <f t="shared" si="6"/>
        <v>170</v>
      </c>
      <c r="J393" s="3644">
        <f ca="1">典型户型修正!T415</f>
        <v>220</v>
      </c>
    </row>
    <row r="394" spans="1:10" s="3633" customFormat="1">
      <c r="A394" s="3629">
        <v>390</v>
      </c>
      <c r="B394" s="3629" t="s">
        <v>8860</v>
      </c>
      <c r="C394" s="3629">
        <v>30</v>
      </c>
      <c r="D394" s="3629" t="s">
        <v>8072</v>
      </c>
      <c r="E394" s="3629" t="s">
        <v>8090</v>
      </c>
      <c r="F394" s="3629" t="s">
        <v>8861</v>
      </c>
      <c r="G394" s="3643">
        <v>137.88</v>
      </c>
      <c r="H394" s="3649">
        <v>12350</v>
      </c>
      <c r="I394" s="3649">
        <f t="shared" si="6"/>
        <v>170</v>
      </c>
      <c r="J394" s="3644">
        <f ca="1">典型户型修正!T416</f>
        <v>220</v>
      </c>
    </row>
    <row r="395" spans="1:10" s="3633" customFormat="1">
      <c r="A395" s="3629">
        <v>391</v>
      </c>
      <c r="B395" s="3629" t="s">
        <v>8862</v>
      </c>
      <c r="C395" s="3629">
        <v>30</v>
      </c>
      <c r="D395" s="3629" t="s">
        <v>8072</v>
      </c>
      <c r="E395" s="3629" t="s">
        <v>8090</v>
      </c>
      <c r="F395" s="3629" t="s">
        <v>8863</v>
      </c>
      <c r="G395" s="3643">
        <v>137.88</v>
      </c>
      <c r="H395" s="3649">
        <v>12400</v>
      </c>
      <c r="I395" s="3649">
        <f t="shared" si="6"/>
        <v>171</v>
      </c>
      <c r="J395" s="3644">
        <f ca="1">典型户型修正!T417</f>
        <v>220</v>
      </c>
    </row>
    <row r="396" spans="1:10" s="3633" customFormat="1">
      <c r="A396" s="3629">
        <v>392</v>
      </c>
      <c r="B396" s="3629" t="s">
        <v>8864</v>
      </c>
      <c r="C396" s="3629">
        <v>30</v>
      </c>
      <c r="D396" s="3629" t="s">
        <v>8072</v>
      </c>
      <c r="E396" s="3629" t="s">
        <v>8090</v>
      </c>
      <c r="F396" s="3629" t="s">
        <v>8865</v>
      </c>
      <c r="G396" s="3643">
        <v>137.88</v>
      </c>
      <c r="H396" s="3649">
        <v>12450</v>
      </c>
      <c r="I396" s="3649">
        <f t="shared" si="6"/>
        <v>172</v>
      </c>
      <c r="J396" s="3644">
        <f ca="1">典型户型修正!T418</f>
        <v>228</v>
      </c>
    </row>
    <row r="397" spans="1:10" s="3633" customFormat="1">
      <c r="A397" s="3629">
        <v>393</v>
      </c>
      <c r="B397" s="3629" t="s">
        <v>8866</v>
      </c>
      <c r="C397" s="3629">
        <v>30</v>
      </c>
      <c r="D397" s="3629" t="s">
        <v>8072</v>
      </c>
      <c r="E397" s="3629" t="s">
        <v>8090</v>
      </c>
      <c r="F397" s="3629" t="s">
        <v>8867</v>
      </c>
      <c r="G397" s="3643">
        <v>137.88</v>
      </c>
      <c r="H397" s="3649">
        <v>12500</v>
      </c>
      <c r="I397" s="3649">
        <f t="shared" si="6"/>
        <v>172</v>
      </c>
      <c r="J397" s="3644">
        <f ca="1">典型户型修正!T419</f>
        <v>228</v>
      </c>
    </row>
    <row r="398" spans="1:10" s="3633" customFormat="1">
      <c r="A398" s="3629">
        <v>394</v>
      </c>
      <c r="B398" s="3629" t="s">
        <v>8868</v>
      </c>
      <c r="C398" s="3629">
        <v>30</v>
      </c>
      <c r="D398" s="3629" t="s">
        <v>8072</v>
      </c>
      <c r="E398" s="3629" t="s">
        <v>8090</v>
      </c>
      <c r="F398" s="3629" t="s">
        <v>8869</v>
      </c>
      <c r="G398" s="3643">
        <v>137.88</v>
      </c>
      <c r="H398" s="3649">
        <v>12500</v>
      </c>
      <c r="I398" s="3649">
        <f t="shared" si="6"/>
        <v>172</v>
      </c>
      <c r="J398" s="3644">
        <f ca="1">典型户型修正!T420</f>
        <v>228</v>
      </c>
    </row>
    <row r="399" spans="1:10" s="3633" customFormat="1">
      <c r="A399" s="3629">
        <v>395</v>
      </c>
      <c r="B399" s="3629" t="s">
        <v>8870</v>
      </c>
      <c r="C399" s="3629">
        <v>30</v>
      </c>
      <c r="D399" s="3629" t="s">
        <v>8072</v>
      </c>
      <c r="E399" s="3629" t="s">
        <v>8090</v>
      </c>
      <c r="F399" s="3629" t="s">
        <v>8871</v>
      </c>
      <c r="G399" s="3643">
        <v>137.88</v>
      </c>
      <c r="H399" s="3649">
        <v>12500</v>
      </c>
      <c r="I399" s="3649">
        <f t="shared" si="6"/>
        <v>172</v>
      </c>
      <c r="J399" s="3644">
        <f ca="1">典型户型修正!T421</f>
        <v>228</v>
      </c>
    </row>
    <row r="400" spans="1:10" s="3633" customFormat="1">
      <c r="A400" s="3629">
        <v>396</v>
      </c>
      <c r="B400" s="3629" t="s">
        <v>8872</v>
      </c>
      <c r="C400" s="3629">
        <v>30</v>
      </c>
      <c r="D400" s="3629" t="s">
        <v>8072</v>
      </c>
      <c r="E400" s="3629" t="s">
        <v>8090</v>
      </c>
      <c r="F400" s="3629" t="s">
        <v>8873</v>
      </c>
      <c r="G400" s="3643">
        <v>137.88</v>
      </c>
      <c r="H400" s="3649">
        <v>12530</v>
      </c>
      <c r="I400" s="3649">
        <f t="shared" si="6"/>
        <v>173</v>
      </c>
      <c r="J400" s="3644">
        <f ca="1">典型户型修正!T422</f>
        <v>228</v>
      </c>
    </row>
    <row r="401" spans="1:10" s="3633" customFormat="1">
      <c r="A401" s="3629">
        <v>397</v>
      </c>
      <c r="B401" s="3629" t="s">
        <v>8874</v>
      </c>
      <c r="C401" s="3629">
        <v>30</v>
      </c>
      <c r="D401" s="3629" t="s">
        <v>8072</v>
      </c>
      <c r="E401" s="3629" t="s">
        <v>8090</v>
      </c>
      <c r="F401" s="3629" t="s">
        <v>8875</v>
      </c>
      <c r="G401" s="3643">
        <v>137.88</v>
      </c>
      <c r="H401" s="3649">
        <v>12530</v>
      </c>
      <c r="I401" s="3649">
        <f t="shared" si="6"/>
        <v>173</v>
      </c>
      <c r="J401" s="3644">
        <f ca="1">典型户型修正!T423</f>
        <v>228</v>
      </c>
    </row>
    <row r="402" spans="1:10" s="3633" customFormat="1">
      <c r="A402" s="3629">
        <v>398</v>
      </c>
      <c r="B402" s="3629" t="s">
        <v>8876</v>
      </c>
      <c r="C402" s="3629">
        <v>30</v>
      </c>
      <c r="D402" s="3629" t="s">
        <v>8072</v>
      </c>
      <c r="E402" s="3629" t="s">
        <v>8090</v>
      </c>
      <c r="F402" s="3629" t="s">
        <v>8877</v>
      </c>
      <c r="G402" s="3643">
        <v>137.88</v>
      </c>
      <c r="H402" s="3649">
        <v>12560</v>
      </c>
      <c r="I402" s="3649">
        <f t="shared" si="6"/>
        <v>173</v>
      </c>
      <c r="J402" s="3644">
        <f ca="1">典型户型修正!T424</f>
        <v>228</v>
      </c>
    </row>
    <row r="403" spans="1:10" s="3633" customFormat="1">
      <c r="A403" s="3629">
        <v>399</v>
      </c>
      <c r="B403" s="3629" t="s">
        <v>8878</v>
      </c>
      <c r="C403" s="3629">
        <v>30</v>
      </c>
      <c r="D403" s="3629" t="s">
        <v>8072</v>
      </c>
      <c r="E403" s="3629" t="s">
        <v>8090</v>
      </c>
      <c r="F403" s="3629" t="s">
        <v>8879</v>
      </c>
      <c r="G403" s="3643">
        <v>137.88</v>
      </c>
      <c r="H403" s="3649">
        <v>12560</v>
      </c>
      <c r="I403" s="3649">
        <f t="shared" si="6"/>
        <v>173</v>
      </c>
      <c r="J403" s="3644">
        <f ca="1">典型户型修正!T425</f>
        <v>228</v>
      </c>
    </row>
    <row r="404" spans="1:10" s="3633" customFormat="1">
      <c r="A404" s="3629">
        <v>400</v>
      </c>
      <c r="B404" s="3629" t="s">
        <v>8880</v>
      </c>
      <c r="C404" s="3629">
        <v>30</v>
      </c>
      <c r="D404" s="3629" t="s">
        <v>8072</v>
      </c>
      <c r="E404" s="3629" t="s">
        <v>8090</v>
      </c>
      <c r="F404" s="3629" t="s">
        <v>8881</v>
      </c>
      <c r="G404" s="3643">
        <v>137.88</v>
      </c>
      <c r="H404" s="3649">
        <v>12560</v>
      </c>
      <c r="I404" s="3649">
        <f t="shared" si="6"/>
        <v>173</v>
      </c>
      <c r="J404" s="3644">
        <f ca="1">典型户型修正!T426</f>
        <v>228</v>
      </c>
    </row>
    <row r="405" spans="1:10" s="3633" customFormat="1">
      <c r="A405" s="3629">
        <v>401</v>
      </c>
      <c r="B405" s="3629" t="s">
        <v>8882</v>
      </c>
      <c r="C405" s="3629">
        <v>30</v>
      </c>
      <c r="D405" s="3629" t="s">
        <v>8072</v>
      </c>
      <c r="E405" s="3629" t="s">
        <v>8090</v>
      </c>
      <c r="F405" s="3629" t="s">
        <v>8883</v>
      </c>
      <c r="G405" s="3643">
        <v>137.88</v>
      </c>
      <c r="H405" s="3649">
        <v>12560</v>
      </c>
      <c r="I405" s="3649">
        <f t="shared" si="6"/>
        <v>173</v>
      </c>
      <c r="J405" s="3644">
        <f ca="1">典型户型修正!T427</f>
        <v>228</v>
      </c>
    </row>
    <row r="406" spans="1:10" s="3633" customFormat="1">
      <c r="A406" s="3629">
        <v>402</v>
      </c>
      <c r="B406" s="3629" t="s">
        <v>8884</v>
      </c>
      <c r="C406" s="3629">
        <v>30</v>
      </c>
      <c r="D406" s="3629" t="s">
        <v>8072</v>
      </c>
      <c r="E406" s="3629" t="s">
        <v>8090</v>
      </c>
      <c r="F406" s="3629" t="s">
        <v>8885</v>
      </c>
      <c r="G406" s="3643">
        <v>137.88</v>
      </c>
      <c r="H406" s="3649">
        <v>12590</v>
      </c>
      <c r="I406" s="3649">
        <f t="shared" si="6"/>
        <v>174</v>
      </c>
      <c r="J406" s="3644">
        <f ca="1">典型户型修正!T428</f>
        <v>224</v>
      </c>
    </row>
    <row r="407" spans="1:10" s="3633" customFormat="1">
      <c r="A407" s="3629">
        <v>403</v>
      </c>
      <c r="B407" s="3629" t="s">
        <v>8886</v>
      </c>
      <c r="C407" s="3629">
        <v>30</v>
      </c>
      <c r="D407" s="3629" t="s">
        <v>8072</v>
      </c>
      <c r="E407" s="3629" t="s">
        <v>8090</v>
      </c>
      <c r="F407" s="3629" t="s">
        <v>8887</v>
      </c>
      <c r="G407" s="3643">
        <v>137.88</v>
      </c>
      <c r="H407" s="3649">
        <v>12590</v>
      </c>
      <c r="I407" s="3649">
        <f t="shared" si="6"/>
        <v>174</v>
      </c>
      <c r="J407" s="3644">
        <f ca="1">典型户型修正!T429</f>
        <v>224</v>
      </c>
    </row>
    <row r="408" spans="1:10" s="3633" customFormat="1">
      <c r="A408" s="3629">
        <v>404</v>
      </c>
      <c r="B408" s="3629" t="s">
        <v>8888</v>
      </c>
      <c r="C408" s="3629">
        <v>30</v>
      </c>
      <c r="D408" s="3629" t="s">
        <v>8072</v>
      </c>
      <c r="E408" s="3629" t="s">
        <v>8090</v>
      </c>
      <c r="F408" s="3629" t="s">
        <v>8889</v>
      </c>
      <c r="G408" s="3643">
        <v>137.88</v>
      </c>
      <c r="H408" s="3649">
        <v>12560</v>
      </c>
      <c r="I408" s="3649">
        <f t="shared" si="6"/>
        <v>173</v>
      </c>
      <c r="J408" s="3644">
        <f ca="1">典型户型修正!T430</f>
        <v>224</v>
      </c>
    </row>
    <row r="409" spans="1:10" s="3633" customFormat="1">
      <c r="A409" s="3629">
        <v>405</v>
      </c>
      <c r="B409" s="3629" t="s">
        <v>8890</v>
      </c>
      <c r="C409" s="3629">
        <v>30</v>
      </c>
      <c r="D409" s="3629" t="s">
        <v>8072</v>
      </c>
      <c r="E409" s="3629" t="s">
        <v>8090</v>
      </c>
      <c r="F409" s="3629" t="s">
        <v>8891</v>
      </c>
      <c r="G409" s="3643">
        <v>137.88</v>
      </c>
      <c r="H409" s="3649">
        <v>12560</v>
      </c>
      <c r="I409" s="3649">
        <f t="shared" si="6"/>
        <v>173</v>
      </c>
      <c r="J409" s="3644">
        <f ca="1">典型户型修正!T431</f>
        <v>224</v>
      </c>
    </row>
    <row r="410" spans="1:10" s="3633" customFormat="1">
      <c r="A410" s="3629">
        <v>406</v>
      </c>
      <c r="B410" s="3629" t="s">
        <v>8892</v>
      </c>
      <c r="C410" s="3629">
        <v>30</v>
      </c>
      <c r="D410" s="3629" t="s">
        <v>8072</v>
      </c>
      <c r="E410" s="3629" t="s">
        <v>8090</v>
      </c>
      <c r="F410" s="3629" t="s">
        <v>8893</v>
      </c>
      <c r="G410" s="3643">
        <v>137.88</v>
      </c>
      <c r="H410" s="3649">
        <v>12560</v>
      </c>
      <c r="I410" s="3649">
        <f t="shared" si="6"/>
        <v>173</v>
      </c>
      <c r="J410" s="3644">
        <f ca="1">典型户型修正!T432</f>
        <v>224</v>
      </c>
    </row>
    <row r="411" spans="1:10" s="3633" customFormat="1">
      <c r="A411" s="3629">
        <v>407</v>
      </c>
      <c r="B411" s="3629" t="s">
        <v>8894</v>
      </c>
      <c r="C411" s="3629">
        <v>30</v>
      </c>
      <c r="D411" s="3629" t="s">
        <v>8072</v>
      </c>
      <c r="E411" s="3629" t="s">
        <v>8090</v>
      </c>
      <c r="F411" s="3629" t="s">
        <v>8895</v>
      </c>
      <c r="G411" s="3643">
        <v>137.88</v>
      </c>
      <c r="H411" s="3649">
        <v>12560</v>
      </c>
      <c r="I411" s="3649">
        <f t="shared" si="6"/>
        <v>173</v>
      </c>
      <c r="J411" s="3644">
        <f ca="1">典型户型修正!T433</f>
        <v>224</v>
      </c>
    </row>
    <row r="412" spans="1:10" s="3633" customFormat="1">
      <c r="A412" s="3629">
        <v>408</v>
      </c>
      <c r="B412" s="3629" t="s">
        <v>8896</v>
      </c>
      <c r="C412" s="3629">
        <v>30</v>
      </c>
      <c r="D412" s="3629" t="s">
        <v>8072</v>
      </c>
      <c r="E412" s="3629" t="s">
        <v>8090</v>
      </c>
      <c r="F412" s="3629" t="s">
        <v>8897</v>
      </c>
      <c r="G412" s="3643">
        <v>137.88</v>
      </c>
      <c r="H412" s="3649">
        <v>12560</v>
      </c>
      <c r="I412" s="3649">
        <f t="shared" si="6"/>
        <v>173</v>
      </c>
      <c r="J412" s="3644">
        <f ca="1">典型户型修正!T434</f>
        <v>224</v>
      </c>
    </row>
    <row r="413" spans="1:10" s="3633" customFormat="1">
      <c r="A413" s="3629">
        <v>409</v>
      </c>
      <c r="B413" s="3629" t="s">
        <v>8898</v>
      </c>
      <c r="C413" s="3629">
        <v>30</v>
      </c>
      <c r="D413" s="3629" t="s">
        <v>8072</v>
      </c>
      <c r="E413" s="3629" t="s">
        <v>8090</v>
      </c>
      <c r="F413" s="3629" t="s">
        <v>8899</v>
      </c>
      <c r="G413" s="3643">
        <v>137.88</v>
      </c>
      <c r="H413" s="3649">
        <v>12560</v>
      </c>
      <c r="I413" s="3649">
        <f t="shared" si="6"/>
        <v>173</v>
      </c>
      <c r="J413" s="3644">
        <f ca="1">典型户型修正!T435</f>
        <v>224</v>
      </c>
    </row>
    <row r="414" spans="1:10" s="3633" customFormat="1">
      <c r="A414" s="3629">
        <v>410</v>
      </c>
      <c r="B414" s="3629" t="s">
        <v>8900</v>
      </c>
      <c r="C414" s="3629">
        <v>30</v>
      </c>
      <c r="D414" s="3629" t="s">
        <v>8072</v>
      </c>
      <c r="E414" s="3629" t="s">
        <v>8090</v>
      </c>
      <c r="F414" s="3629" t="s">
        <v>8901</v>
      </c>
      <c r="G414" s="3643">
        <v>137.88</v>
      </c>
      <c r="H414" s="3649">
        <v>12560</v>
      </c>
      <c r="I414" s="3649">
        <f t="shared" si="6"/>
        <v>173</v>
      </c>
      <c r="J414" s="3644">
        <f ca="1">典型户型修正!T436</f>
        <v>224</v>
      </c>
    </row>
    <row r="415" spans="1:10" s="3633" customFormat="1">
      <c r="A415" s="3629">
        <v>411</v>
      </c>
      <c r="B415" s="3629" t="s">
        <v>8902</v>
      </c>
      <c r="C415" s="3629">
        <v>30</v>
      </c>
      <c r="D415" s="3629" t="s">
        <v>8072</v>
      </c>
      <c r="E415" s="3629" t="s">
        <v>8090</v>
      </c>
      <c r="F415" s="3629" t="s">
        <v>8903</v>
      </c>
      <c r="G415" s="3643">
        <v>123.76</v>
      </c>
      <c r="H415" s="3649">
        <v>12060</v>
      </c>
      <c r="I415" s="3649">
        <f t="shared" si="6"/>
        <v>149</v>
      </c>
      <c r="J415" s="3644">
        <f ca="1">典型户型修正!T437</f>
        <v>201</v>
      </c>
    </row>
    <row r="416" spans="1:10" s="3633" customFormat="1">
      <c r="A416" s="3629">
        <v>412</v>
      </c>
      <c r="B416" s="3629" t="s">
        <v>8904</v>
      </c>
      <c r="C416" s="3629">
        <v>30</v>
      </c>
      <c r="D416" s="3629" t="s">
        <v>8072</v>
      </c>
      <c r="E416" s="3629" t="s">
        <v>8073</v>
      </c>
      <c r="F416" s="3629" t="s">
        <v>8905</v>
      </c>
      <c r="G416" s="3643">
        <v>88.06</v>
      </c>
      <c r="H416" s="3649">
        <v>11250</v>
      </c>
      <c r="I416" s="3649">
        <f t="shared" si="6"/>
        <v>99</v>
      </c>
      <c r="J416" s="3644">
        <f ca="1">典型户型修正!T438</f>
        <v>140</v>
      </c>
    </row>
    <row r="417" spans="1:10" s="3633" customFormat="1">
      <c r="A417" s="3629">
        <v>413</v>
      </c>
      <c r="B417" s="3629" t="s">
        <v>8906</v>
      </c>
      <c r="C417" s="3629">
        <v>30</v>
      </c>
      <c r="D417" s="3629" t="s">
        <v>8072</v>
      </c>
      <c r="E417" s="3629" t="s">
        <v>8073</v>
      </c>
      <c r="F417" s="3629" t="s">
        <v>8907</v>
      </c>
      <c r="G417" s="3643">
        <v>88.06</v>
      </c>
      <c r="H417" s="3649">
        <v>11450</v>
      </c>
      <c r="I417" s="3649">
        <f t="shared" si="6"/>
        <v>101</v>
      </c>
      <c r="J417" s="3644">
        <f ca="1">典型户型修正!T439</f>
        <v>140</v>
      </c>
    </row>
    <row r="418" spans="1:10" s="3633" customFormat="1">
      <c r="A418" s="3629">
        <v>414</v>
      </c>
      <c r="B418" s="3629" t="s">
        <v>8908</v>
      </c>
      <c r="C418" s="3629">
        <v>30</v>
      </c>
      <c r="D418" s="3629" t="s">
        <v>8072</v>
      </c>
      <c r="E418" s="3629" t="s">
        <v>8073</v>
      </c>
      <c r="F418" s="3629" t="s">
        <v>8909</v>
      </c>
      <c r="G418" s="3643">
        <v>88.06</v>
      </c>
      <c r="H418" s="3649">
        <v>11900</v>
      </c>
      <c r="I418" s="3649">
        <f t="shared" si="6"/>
        <v>105</v>
      </c>
      <c r="J418" s="3644">
        <f ca="1">典型户型修正!T440</f>
        <v>140</v>
      </c>
    </row>
    <row r="419" spans="1:10" s="3633" customFormat="1">
      <c r="A419" s="3629">
        <v>415</v>
      </c>
      <c r="B419" s="3629" t="s">
        <v>8910</v>
      </c>
      <c r="C419" s="3629">
        <v>30</v>
      </c>
      <c r="D419" s="3629" t="s">
        <v>8072</v>
      </c>
      <c r="E419" s="3629" t="s">
        <v>8073</v>
      </c>
      <c r="F419" s="3629" t="s">
        <v>8911</v>
      </c>
      <c r="G419" s="3643">
        <v>88.06</v>
      </c>
      <c r="H419" s="3649">
        <v>12250</v>
      </c>
      <c r="I419" s="3649">
        <f t="shared" si="6"/>
        <v>108</v>
      </c>
      <c r="J419" s="3644">
        <f ca="1">典型户型修正!T441</f>
        <v>140</v>
      </c>
    </row>
    <row r="420" spans="1:10" s="3633" customFormat="1">
      <c r="A420" s="3629">
        <v>416</v>
      </c>
      <c r="B420" s="3629" t="s">
        <v>8912</v>
      </c>
      <c r="C420" s="3629">
        <v>30</v>
      </c>
      <c r="D420" s="3629" t="s">
        <v>8072</v>
      </c>
      <c r="E420" s="3629" t="s">
        <v>8073</v>
      </c>
      <c r="F420" s="3629" t="s">
        <v>8913</v>
      </c>
      <c r="G420" s="3643">
        <v>88.06</v>
      </c>
      <c r="H420" s="3649">
        <v>12300</v>
      </c>
      <c r="I420" s="3649">
        <f t="shared" si="6"/>
        <v>108</v>
      </c>
      <c r="J420" s="3644">
        <f ca="1">典型户型修正!T442</f>
        <v>140</v>
      </c>
    </row>
    <row r="421" spans="1:10" s="3633" customFormat="1">
      <c r="A421" s="3629">
        <v>417</v>
      </c>
      <c r="B421" s="3629" t="s">
        <v>8914</v>
      </c>
      <c r="C421" s="3629">
        <v>30</v>
      </c>
      <c r="D421" s="3629" t="s">
        <v>8072</v>
      </c>
      <c r="E421" s="3629" t="s">
        <v>8073</v>
      </c>
      <c r="F421" s="3629" t="s">
        <v>8915</v>
      </c>
      <c r="G421" s="3643">
        <v>88.06</v>
      </c>
      <c r="H421" s="3649">
        <v>12350</v>
      </c>
      <c r="I421" s="3649">
        <f t="shared" si="6"/>
        <v>109</v>
      </c>
      <c r="J421" s="3644">
        <f ca="1">典型户型修正!T443</f>
        <v>140</v>
      </c>
    </row>
    <row r="422" spans="1:10" s="3633" customFormat="1">
      <c r="A422" s="3629">
        <v>418</v>
      </c>
      <c r="B422" s="3629" t="s">
        <v>8916</v>
      </c>
      <c r="C422" s="3629">
        <v>30</v>
      </c>
      <c r="D422" s="3629" t="s">
        <v>8072</v>
      </c>
      <c r="E422" s="3629" t="s">
        <v>8073</v>
      </c>
      <c r="F422" s="3629" t="s">
        <v>8917</v>
      </c>
      <c r="G422" s="3643">
        <v>88.06</v>
      </c>
      <c r="H422" s="3649">
        <v>12400</v>
      </c>
      <c r="I422" s="3649">
        <f t="shared" si="6"/>
        <v>109</v>
      </c>
      <c r="J422" s="3644">
        <f ca="1">典型户型修正!T444</f>
        <v>140</v>
      </c>
    </row>
    <row r="423" spans="1:10" s="3633" customFormat="1">
      <c r="A423" s="3629">
        <v>419</v>
      </c>
      <c r="B423" s="3629" t="s">
        <v>8918</v>
      </c>
      <c r="C423" s="3629">
        <v>30</v>
      </c>
      <c r="D423" s="3629" t="s">
        <v>8072</v>
      </c>
      <c r="E423" s="3629" t="s">
        <v>8073</v>
      </c>
      <c r="F423" s="3629" t="s">
        <v>8919</v>
      </c>
      <c r="G423" s="3643">
        <v>88.06</v>
      </c>
      <c r="H423" s="3649">
        <v>12450</v>
      </c>
      <c r="I423" s="3649">
        <f t="shared" si="6"/>
        <v>110</v>
      </c>
      <c r="J423" s="3644">
        <f ca="1">典型户型修正!T445</f>
        <v>140</v>
      </c>
    </row>
    <row r="424" spans="1:10" s="3633" customFormat="1">
      <c r="A424" s="3629">
        <v>420</v>
      </c>
      <c r="B424" s="3629" t="s">
        <v>8920</v>
      </c>
      <c r="C424" s="3629">
        <v>30</v>
      </c>
      <c r="D424" s="3629" t="s">
        <v>8072</v>
      </c>
      <c r="E424" s="3629" t="s">
        <v>8073</v>
      </c>
      <c r="F424" s="3629" t="s">
        <v>8921</v>
      </c>
      <c r="G424" s="3643">
        <v>88.06</v>
      </c>
      <c r="H424" s="3649">
        <v>12500</v>
      </c>
      <c r="I424" s="3649">
        <f t="shared" si="6"/>
        <v>110</v>
      </c>
      <c r="J424" s="3644">
        <f ca="1">典型户型修正!T446</f>
        <v>140</v>
      </c>
    </row>
    <row r="425" spans="1:10" s="3633" customFormat="1">
      <c r="A425" s="3629">
        <v>421</v>
      </c>
      <c r="B425" s="3629" t="s">
        <v>8922</v>
      </c>
      <c r="C425" s="3629">
        <v>30</v>
      </c>
      <c r="D425" s="3629" t="s">
        <v>8072</v>
      </c>
      <c r="E425" s="3629" t="s">
        <v>8073</v>
      </c>
      <c r="F425" s="3629" t="s">
        <v>8923</v>
      </c>
      <c r="G425" s="3643">
        <v>88.06</v>
      </c>
      <c r="H425" s="3649">
        <v>12550</v>
      </c>
      <c r="I425" s="3649">
        <f t="shared" si="6"/>
        <v>111</v>
      </c>
      <c r="J425" s="3644">
        <f ca="1">典型户型修正!T447</f>
        <v>146</v>
      </c>
    </row>
    <row r="426" spans="1:10" s="3633" customFormat="1">
      <c r="A426" s="3629">
        <v>422</v>
      </c>
      <c r="B426" s="3629" t="s">
        <v>8924</v>
      </c>
      <c r="C426" s="3629">
        <v>30</v>
      </c>
      <c r="D426" s="3629" t="s">
        <v>8072</v>
      </c>
      <c r="E426" s="3629" t="s">
        <v>8073</v>
      </c>
      <c r="F426" s="3629" t="s">
        <v>8925</v>
      </c>
      <c r="G426" s="3643">
        <v>88.06</v>
      </c>
      <c r="H426" s="3649">
        <v>12600</v>
      </c>
      <c r="I426" s="3649">
        <f t="shared" si="6"/>
        <v>111</v>
      </c>
      <c r="J426" s="3644">
        <f ca="1">典型户型修正!T448</f>
        <v>146</v>
      </c>
    </row>
    <row r="427" spans="1:10" s="3633" customFormat="1">
      <c r="A427" s="3629">
        <v>423</v>
      </c>
      <c r="B427" s="3629" t="s">
        <v>8926</v>
      </c>
      <c r="C427" s="3629">
        <v>30</v>
      </c>
      <c r="D427" s="3629" t="s">
        <v>8072</v>
      </c>
      <c r="E427" s="3629" t="s">
        <v>8073</v>
      </c>
      <c r="F427" s="3629" t="s">
        <v>8927</v>
      </c>
      <c r="G427" s="3643">
        <v>88.06</v>
      </c>
      <c r="H427" s="3649">
        <v>12600</v>
      </c>
      <c r="I427" s="3649">
        <f t="shared" si="6"/>
        <v>111</v>
      </c>
      <c r="J427" s="3644">
        <f ca="1">典型户型修正!T449</f>
        <v>146</v>
      </c>
    </row>
    <row r="428" spans="1:10" s="3633" customFormat="1">
      <c r="A428" s="3629">
        <v>424</v>
      </c>
      <c r="B428" s="3629" t="s">
        <v>8928</v>
      </c>
      <c r="C428" s="3629">
        <v>30</v>
      </c>
      <c r="D428" s="3629" t="s">
        <v>8072</v>
      </c>
      <c r="E428" s="3629" t="s">
        <v>8073</v>
      </c>
      <c r="F428" s="3629" t="s">
        <v>8929</v>
      </c>
      <c r="G428" s="3643">
        <v>88.06</v>
      </c>
      <c r="H428" s="3649">
        <v>12600</v>
      </c>
      <c r="I428" s="3649">
        <f t="shared" si="6"/>
        <v>111</v>
      </c>
      <c r="J428" s="3644">
        <f ca="1">典型户型修正!T450</f>
        <v>146</v>
      </c>
    </row>
    <row r="429" spans="1:10" s="3633" customFormat="1">
      <c r="A429" s="3629">
        <v>425</v>
      </c>
      <c r="B429" s="3629" t="s">
        <v>8930</v>
      </c>
      <c r="C429" s="3629">
        <v>30</v>
      </c>
      <c r="D429" s="3629" t="s">
        <v>8072</v>
      </c>
      <c r="E429" s="3629" t="s">
        <v>8073</v>
      </c>
      <c r="F429" s="3629" t="s">
        <v>8931</v>
      </c>
      <c r="G429" s="3643">
        <v>88.06</v>
      </c>
      <c r="H429" s="3649">
        <v>12630</v>
      </c>
      <c r="I429" s="3649">
        <f t="shared" si="6"/>
        <v>111</v>
      </c>
      <c r="J429" s="3644">
        <f ca="1">典型户型修正!T451</f>
        <v>146</v>
      </c>
    </row>
    <row r="430" spans="1:10" s="3633" customFormat="1">
      <c r="A430" s="3629">
        <v>426</v>
      </c>
      <c r="B430" s="3629" t="s">
        <v>8932</v>
      </c>
      <c r="C430" s="3629">
        <v>30</v>
      </c>
      <c r="D430" s="3629" t="s">
        <v>8072</v>
      </c>
      <c r="E430" s="3629" t="s">
        <v>8073</v>
      </c>
      <c r="F430" s="3629" t="s">
        <v>8933</v>
      </c>
      <c r="G430" s="3643">
        <v>88.06</v>
      </c>
      <c r="H430" s="3649">
        <v>12630</v>
      </c>
      <c r="I430" s="3649">
        <f t="shared" si="6"/>
        <v>111</v>
      </c>
      <c r="J430" s="3644">
        <f ca="1">典型户型修正!T452</f>
        <v>146</v>
      </c>
    </row>
    <row r="431" spans="1:10" s="3633" customFormat="1">
      <c r="A431" s="3629">
        <v>427</v>
      </c>
      <c r="B431" s="3629" t="s">
        <v>8934</v>
      </c>
      <c r="C431" s="3629">
        <v>30</v>
      </c>
      <c r="D431" s="3629" t="s">
        <v>8072</v>
      </c>
      <c r="E431" s="3629" t="s">
        <v>8073</v>
      </c>
      <c r="F431" s="3629" t="s">
        <v>8935</v>
      </c>
      <c r="G431" s="3643">
        <v>88.06</v>
      </c>
      <c r="H431" s="3649">
        <v>12660</v>
      </c>
      <c r="I431" s="3649">
        <f t="shared" si="6"/>
        <v>111</v>
      </c>
      <c r="J431" s="3644">
        <f ca="1">典型户型修正!T453</f>
        <v>146</v>
      </c>
    </row>
    <row r="432" spans="1:10" s="3633" customFormat="1">
      <c r="A432" s="3629">
        <v>428</v>
      </c>
      <c r="B432" s="3629" t="s">
        <v>8936</v>
      </c>
      <c r="C432" s="3629">
        <v>30</v>
      </c>
      <c r="D432" s="3629" t="s">
        <v>8072</v>
      </c>
      <c r="E432" s="3629" t="s">
        <v>8073</v>
      </c>
      <c r="F432" s="3629" t="s">
        <v>8937</v>
      </c>
      <c r="G432" s="3643">
        <v>88.06</v>
      </c>
      <c r="H432" s="3649">
        <v>12660</v>
      </c>
      <c r="I432" s="3649">
        <f t="shared" si="6"/>
        <v>111</v>
      </c>
      <c r="J432" s="3644">
        <f ca="1">典型户型修正!T454</f>
        <v>146</v>
      </c>
    </row>
    <row r="433" spans="1:10" s="3633" customFormat="1">
      <c r="A433" s="3629">
        <v>429</v>
      </c>
      <c r="B433" s="3629" t="s">
        <v>8938</v>
      </c>
      <c r="C433" s="3629">
        <v>30</v>
      </c>
      <c r="D433" s="3629" t="s">
        <v>8072</v>
      </c>
      <c r="E433" s="3629" t="s">
        <v>8073</v>
      </c>
      <c r="F433" s="3629" t="s">
        <v>8939</v>
      </c>
      <c r="G433" s="3643">
        <v>88.06</v>
      </c>
      <c r="H433" s="3649">
        <v>12660</v>
      </c>
      <c r="I433" s="3649">
        <f t="shared" si="6"/>
        <v>111</v>
      </c>
      <c r="J433" s="3644">
        <f ca="1">典型户型修正!T455</f>
        <v>146</v>
      </c>
    </row>
    <row r="434" spans="1:10" s="3633" customFormat="1">
      <c r="A434" s="3629">
        <v>430</v>
      </c>
      <c r="B434" s="3629" t="s">
        <v>8940</v>
      </c>
      <c r="C434" s="3629">
        <v>30</v>
      </c>
      <c r="D434" s="3629" t="s">
        <v>8072</v>
      </c>
      <c r="E434" s="3629" t="s">
        <v>8073</v>
      </c>
      <c r="F434" s="3629" t="s">
        <v>8941</v>
      </c>
      <c r="G434" s="3643">
        <v>88.06</v>
      </c>
      <c r="H434" s="3649">
        <v>12660</v>
      </c>
      <c r="I434" s="3649">
        <f t="shared" si="6"/>
        <v>111</v>
      </c>
      <c r="J434" s="3644">
        <f ca="1">典型户型修正!T456</f>
        <v>146</v>
      </c>
    </row>
    <row r="435" spans="1:10" s="3633" customFormat="1">
      <c r="A435" s="3629">
        <v>431</v>
      </c>
      <c r="B435" s="3629" t="s">
        <v>8942</v>
      </c>
      <c r="C435" s="3629">
        <v>30</v>
      </c>
      <c r="D435" s="3629" t="s">
        <v>8072</v>
      </c>
      <c r="E435" s="3629" t="s">
        <v>8073</v>
      </c>
      <c r="F435" s="3629" t="s">
        <v>8943</v>
      </c>
      <c r="G435" s="3643">
        <v>88.06</v>
      </c>
      <c r="H435" s="3649">
        <v>12690</v>
      </c>
      <c r="I435" s="3649">
        <f t="shared" si="6"/>
        <v>112</v>
      </c>
      <c r="J435" s="3644">
        <f ca="1">典型户型修正!T457</f>
        <v>143</v>
      </c>
    </row>
    <row r="436" spans="1:10" s="3633" customFormat="1">
      <c r="A436" s="3629">
        <v>432</v>
      </c>
      <c r="B436" s="3629" t="s">
        <v>8944</v>
      </c>
      <c r="C436" s="3629">
        <v>30</v>
      </c>
      <c r="D436" s="3629" t="s">
        <v>8072</v>
      </c>
      <c r="E436" s="3629" t="s">
        <v>8073</v>
      </c>
      <c r="F436" s="3629" t="s">
        <v>8945</v>
      </c>
      <c r="G436" s="3643">
        <v>88.06</v>
      </c>
      <c r="H436" s="3649">
        <v>12690</v>
      </c>
      <c r="I436" s="3649">
        <f t="shared" si="6"/>
        <v>112</v>
      </c>
      <c r="J436" s="3644">
        <f ca="1">典型户型修正!T458</f>
        <v>143</v>
      </c>
    </row>
    <row r="437" spans="1:10" s="3633" customFormat="1">
      <c r="A437" s="3629">
        <v>433</v>
      </c>
      <c r="B437" s="3629" t="s">
        <v>8946</v>
      </c>
      <c r="C437" s="3629">
        <v>30</v>
      </c>
      <c r="D437" s="3629" t="s">
        <v>8072</v>
      </c>
      <c r="E437" s="3629" t="s">
        <v>8073</v>
      </c>
      <c r="F437" s="3629" t="s">
        <v>8947</v>
      </c>
      <c r="G437" s="3643">
        <v>88.06</v>
      </c>
      <c r="H437" s="3649">
        <v>12660</v>
      </c>
      <c r="I437" s="3649">
        <f t="shared" si="6"/>
        <v>111</v>
      </c>
      <c r="J437" s="3644">
        <f ca="1">典型户型修正!T459</f>
        <v>143</v>
      </c>
    </row>
    <row r="438" spans="1:10" s="3633" customFormat="1">
      <c r="A438" s="3629">
        <v>434</v>
      </c>
      <c r="B438" s="3629" t="s">
        <v>8948</v>
      </c>
      <c r="C438" s="3629">
        <v>30</v>
      </c>
      <c r="D438" s="3629" t="s">
        <v>8072</v>
      </c>
      <c r="E438" s="3629" t="s">
        <v>8073</v>
      </c>
      <c r="F438" s="3629" t="s">
        <v>8949</v>
      </c>
      <c r="G438" s="3643">
        <v>88.06</v>
      </c>
      <c r="H438" s="3649">
        <v>12660</v>
      </c>
      <c r="I438" s="3649">
        <f t="shared" si="6"/>
        <v>111</v>
      </c>
      <c r="J438" s="3644">
        <f ca="1">典型户型修正!T460</f>
        <v>143</v>
      </c>
    </row>
    <row r="439" spans="1:10" s="3633" customFormat="1">
      <c r="A439" s="3629">
        <v>435</v>
      </c>
      <c r="B439" s="3629" t="s">
        <v>8950</v>
      </c>
      <c r="C439" s="3629">
        <v>30</v>
      </c>
      <c r="D439" s="3629" t="s">
        <v>8072</v>
      </c>
      <c r="E439" s="3629" t="s">
        <v>8073</v>
      </c>
      <c r="F439" s="3629" t="s">
        <v>8951</v>
      </c>
      <c r="G439" s="3643">
        <v>88.06</v>
      </c>
      <c r="H439" s="3649">
        <v>12660</v>
      </c>
      <c r="I439" s="3649">
        <f t="shared" si="6"/>
        <v>111</v>
      </c>
      <c r="J439" s="3644">
        <f ca="1">典型户型修正!T461</f>
        <v>143</v>
      </c>
    </row>
    <row r="440" spans="1:10" s="3633" customFormat="1">
      <c r="A440" s="3629">
        <v>436</v>
      </c>
      <c r="B440" s="3629" t="s">
        <v>8952</v>
      </c>
      <c r="C440" s="3629">
        <v>30</v>
      </c>
      <c r="D440" s="3629" t="s">
        <v>8072</v>
      </c>
      <c r="E440" s="3629" t="s">
        <v>8073</v>
      </c>
      <c r="F440" s="3629" t="s">
        <v>8953</v>
      </c>
      <c r="G440" s="3643">
        <v>88.06</v>
      </c>
      <c r="H440" s="3649">
        <v>12660</v>
      </c>
      <c r="I440" s="3649">
        <f t="shared" si="6"/>
        <v>111</v>
      </c>
      <c r="J440" s="3644">
        <f ca="1">典型户型修正!T462</f>
        <v>143</v>
      </c>
    </row>
    <row r="441" spans="1:10" s="3633" customFormat="1">
      <c r="A441" s="3629">
        <v>437</v>
      </c>
      <c r="B441" s="3629" t="s">
        <v>8954</v>
      </c>
      <c r="C441" s="3629">
        <v>30</v>
      </c>
      <c r="D441" s="3629" t="s">
        <v>8072</v>
      </c>
      <c r="E441" s="3629" t="s">
        <v>8073</v>
      </c>
      <c r="F441" s="3629" t="s">
        <v>8955</v>
      </c>
      <c r="G441" s="3643">
        <v>88.06</v>
      </c>
      <c r="H441" s="3649">
        <v>12660</v>
      </c>
      <c r="I441" s="3649">
        <f t="shared" si="6"/>
        <v>111</v>
      </c>
      <c r="J441" s="3644">
        <f ca="1">典型户型修正!T463</f>
        <v>143</v>
      </c>
    </row>
    <row r="442" spans="1:10" s="3633" customFormat="1">
      <c r="A442" s="3629">
        <v>438</v>
      </c>
      <c r="B442" s="3629" t="s">
        <v>8956</v>
      </c>
      <c r="C442" s="3629">
        <v>30</v>
      </c>
      <c r="D442" s="3629" t="s">
        <v>8072</v>
      </c>
      <c r="E442" s="3629" t="s">
        <v>8073</v>
      </c>
      <c r="F442" s="3629" t="s">
        <v>8957</v>
      </c>
      <c r="G442" s="3643">
        <v>88.06</v>
      </c>
      <c r="H442" s="3649">
        <v>12660</v>
      </c>
      <c r="I442" s="3649">
        <f t="shared" si="6"/>
        <v>111</v>
      </c>
      <c r="J442" s="3644">
        <f ca="1">典型户型修正!T464</f>
        <v>143</v>
      </c>
    </row>
    <row r="443" spans="1:10" s="3633" customFormat="1">
      <c r="A443" s="3629">
        <v>439</v>
      </c>
      <c r="B443" s="3629" t="s">
        <v>8958</v>
      </c>
      <c r="C443" s="3629">
        <v>30</v>
      </c>
      <c r="D443" s="3629" t="s">
        <v>8072</v>
      </c>
      <c r="E443" s="3629" t="s">
        <v>8073</v>
      </c>
      <c r="F443" s="3629" t="s">
        <v>8959</v>
      </c>
      <c r="G443" s="3643">
        <v>88.06</v>
      </c>
      <c r="H443" s="3649">
        <v>12660</v>
      </c>
      <c r="I443" s="3649">
        <f t="shared" si="6"/>
        <v>111</v>
      </c>
      <c r="J443" s="3644">
        <f ca="1">典型户型修正!T465</f>
        <v>143</v>
      </c>
    </row>
    <row r="444" spans="1:10" s="3633" customFormat="1">
      <c r="A444" s="3629">
        <v>440</v>
      </c>
      <c r="B444" s="3629" t="s">
        <v>8960</v>
      </c>
      <c r="C444" s="3629">
        <v>30</v>
      </c>
      <c r="D444" s="3629" t="s">
        <v>8072</v>
      </c>
      <c r="E444" s="3629" t="s">
        <v>8073</v>
      </c>
      <c r="F444" s="3629" t="s">
        <v>8961</v>
      </c>
      <c r="G444" s="3643">
        <v>88.06</v>
      </c>
      <c r="H444" s="3649">
        <v>12160</v>
      </c>
      <c r="I444" s="3649">
        <f t="shared" si="6"/>
        <v>107</v>
      </c>
      <c r="J444" s="3644">
        <f ca="1">典型户型修正!T466</f>
        <v>143</v>
      </c>
    </row>
    <row r="445" spans="1:10" s="3633" customFormat="1">
      <c r="A445" s="3629">
        <v>441</v>
      </c>
      <c r="B445" s="3629" t="s">
        <v>8962</v>
      </c>
      <c r="C445" s="3629">
        <v>30</v>
      </c>
      <c r="D445" s="3629" t="s">
        <v>8072</v>
      </c>
      <c r="E445" s="3629" t="s">
        <v>8073</v>
      </c>
      <c r="F445" s="3629" t="s">
        <v>8963</v>
      </c>
      <c r="G445" s="3643">
        <v>88.19</v>
      </c>
      <c r="H445" s="3649">
        <v>11250</v>
      </c>
      <c r="I445" s="3649">
        <f t="shared" si="6"/>
        <v>99</v>
      </c>
      <c r="J445" s="3644">
        <f ca="1">典型户型修正!T467</f>
        <v>141</v>
      </c>
    </row>
    <row r="446" spans="1:10" s="3633" customFormat="1">
      <c r="A446" s="3629">
        <v>442</v>
      </c>
      <c r="B446" s="3629" t="s">
        <v>8964</v>
      </c>
      <c r="C446" s="3629">
        <v>30</v>
      </c>
      <c r="D446" s="3629" t="s">
        <v>8072</v>
      </c>
      <c r="E446" s="3629" t="s">
        <v>8073</v>
      </c>
      <c r="F446" s="3629" t="s">
        <v>8965</v>
      </c>
      <c r="G446" s="3643">
        <v>88.19</v>
      </c>
      <c r="H446" s="3649">
        <v>11450</v>
      </c>
      <c r="I446" s="3649">
        <f t="shared" si="6"/>
        <v>101</v>
      </c>
      <c r="J446" s="3644">
        <f ca="1">典型户型修正!T468</f>
        <v>141</v>
      </c>
    </row>
    <row r="447" spans="1:10" s="3633" customFormat="1">
      <c r="A447" s="3629">
        <v>443</v>
      </c>
      <c r="B447" s="3629" t="s">
        <v>8966</v>
      </c>
      <c r="C447" s="3629">
        <v>30</v>
      </c>
      <c r="D447" s="3629" t="s">
        <v>8072</v>
      </c>
      <c r="E447" s="3629" t="s">
        <v>8073</v>
      </c>
      <c r="F447" s="3629" t="s">
        <v>8967</v>
      </c>
      <c r="G447" s="3643">
        <v>88.19</v>
      </c>
      <c r="H447" s="3649">
        <v>11900</v>
      </c>
      <c r="I447" s="3649">
        <f t="shared" si="6"/>
        <v>105</v>
      </c>
      <c r="J447" s="3644">
        <f ca="1">典型户型修正!T469</f>
        <v>141</v>
      </c>
    </row>
    <row r="448" spans="1:10" s="3633" customFormat="1">
      <c r="A448" s="3629">
        <v>444</v>
      </c>
      <c r="B448" s="3629" t="s">
        <v>8968</v>
      </c>
      <c r="C448" s="3629">
        <v>30</v>
      </c>
      <c r="D448" s="3629" t="s">
        <v>8072</v>
      </c>
      <c r="E448" s="3629" t="s">
        <v>8073</v>
      </c>
      <c r="F448" s="3629" t="s">
        <v>8969</v>
      </c>
      <c r="G448" s="3643">
        <v>88.19</v>
      </c>
      <c r="H448" s="3649">
        <v>12250</v>
      </c>
      <c r="I448" s="3649">
        <f t="shared" si="6"/>
        <v>108</v>
      </c>
      <c r="J448" s="3644">
        <f ca="1">典型户型修正!T470</f>
        <v>141</v>
      </c>
    </row>
    <row r="449" spans="1:10" s="3633" customFormat="1">
      <c r="A449" s="3629">
        <v>445</v>
      </c>
      <c r="B449" s="3629" t="s">
        <v>8970</v>
      </c>
      <c r="C449" s="3629">
        <v>30</v>
      </c>
      <c r="D449" s="3629" t="s">
        <v>8072</v>
      </c>
      <c r="E449" s="3629" t="s">
        <v>8073</v>
      </c>
      <c r="F449" s="3629" t="s">
        <v>8971</v>
      </c>
      <c r="G449" s="3643">
        <v>88.19</v>
      </c>
      <c r="H449" s="3649">
        <v>12300</v>
      </c>
      <c r="I449" s="3649">
        <f t="shared" si="6"/>
        <v>108</v>
      </c>
      <c r="J449" s="3644">
        <f ca="1">典型户型修正!T471</f>
        <v>141</v>
      </c>
    </row>
    <row r="450" spans="1:10" s="3633" customFormat="1">
      <c r="A450" s="3629">
        <v>446</v>
      </c>
      <c r="B450" s="3629" t="s">
        <v>8972</v>
      </c>
      <c r="C450" s="3629">
        <v>30</v>
      </c>
      <c r="D450" s="3629" t="s">
        <v>8072</v>
      </c>
      <c r="E450" s="3629" t="s">
        <v>8073</v>
      </c>
      <c r="F450" s="3629" t="s">
        <v>8973</v>
      </c>
      <c r="G450" s="3643">
        <v>88.19</v>
      </c>
      <c r="H450" s="3649">
        <v>12350</v>
      </c>
      <c r="I450" s="3649">
        <f t="shared" si="6"/>
        <v>109</v>
      </c>
      <c r="J450" s="3644">
        <f ca="1">典型户型修正!T472</f>
        <v>141</v>
      </c>
    </row>
    <row r="451" spans="1:10" s="3633" customFormat="1">
      <c r="A451" s="3629">
        <v>447</v>
      </c>
      <c r="B451" s="3629" t="s">
        <v>8974</v>
      </c>
      <c r="C451" s="3629">
        <v>30</v>
      </c>
      <c r="D451" s="3629" t="s">
        <v>8072</v>
      </c>
      <c r="E451" s="3629" t="s">
        <v>8073</v>
      </c>
      <c r="F451" s="3629" t="s">
        <v>8975</v>
      </c>
      <c r="G451" s="3643">
        <v>88.19</v>
      </c>
      <c r="H451" s="3649">
        <v>12400</v>
      </c>
      <c r="I451" s="3649">
        <f t="shared" si="6"/>
        <v>109</v>
      </c>
      <c r="J451" s="3644">
        <f ca="1">典型户型修正!T473</f>
        <v>141</v>
      </c>
    </row>
    <row r="452" spans="1:10" s="3633" customFormat="1">
      <c r="A452" s="3629">
        <v>448</v>
      </c>
      <c r="B452" s="3629" t="s">
        <v>8976</v>
      </c>
      <c r="C452" s="3629">
        <v>30</v>
      </c>
      <c r="D452" s="3629" t="s">
        <v>8072</v>
      </c>
      <c r="E452" s="3629" t="s">
        <v>8073</v>
      </c>
      <c r="F452" s="3629" t="s">
        <v>8977</v>
      </c>
      <c r="G452" s="3643">
        <v>88.19</v>
      </c>
      <c r="H452" s="3649">
        <v>12450</v>
      </c>
      <c r="I452" s="3649">
        <f t="shared" si="6"/>
        <v>110</v>
      </c>
      <c r="J452" s="3644">
        <f ca="1">典型户型修正!T474</f>
        <v>141</v>
      </c>
    </row>
    <row r="453" spans="1:10" s="3633" customFormat="1">
      <c r="A453" s="3629">
        <v>449</v>
      </c>
      <c r="B453" s="3629" t="s">
        <v>8978</v>
      </c>
      <c r="C453" s="3629">
        <v>30</v>
      </c>
      <c r="D453" s="3629" t="s">
        <v>8072</v>
      </c>
      <c r="E453" s="3629" t="s">
        <v>8073</v>
      </c>
      <c r="F453" s="3629" t="s">
        <v>8979</v>
      </c>
      <c r="G453" s="3643">
        <v>88.19</v>
      </c>
      <c r="H453" s="3649">
        <v>12500</v>
      </c>
      <c r="I453" s="3649">
        <f t="shared" si="6"/>
        <v>110</v>
      </c>
      <c r="J453" s="3644">
        <f ca="1">典型户型修正!T475</f>
        <v>141</v>
      </c>
    </row>
    <row r="454" spans="1:10" s="3633" customFormat="1">
      <c r="A454" s="3629">
        <v>450</v>
      </c>
      <c r="B454" s="3629" t="s">
        <v>8980</v>
      </c>
      <c r="C454" s="3629">
        <v>30</v>
      </c>
      <c r="D454" s="3629" t="s">
        <v>8072</v>
      </c>
      <c r="E454" s="3629" t="s">
        <v>8073</v>
      </c>
      <c r="F454" s="3629" t="s">
        <v>8981</v>
      </c>
      <c r="G454" s="3643">
        <v>88.19</v>
      </c>
      <c r="H454" s="3649">
        <v>12550</v>
      </c>
      <c r="I454" s="3649">
        <f t="shared" si="6"/>
        <v>111</v>
      </c>
      <c r="J454" s="3644">
        <f ca="1">典型户型修正!T476</f>
        <v>146</v>
      </c>
    </row>
    <row r="455" spans="1:10" s="3633" customFormat="1">
      <c r="A455" s="3629">
        <v>451</v>
      </c>
      <c r="B455" s="3629" t="s">
        <v>8982</v>
      </c>
      <c r="C455" s="3629">
        <v>30</v>
      </c>
      <c r="D455" s="3629" t="s">
        <v>8072</v>
      </c>
      <c r="E455" s="3629" t="s">
        <v>8073</v>
      </c>
      <c r="F455" s="3629" t="s">
        <v>8983</v>
      </c>
      <c r="G455" s="3643">
        <v>88.19</v>
      </c>
      <c r="H455" s="3649">
        <v>12600</v>
      </c>
      <c r="I455" s="3649">
        <f t="shared" ref="I455:I518" si="7">ROUND(G455*H455/10000,0)</f>
        <v>111</v>
      </c>
      <c r="J455" s="3644">
        <f ca="1">典型户型修正!T477</f>
        <v>146</v>
      </c>
    </row>
    <row r="456" spans="1:10" s="3633" customFormat="1">
      <c r="A456" s="3629">
        <v>452</v>
      </c>
      <c r="B456" s="3629" t="s">
        <v>8984</v>
      </c>
      <c r="C456" s="3629">
        <v>30</v>
      </c>
      <c r="D456" s="3629" t="s">
        <v>8072</v>
      </c>
      <c r="E456" s="3629" t="s">
        <v>8073</v>
      </c>
      <c r="F456" s="3629" t="s">
        <v>8985</v>
      </c>
      <c r="G456" s="3643">
        <v>88.19</v>
      </c>
      <c r="H456" s="3649">
        <v>12600</v>
      </c>
      <c r="I456" s="3649">
        <f t="shared" si="7"/>
        <v>111</v>
      </c>
      <c r="J456" s="3644">
        <f ca="1">典型户型修正!T478</f>
        <v>146</v>
      </c>
    </row>
    <row r="457" spans="1:10" s="3633" customFormat="1">
      <c r="A457" s="3629">
        <v>453</v>
      </c>
      <c r="B457" s="3629" t="s">
        <v>8986</v>
      </c>
      <c r="C457" s="3629">
        <v>30</v>
      </c>
      <c r="D457" s="3629" t="s">
        <v>8072</v>
      </c>
      <c r="E457" s="3629" t="s">
        <v>8073</v>
      </c>
      <c r="F457" s="3629" t="s">
        <v>8987</v>
      </c>
      <c r="G457" s="3643">
        <v>88.19</v>
      </c>
      <c r="H457" s="3649">
        <v>12600</v>
      </c>
      <c r="I457" s="3649">
        <f t="shared" si="7"/>
        <v>111</v>
      </c>
      <c r="J457" s="3644">
        <f ca="1">典型户型修正!T479</f>
        <v>146</v>
      </c>
    </row>
    <row r="458" spans="1:10" s="3633" customFormat="1">
      <c r="A458" s="3629">
        <v>454</v>
      </c>
      <c r="B458" s="3629" t="s">
        <v>8988</v>
      </c>
      <c r="C458" s="3629">
        <v>30</v>
      </c>
      <c r="D458" s="3629" t="s">
        <v>8072</v>
      </c>
      <c r="E458" s="3629" t="s">
        <v>8073</v>
      </c>
      <c r="F458" s="3629" t="s">
        <v>8989</v>
      </c>
      <c r="G458" s="3643">
        <v>88.19</v>
      </c>
      <c r="H458" s="3649">
        <v>12630</v>
      </c>
      <c r="I458" s="3649">
        <f t="shared" si="7"/>
        <v>111</v>
      </c>
      <c r="J458" s="3644">
        <f ca="1">典型户型修正!T480</f>
        <v>146</v>
      </c>
    </row>
    <row r="459" spans="1:10" s="3633" customFormat="1">
      <c r="A459" s="3629">
        <v>455</v>
      </c>
      <c r="B459" s="3629" t="s">
        <v>8990</v>
      </c>
      <c r="C459" s="3629">
        <v>30</v>
      </c>
      <c r="D459" s="3629" t="s">
        <v>8072</v>
      </c>
      <c r="E459" s="3629" t="s">
        <v>8073</v>
      </c>
      <c r="F459" s="3629" t="s">
        <v>8991</v>
      </c>
      <c r="G459" s="3643">
        <v>88.19</v>
      </c>
      <c r="H459" s="3649">
        <v>12630</v>
      </c>
      <c r="I459" s="3649">
        <f t="shared" si="7"/>
        <v>111</v>
      </c>
      <c r="J459" s="3644">
        <f ca="1">典型户型修正!T481</f>
        <v>146</v>
      </c>
    </row>
    <row r="460" spans="1:10" s="3633" customFormat="1">
      <c r="A460" s="3629">
        <v>456</v>
      </c>
      <c r="B460" s="3629" t="s">
        <v>8992</v>
      </c>
      <c r="C460" s="3629">
        <v>30</v>
      </c>
      <c r="D460" s="3629" t="s">
        <v>8072</v>
      </c>
      <c r="E460" s="3629" t="s">
        <v>8073</v>
      </c>
      <c r="F460" s="3629" t="s">
        <v>8993</v>
      </c>
      <c r="G460" s="3643">
        <v>88.19</v>
      </c>
      <c r="H460" s="3649">
        <v>12660</v>
      </c>
      <c r="I460" s="3649">
        <f t="shared" si="7"/>
        <v>112</v>
      </c>
      <c r="J460" s="3644">
        <f ca="1">典型户型修正!T482</f>
        <v>146</v>
      </c>
    </row>
    <row r="461" spans="1:10" s="3633" customFormat="1">
      <c r="A461" s="3629">
        <v>457</v>
      </c>
      <c r="B461" s="3629" t="s">
        <v>8994</v>
      </c>
      <c r="C461" s="3629">
        <v>30</v>
      </c>
      <c r="D461" s="3629" t="s">
        <v>8072</v>
      </c>
      <c r="E461" s="3629" t="s">
        <v>8073</v>
      </c>
      <c r="F461" s="3629" t="s">
        <v>8995</v>
      </c>
      <c r="G461" s="3643">
        <v>88.19</v>
      </c>
      <c r="H461" s="3649">
        <v>12660</v>
      </c>
      <c r="I461" s="3649">
        <f t="shared" si="7"/>
        <v>112</v>
      </c>
      <c r="J461" s="3644">
        <f ca="1">典型户型修正!T483</f>
        <v>146</v>
      </c>
    </row>
    <row r="462" spans="1:10" s="3633" customFormat="1">
      <c r="A462" s="3629">
        <v>458</v>
      </c>
      <c r="B462" s="3629" t="s">
        <v>8996</v>
      </c>
      <c r="C462" s="3629">
        <v>30</v>
      </c>
      <c r="D462" s="3629" t="s">
        <v>8072</v>
      </c>
      <c r="E462" s="3629" t="s">
        <v>8073</v>
      </c>
      <c r="F462" s="3629" t="s">
        <v>8997</v>
      </c>
      <c r="G462" s="3643">
        <v>88.19</v>
      </c>
      <c r="H462" s="3649">
        <v>12660</v>
      </c>
      <c r="I462" s="3649">
        <f t="shared" si="7"/>
        <v>112</v>
      </c>
      <c r="J462" s="3644">
        <f ca="1">典型户型修正!T484</f>
        <v>146</v>
      </c>
    </row>
    <row r="463" spans="1:10" s="3633" customFormat="1">
      <c r="A463" s="3629">
        <v>459</v>
      </c>
      <c r="B463" s="3629" t="s">
        <v>8998</v>
      </c>
      <c r="C463" s="3629">
        <v>30</v>
      </c>
      <c r="D463" s="3629" t="s">
        <v>8072</v>
      </c>
      <c r="E463" s="3629" t="s">
        <v>8073</v>
      </c>
      <c r="F463" s="3629" t="s">
        <v>8999</v>
      </c>
      <c r="G463" s="3643">
        <v>88.19</v>
      </c>
      <c r="H463" s="3649">
        <v>12660</v>
      </c>
      <c r="I463" s="3649">
        <f t="shared" si="7"/>
        <v>112</v>
      </c>
      <c r="J463" s="3644">
        <f ca="1">典型户型修正!T485</f>
        <v>146</v>
      </c>
    </row>
    <row r="464" spans="1:10" s="3633" customFormat="1">
      <c r="A464" s="3629">
        <v>460</v>
      </c>
      <c r="B464" s="3629" t="s">
        <v>9000</v>
      </c>
      <c r="C464" s="3629">
        <v>30</v>
      </c>
      <c r="D464" s="3629" t="s">
        <v>8072</v>
      </c>
      <c r="E464" s="3629" t="s">
        <v>8073</v>
      </c>
      <c r="F464" s="3629" t="s">
        <v>9001</v>
      </c>
      <c r="G464" s="3643">
        <v>88.19</v>
      </c>
      <c r="H464" s="3649">
        <v>12690</v>
      </c>
      <c r="I464" s="3649">
        <f t="shared" si="7"/>
        <v>112</v>
      </c>
      <c r="J464" s="3644">
        <f ca="1">典型户型修正!T486</f>
        <v>143</v>
      </c>
    </row>
    <row r="465" spans="1:10" s="3633" customFormat="1">
      <c r="A465" s="3629">
        <v>461</v>
      </c>
      <c r="B465" s="3629" t="s">
        <v>9002</v>
      </c>
      <c r="C465" s="3629">
        <v>30</v>
      </c>
      <c r="D465" s="3629" t="s">
        <v>8072</v>
      </c>
      <c r="E465" s="3629" t="s">
        <v>8073</v>
      </c>
      <c r="F465" s="3629" t="s">
        <v>9003</v>
      </c>
      <c r="G465" s="3643">
        <v>88.19</v>
      </c>
      <c r="H465" s="3649">
        <v>12690</v>
      </c>
      <c r="I465" s="3649">
        <f t="shared" si="7"/>
        <v>112</v>
      </c>
      <c r="J465" s="3644">
        <f ca="1">典型户型修正!T487</f>
        <v>143</v>
      </c>
    </row>
    <row r="466" spans="1:10" s="3633" customFormat="1">
      <c r="A466" s="3629">
        <v>462</v>
      </c>
      <c r="B466" s="3629" t="s">
        <v>9004</v>
      </c>
      <c r="C466" s="3629">
        <v>30</v>
      </c>
      <c r="D466" s="3629" t="s">
        <v>8072</v>
      </c>
      <c r="E466" s="3629" t="s">
        <v>8073</v>
      </c>
      <c r="F466" s="3629" t="s">
        <v>9005</v>
      </c>
      <c r="G466" s="3643">
        <v>88.19</v>
      </c>
      <c r="H466" s="3649">
        <v>12660</v>
      </c>
      <c r="I466" s="3649">
        <f t="shared" si="7"/>
        <v>112</v>
      </c>
      <c r="J466" s="3644">
        <f ca="1">典型户型修正!T488</f>
        <v>143</v>
      </c>
    </row>
    <row r="467" spans="1:10" s="3633" customFormat="1">
      <c r="A467" s="3629">
        <v>463</v>
      </c>
      <c r="B467" s="3629" t="s">
        <v>9006</v>
      </c>
      <c r="C467" s="3629">
        <v>30</v>
      </c>
      <c r="D467" s="3629" t="s">
        <v>8072</v>
      </c>
      <c r="E467" s="3629" t="s">
        <v>8073</v>
      </c>
      <c r="F467" s="3629" t="s">
        <v>9007</v>
      </c>
      <c r="G467" s="3643">
        <v>88.19</v>
      </c>
      <c r="H467" s="3649">
        <v>12660</v>
      </c>
      <c r="I467" s="3649">
        <f t="shared" si="7"/>
        <v>112</v>
      </c>
      <c r="J467" s="3644">
        <f ca="1">典型户型修正!T489</f>
        <v>143</v>
      </c>
    </row>
    <row r="468" spans="1:10" s="3633" customFormat="1">
      <c r="A468" s="3629">
        <v>464</v>
      </c>
      <c r="B468" s="3629" t="s">
        <v>9008</v>
      </c>
      <c r="C468" s="3629">
        <v>30</v>
      </c>
      <c r="D468" s="3629" t="s">
        <v>8072</v>
      </c>
      <c r="E468" s="3629" t="s">
        <v>8073</v>
      </c>
      <c r="F468" s="3629" t="s">
        <v>9009</v>
      </c>
      <c r="G468" s="3643">
        <v>88.19</v>
      </c>
      <c r="H468" s="3649">
        <v>12660</v>
      </c>
      <c r="I468" s="3649">
        <f t="shared" si="7"/>
        <v>112</v>
      </c>
      <c r="J468" s="3644">
        <f ca="1">典型户型修正!T490</f>
        <v>143</v>
      </c>
    </row>
    <row r="469" spans="1:10" s="3633" customFormat="1">
      <c r="A469" s="3629">
        <v>465</v>
      </c>
      <c r="B469" s="3629" t="s">
        <v>9010</v>
      </c>
      <c r="C469" s="3629">
        <v>30</v>
      </c>
      <c r="D469" s="3629" t="s">
        <v>8072</v>
      </c>
      <c r="E469" s="3629" t="s">
        <v>8073</v>
      </c>
      <c r="F469" s="3629" t="s">
        <v>9011</v>
      </c>
      <c r="G469" s="3643">
        <v>88.19</v>
      </c>
      <c r="H469" s="3649">
        <v>12660</v>
      </c>
      <c r="I469" s="3649">
        <f t="shared" si="7"/>
        <v>112</v>
      </c>
      <c r="J469" s="3644">
        <f ca="1">典型户型修正!T491</f>
        <v>143</v>
      </c>
    </row>
    <row r="470" spans="1:10" s="3633" customFormat="1">
      <c r="A470" s="3629">
        <v>466</v>
      </c>
      <c r="B470" s="3629" t="s">
        <v>9012</v>
      </c>
      <c r="C470" s="3629">
        <v>30</v>
      </c>
      <c r="D470" s="3629" t="s">
        <v>8072</v>
      </c>
      <c r="E470" s="3629" t="s">
        <v>8073</v>
      </c>
      <c r="F470" s="3629" t="s">
        <v>9013</v>
      </c>
      <c r="G470" s="3643">
        <v>88.19</v>
      </c>
      <c r="H470" s="3649">
        <v>12660</v>
      </c>
      <c r="I470" s="3649">
        <f t="shared" si="7"/>
        <v>112</v>
      </c>
      <c r="J470" s="3644">
        <f ca="1">典型户型修正!T492</f>
        <v>143</v>
      </c>
    </row>
    <row r="471" spans="1:10" s="3633" customFormat="1">
      <c r="A471" s="3629">
        <v>467</v>
      </c>
      <c r="B471" s="3629" t="s">
        <v>9014</v>
      </c>
      <c r="C471" s="3629">
        <v>30</v>
      </c>
      <c r="D471" s="3629" t="s">
        <v>8072</v>
      </c>
      <c r="E471" s="3629" t="s">
        <v>8073</v>
      </c>
      <c r="F471" s="3629" t="s">
        <v>9015</v>
      </c>
      <c r="G471" s="3643">
        <v>88.19</v>
      </c>
      <c r="H471" s="3649">
        <v>12660</v>
      </c>
      <c r="I471" s="3649">
        <f t="shared" si="7"/>
        <v>112</v>
      </c>
      <c r="J471" s="3644">
        <f ca="1">典型户型修正!T493</f>
        <v>143</v>
      </c>
    </row>
    <row r="472" spans="1:10" s="3633" customFormat="1">
      <c r="A472" s="3629">
        <v>468</v>
      </c>
      <c r="B472" s="3629" t="s">
        <v>9016</v>
      </c>
      <c r="C472" s="3629">
        <v>30</v>
      </c>
      <c r="D472" s="3629" t="s">
        <v>8072</v>
      </c>
      <c r="E472" s="3629" t="s">
        <v>8073</v>
      </c>
      <c r="F472" s="3629" t="s">
        <v>9017</v>
      </c>
      <c r="G472" s="3643">
        <v>88.19</v>
      </c>
      <c r="H472" s="3649">
        <v>12660</v>
      </c>
      <c r="I472" s="3649">
        <f t="shared" si="7"/>
        <v>112</v>
      </c>
      <c r="J472" s="3644">
        <f ca="1">典型户型修正!T494</f>
        <v>143</v>
      </c>
    </row>
    <row r="473" spans="1:10" s="3633" customFormat="1">
      <c r="A473" s="3629">
        <v>469</v>
      </c>
      <c r="B473" s="3629" t="s">
        <v>9018</v>
      </c>
      <c r="C473" s="3629">
        <v>30</v>
      </c>
      <c r="D473" s="3629" t="s">
        <v>8072</v>
      </c>
      <c r="E473" s="3629" t="s">
        <v>8073</v>
      </c>
      <c r="F473" s="3629" t="s">
        <v>9019</v>
      </c>
      <c r="G473" s="3643">
        <v>88.19</v>
      </c>
      <c r="H473" s="3649">
        <v>12160</v>
      </c>
      <c r="I473" s="3649">
        <f t="shared" si="7"/>
        <v>107</v>
      </c>
      <c r="J473" s="3644">
        <f ca="1">典型户型修正!T495</f>
        <v>143</v>
      </c>
    </row>
    <row r="474" spans="1:10" s="3633" customFormat="1">
      <c r="A474" s="3629">
        <v>470</v>
      </c>
      <c r="B474" s="3629" t="s">
        <v>9020</v>
      </c>
      <c r="C474" s="3629">
        <v>30</v>
      </c>
      <c r="D474" s="3629" t="s">
        <v>9021</v>
      </c>
      <c r="E474" s="3629" t="s">
        <v>8073</v>
      </c>
      <c r="F474" s="3629" t="s">
        <v>9022</v>
      </c>
      <c r="G474" s="3643">
        <v>136.66999999999999</v>
      </c>
      <c r="H474" s="3649">
        <v>14100</v>
      </c>
      <c r="I474" s="3649">
        <f t="shared" si="7"/>
        <v>193</v>
      </c>
      <c r="J474" s="3644">
        <f ca="1">典型户型修正!T496</f>
        <v>218</v>
      </c>
    </row>
    <row r="475" spans="1:10" s="3633" customFormat="1">
      <c r="A475" s="3629">
        <v>471</v>
      </c>
      <c r="B475" s="3629" t="s">
        <v>9023</v>
      </c>
      <c r="C475" s="3629">
        <v>30</v>
      </c>
      <c r="D475" s="3629" t="s">
        <v>9024</v>
      </c>
      <c r="E475" s="3629" t="s">
        <v>8073</v>
      </c>
      <c r="F475" s="3629" t="s">
        <v>9025</v>
      </c>
      <c r="G475" s="3643">
        <v>136.66999999999999</v>
      </c>
      <c r="H475" s="3649">
        <v>14300</v>
      </c>
      <c r="I475" s="3649">
        <f t="shared" si="7"/>
        <v>195</v>
      </c>
      <c r="J475" s="3644">
        <f ca="1">典型户型修正!T497</f>
        <v>218</v>
      </c>
    </row>
    <row r="476" spans="1:10" s="3633" customFormat="1">
      <c r="A476" s="3629">
        <v>472</v>
      </c>
      <c r="B476" s="3629" t="s">
        <v>9026</v>
      </c>
      <c r="C476" s="3629">
        <v>30</v>
      </c>
      <c r="D476" s="3629" t="s">
        <v>9024</v>
      </c>
      <c r="E476" s="3629" t="s">
        <v>8073</v>
      </c>
      <c r="F476" s="3629" t="s">
        <v>9027</v>
      </c>
      <c r="G476" s="3643">
        <v>136.66999999999999</v>
      </c>
      <c r="H476" s="3649">
        <v>14600</v>
      </c>
      <c r="I476" s="3649">
        <f t="shared" si="7"/>
        <v>200</v>
      </c>
      <c r="J476" s="3644">
        <f ca="1">典型户型修正!T498</f>
        <v>218</v>
      </c>
    </row>
    <row r="477" spans="1:10" s="3633" customFormat="1">
      <c r="A477" s="3629">
        <v>473</v>
      </c>
      <c r="B477" s="3629" t="s">
        <v>9028</v>
      </c>
      <c r="C477" s="3629">
        <v>30</v>
      </c>
      <c r="D477" s="3629" t="s">
        <v>9024</v>
      </c>
      <c r="E477" s="3629" t="s">
        <v>8073</v>
      </c>
      <c r="F477" s="3629" t="s">
        <v>9029</v>
      </c>
      <c r="G477" s="3643">
        <v>136.66999999999999</v>
      </c>
      <c r="H477" s="3649">
        <v>14800</v>
      </c>
      <c r="I477" s="3649">
        <f t="shared" si="7"/>
        <v>202</v>
      </c>
      <c r="J477" s="3644">
        <f ca="1">典型户型修正!T499</f>
        <v>218</v>
      </c>
    </row>
    <row r="478" spans="1:10" s="3633" customFormat="1">
      <c r="A478" s="3629">
        <v>474</v>
      </c>
      <c r="B478" s="3629" t="s">
        <v>9030</v>
      </c>
      <c r="C478" s="3629">
        <v>30</v>
      </c>
      <c r="D478" s="3629" t="s">
        <v>9024</v>
      </c>
      <c r="E478" s="3629" t="s">
        <v>8073</v>
      </c>
      <c r="F478" s="3629" t="s">
        <v>9031</v>
      </c>
      <c r="G478" s="3643">
        <v>136.66999999999999</v>
      </c>
      <c r="H478" s="3649">
        <v>14900</v>
      </c>
      <c r="I478" s="3649">
        <f t="shared" si="7"/>
        <v>204</v>
      </c>
      <c r="J478" s="3644">
        <f ca="1">典型户型修正!T500</f>
        <v>218</v>
      </c>
    </row>
    <row r="479" spans="1:10" s="3633" customFormat="1">
      <c r="A479" s="3629">
        <v>475</v>
      </c>
      <c r="B479" s="3629" t="s">
        <v>9032</v>
      </c>
      <c r="C479" s="3629">
        <v>30</v>
      </c>
      <c r="D479" s="3629" t="s">
        <v>9024</v>
      </c>
      <c r="E479" s="3629" t="s">
        <v>8073</v>
      </c>
      <c r="F479" s="3629" t="s">
        <v>9033</v>
      </c>
      <c r="G479" s="3643">
        <v>136.66999999999999</v>
      </c>
      <c r="H479" s="3649">
        <v>15000</v>
      </c>
      <c r="I479" s="3649">
        <f t="shared" si="7"/>
        <v>205</v>
      </c>
      <c r="J479" s="3644">
        <f ca="1">典型户型修正!T501</f>
        <v>226</v>
      </c>
    </row>
    <row r="480" spans="1:10" s="3633" customFormat="1">
      <c r="A480" s="3629">
        <v>476</v>
      </c>
      <c r="B480" s="3629" t="s">
        <v>9034</v>
      </c>
      <c r="C480" s="3629">
        <v>30</v>
      </c>
      <c r="D480" s="3629" t="s">
        <v>9024</v>
      </c>
      <c r="E480" s="3629" t="s">
        <v>8073</v>
      </c>
      <c r="F480" s="3629" t="s">
        <v>9035</v>
      </c>
      <c r="G480" s="3643">
        <v>136.66999999999999</v>
      </c>
      <c r="H480" s="3649">
        <v>15000</v>
      </c>
      <c r="I480" s="3649">
        <f t="shared" si="7"/>
        <v>205</v>
      </c>
      <c r="J480" s="3644">
        <f ca="1">典型户型修正!T502</f>
        <v>226</v>
      </c>
    </row>
    <row r="481" spans="1:10" s="3633" customFormat="1">
      <c r="A481" s="3629">
        <v>477</v>
      </c>
      <c r="B481" s="3629" t="s">
        <v>9036</v>
      </c>
      <c r="C481" s="3629">
        <v>30</v>
      </c>
      <c r="D481" s="3629" t="s">
        <v>9024</v>
      </c>
      <c r="E481" s="3629" t="s">
        <v>8073</v>
      </c>
      <c r="F481" s="3629" t="s">
        <v>9037</v>
      </c>
      <c r="G481" s="3643">
        <v>136.66999999999999</v>
      </c>
      <c r="H481" s="3649">
        <v>15200</v>
      </c>
      <c r="I481" s="3649">
        <f t="shared" si="7"/>
        <v>208</v>
      </c>
      <c r="J481" s="3644">
        <f ca="1">典型户型修正!T503</f>
        <v>226</v>
      </c>
    </row>
    <row r="482" spans="1:10" s="3633" customFormat="1">
      <c r="A482" s="3629">
        <v>478</v>
      </c>
      <c r="B482" s="3629" t="s">
        <v>9038</v>
      </c>
      <c r="C482" s="3629">
        <v>30</v>
      </c>
      <c r="D482" s="3629" t="s">
        <v>9024</v>
      </c>
      <c r="E482" s="3629" t="s">
        <v>8073</v>
      </c>
      <c r="F482" s="3629" t="s">
        <v>9039</v>
      </c>
      <c r="G482" s="3643">
        <v>136.66999999999999</v>
      </c>
      <c r="H482" s="3649">
        <v>15200</v>
      </c>
      <c r="I482" s="3649">
        <f t="shared" si="7"/>
        <v>208</v>
      </c>
      <c r="J482" s="3644">
        <f ca="1">典型户型修正!T504</f>
        <v>226</v>
      </c>
    </row>
    <row r="483" spans="1:10" s="3633" customFormat="1">
      <c r="A483" s="3629">
        <v>479</v>
      </c>
      <c r="B483" s="3629" t="s">
        <v>9040</v>
      </c>
      <c r="C483" s="3629">
        <v>30</v>
      </c>
      <c r="D483" s="3629" t="s">
        <v>9024</v>
      </c>
      <c r="E483" s="3629" t="s">
        <v>8073</v>
      </c>
      <c r="F483" s="3629" t="s">
        <v>9041</v>
      </c>
      <c r="G483" s="3643">
        <v>136.66999999999999</v>
      </c>
      <c r="H483" s="3649">
        <v>15200</v>
      </c>
      <c r="I483" s="3649">
        <f t="shared" si="7"/>
        <v>208</v>
      </c>
      <c r="J483" s="3644">
        <f ca="1">典型户型修正!T505</f>
        <v>226</v>
      </c>
    </row>
    <row r="484" spans="1:10" s="3633" customFormat="1">
      <c r="A484" s="3629">
        <v>480</v>
      </c>
      <c r="B484" s="3629" t="s">
        <v>9042</v>
      </c>
      <c r="C484" s="3629">
        <v>30</v>
      </c>
      <c r="D484" s="3629" t="s">
        <v>9024</v>
      </c>
      <c r="E484" s="3629" t="s">
        <v>8073</v>
      </c>
      <c r="F484" s="3629" t="s">
        <v>9043</v>
      </c>
      <c r="G484" s="3643">
        <v>136.66999999999999</v>
      </c>
      <c r="H484" s="3649">
        <v>15200</v>
      </c>
      <c r="I484" s="3649">
        <f t="shared" si="7"/>
        <v>208</v>
      </c>
      <c r="J484" s="3644">
        <f ca="1">典型户型修正!T506</f>
        <v>222</v>
      </c>
    </row>
    <row r="485" spans="1:10" s="3633" customFormat="1">
      <c r="A485" s="3629">
        <v>481</v>
      </c>
      <c r="B485" s="3629" t="s">
        <v>9044</v>
      </c>
      <c r="C485" s="3629">
        <v>30</v>
      </c>
      <c r="D485" s="3629" t="s">
        <v>9024</v>
      </c>
      <c r="E485" s="3629" t="s">
        <v>8073</v>
      </c>
      <c r="F485" s="3629" t="s">
        <v>9045</v>
      </c>
      <c r="G485" s="3643">
        <v>136.66999999999999</v>
      </c>
      <c r="H485" s="3649">
        <v>15100</v>
      </c>
      <c r="I485" s="3649">
        <f t="shared" si="7"/>
        <v>206</v>
      </c>
      <c r="J485" s="3644">
        <f ca="1">典型户型修正!T507</f>
        <v>222</v>
      </c>
    </row>
    <row r="486" spans="1:10" s="3633" customFormat="1">
      <c r="A486" s="3629">
        <v>482</v>
      </c>
      <c r="B486" s="3629" t="s">
        <v>9046</v>
      </c>
      <c r="C486" s="3629">
        <v>30</v>
      </c>
      <c r="D486" s="3629" t="s">
        <v>9024</v>
      </c>
      <c r="E486" s="3629" t="s">
        <v>8073</v>
      </c>
      <c r="F486" s="3629" t="s">
        <v>9047</v>
      </c>
      <c r="G486" s="3643">
        <v>136.66999999999999</v>
      </c>
      <c r="H486" s="3649">
        <v>15100</v>
      </c>
      <c r="I486" s="3649">
        <f t="shared" si="7"/>
        <v>206</v>
      </c>
      <c r="J486" s="3644">
        <f ca="1">典型户型修正!T508</f>
        <v>222</v>
      </c>
    </row>
    <row r="487" spans="1:10" s="3633" customFormat="1">
      <c r="A487" s="3629">
        <v>483</v>
      </c>
      <c r="B487" s="3629" t="s">
        <v>9048</v>
      </c>
      <c r="C487" s="3629">
        <v>30</v>
      </c>
      <c r="D487" s="3629" t="s">
        <v>9024</v>
      </c>
      <c r="E487" s="3629" t="s">
        <v>8073</v>
      </c>
      <c r="F487" s="3629" t="s">
        <v>9049</v>
      </c>
      <c r="G487" s="3643">
        <v>136.66999999999999</v>
      </c>
      <c r="H487" s="3649">
        <v>14900</v>
      </c>
      <c r="I487" s="3649">
        <f t="shared" si="7"/>
        <v>204</v>
      </c>
      <c r="J487" s="3644">
        <f ca="1">典型户型修正!T509</f>
        <v>222</v>
      </c>
    </row>
    <row r="488" spans="1:10" s="3633" customFormat="1">
      <c r="A488" s="3629">
        <v>484</v>
      </c>
      <c r="B488" s="3629" t="s">
        <v>9050</v>
      </c>
      <c r="C488" s="3629">
        <v>30</v>
      </c>
      <c r="D488" s="3629" t="s">
        <v>8072</v>
      </c>
      <c r="E488" s="3629" t="s">
        <v>8073</v>
      </c>
      <c r="F488" s="3629" t="s">
        <v>9051</v>
      </c>
      <c r="G488" s="3643">
        <v>68.760000000000005</v>
      </c>
      <c r="H488" s="3649">
        <v>12500</v>
      </c>
      <c r="I488" s="3649">
        <f t="shared" si="7"/>
        <v>86</v>
      </c>
      <c r="J488" s="3644">
        <f ca="1">典型户型修正!T510</f>
        <v>111</v>
      </c>
    </row>
    <row r="489" spans="1:10" s="3633" customFormat="1">
      <c r="A489" s="3629">
        <v>485</v>
      </c>
      <c r="B489" s="3629" t="s">
        <v>9052</v>
      </c>
      <c r="C489" s="3629">
        <v>30</v>
      </c>
      <c r="D489" s="3629" t="s">
        <v>9024</v>
      </c>
      <c r="E489" s="3629" t="s">
        <v>8073</v>
      </c>
      <c r="F489" s="3629" t="s">
        <v>9053</v>
      </c>
      <c r="G489" s="3643">
        <v>136.66999999999999</v>
      </c>
      <c r="H489" s="3649">
        <v>14100</v>
      </c>
      <c r="I489" s="3649">
        <f t="shared" si="7"/>
        <v>193</v>
      </c>
      <c r="J489" s="3644">
        <f ca="1">典型户型修正!T511</f>
        <v>218</v>
      </c>
    </row>
    <row r="490" spans="1:10" s="3633" customFormat="1">
      <c r="A490" s="3629">
        <v>486</v>
      </c>
      <c r="B490" s="3629" t="s">
        <v>9054</v>
      </c>
      <c r="C490" s="3629">
        <v>30</v>
      </c>
      <c r="D490" s="3629" t="s">
        <v>9024</v>
      </c>
      <c r="E490" s="3629" t="s">
        <v>8073</v>
      </c>
      <c r="F490" s="3629" t="s">
        <v>9055</v>
      </c>
      <c r="G490" s="3643">
        <v>136.66999999999999</v>
      </c>
      <c r="H490" s="3649">
        <v>14300</v>
      </c>
      <c r="I490" s="3649">
        <f t="shared" si="7"/>
        <v>195</v>
      </c>
      <c r="J490" s="3644">
        <f ca="1">典型户型修正!T512</f>
        <v>218</v>
      </c>
    </row>
    <row r="491" spans="1:10" s="3633" customFormat="1">
      <c r="A491" s="3629">
        <v>487</v>
      </c>
      <c r="B491" s="3629" t="s">
        <v>9056</v>
      </c>
      <c r="C491" s="3629">
        <v>30</v>
      </c>
      <c r="D491" s="3629" t="s">
        <v>9024</v>
      </c>
      <c r="E491" s="3629" t="s">
        <v>8073</v>
      </c>
      <c r="F491" s="3629" t="s">
        <v>9057</v>
      </c>
      <c r="G491" s="3643">
        <v>136.66999999999999</v>
      </c>
      <c r="H491" s="3649">
        <v>14600</v>
      </c>
      <c r="I491" s="3649">
        <f t="shared" si="7"/>
        <v>200</v>
      </c>
      <c r="J491" s="3644">
        <f ca="1">典型户型修正!T513</f>
        <v>218</v>
      </c>
    </row>
    <row r="492" spans="1:10" s="3633" customFormat="1">
      <c r="A492" s="3629">
        <v>488</v>
      </c>
      <c r="B492" s="3629" t="s">
        <v>9058</v>
      </c>
      <c r="C492" s="3629">
        <v>30</v>
      </c>
      <c r="D492" s="3629" t="s">
        <v>9024</v>
      </c>
      <c r="E492" s="3629" t="s">
        <v>8073</v>
      </c>
      <c r="F492" s="3629" t="s">
        <v>9059</v>
      </c>
      <c r="G492" s="3643">
        <v>136.66999999999999</v>
      </c>
      <c r="H492" s="3649">
        <v>14800</v>
      </c>
      <c r="I492" s="3649">
        <f t="shared" si="7"/>
        <v>202</v>
      </c>
      <c r="J492" s="3644">
        <f ca="1">典型户型修正!T514</f>
        <v>218</v>
      </c>
    </row>
    <row r="493" spans="1:10" s="3633" customFormat="1">
      <c r="A493" s="3629">
        <v>489</v>
      </c>
      <c r="B493" s="3629" t="s">
        <v>9060</v>
      </c>
      <c r="C493" s="3629">
        <v>30</v>
      </c>
      <c r="D493" s="3629" t="s">
        <v>9024</v>
      </c>
      <c r="E493" s="3629" t="s">
        <v>8073</v>
      </c>
      <c r="F493" s="3629" t="s">
        <v>9061</v>
      </c>
      <c r="G493" s="3643">
        <v>136.66999999999999</v>
      </c>
      <c r="H493" s="3649">
        <v>14900</v>
      </c>
      <c r="I493" s="3649">
        <f t="shared" si="7"/>
        <v>204</v>
      </c>
      <c r="J493" s="3644">
        <f ca="1">典型户型修正!T515</f>
        <v>218</v>
      </c>
    </row>
    <row r="494" spans="1:10" s="3633" customFormat="1">
      <c r="A494" s="3629">
        <v>490</v>
      </c>
      <c r="B494" s="3629" t="s">
        <v>9062</v>
      </c>
      <c r="C494" s="3629">
        <v>30</v>
      </c>
      <c r="D494" s="3629" t="s">
        <v>9024</v>
      </c>
      <c r="E494" s="3629" t="s">
        <v>8073</v>
      </c>
      <c r="F494" s="3629" t="s">
        <v>9063</v>
      </c>
      <c r="G494" s="3643">
        <v>136.66999999999999</v>
      </c>
      <c r="H494" s="3649">
        <v>15000</v>
      </c>
      <c r="I494" s="3649">
        <f t="shared" si="7"/>
        <v>205</v>
      </c>
      <c r="J494" s="3644">
        <f ca="1">典型户型修正!T516</f>
        <v>226</v>
      </c>
    </row>
    <row r="495" spans="1:10" s="3633" customFormat="1">
      <c r="A495" s="3629">
        <v>491</v>
      </c>
      <c r="B495" s="3629" t="s">
        <v>9064</v>
      </c>
      <c r="C495" s="3629">
        <v>30</v>
      </c>
      <c r="D495" s="3629" t="s">
        <v>9024</v>
      </c>
      <c r="E495" s="3629" t="s">
        <v>8073</v>
      </c>
      <c r="F495" s="3629" t="s">
        <v>9065</v>
      </c>
      <c r="G495" s="3643">
        <v>136.66999999999999</v>
      </c>
      <c r="H495" s="3649">
        <v>15000</v>
      </c>
      <c r="I495" s="3649">
        <f t="shared" si="7"/>
        <v>205</v>
      </c>
      <c r="J495" s="3644">
        <f ca="1">典型户型修正!T517</f>
        <v>226</v>
      </c>
    </row>
    <row r="496" spans="1:10" s="3633" customFormat="1">
      <c r="A496" s="3629">
        <v>492</v>
      </c>
      <c r="B496" s="3629" t="s">
        <v>9066</v>
      </c>
      <c r="C496" s="3629">
        <v>30</v>
      </c>
      <c r="D496" s="3629" t="s">
        <v>9024</v>
      </c>
      <c r="E496" s="3629" t="s">
        <v>8073</v>
      </c>
      <c r="F496" s="3629" t="s">
        <v>9067</v>
      </c>
      <c r="G496" s="3643">
        <v>136.66999999999999</v>
      </c>
      <c r="H496" s="3649">
        <v>15200</v>
      </c>
      <c r="I496" s="3649">
        <f t="shared" si="7"/>
        <v>208</v>
      </c>
      <c r="J496" s="3644">
        <f ca="1">典型户型修正!T518</f>
        <v>226</v>
      </c>
    </row>
    <row r="497" spans="1:10" s="3633" customFormat="1">
      <c r="A497" s="3629">
        <v>493</v>
      </c>
      <c r="B497" s="3629" t="s">
        <v>9068</v>
      </c>
      <c r="C497" s="3629">
        <v>30</v>
      </c>
      <c r="D497" s="3629" t="s">
        <v>9024</v>
      </c>
      <c r="E497" s="3629" t="s">
        <v>8073</v>
      </c>
      <c r="F497" s="3629" t="s">
        <v>9069</v>
      </c>
      <c r="G497" s="3643">
        <v>136.66999999999999</v>
      </c>
      <c r="H497" s="3649">
        <v>15200</v>
      </c>
      <c r="I497" s="3649">
        <f t="shared" si="7"/>
        <v>208</v>
      </c>
      <c r="J497" s="3644">
        <f ca="1">典型户型修正!T519</f>
        <v>226</v>
      </c>
    </row>
    <row r="498" spans="1:10" s="3633" customFormat="1">
      <c r="A498" s="3629">
        <v>494</v>
      </c>
      <c r="B498" s="3629" t="s">
        <v>9070</v>
      </c>
      <c r="C498" s="3629">
        <v>30</v>
      </c>
      <c r="D498" s="3629" t="s">
        <v>9024</v>
      </c>
      <c r="E498" s="3629" t="s">
        <v>8073</v>
      </c>
      <c r="F498" s="3629" t="s">
        <v>9071</v>
      </c>
      <c r="G498" s="3643">
        <v>136.66999999999999</v>
      </c>
      <c r="H498" s="3649">
        <v>15200</v>
      </c>
      <c r="I498" s="3649">
        <f t="shared" si="7"/>
        <v>208</v>
      </c>
      <c r="J498" s="3644">
        <f ca="1">典型户型修正!T520</f>
        <v>226</v>
      </c>
    </row>
    <row r="499" spans="1:10" s="3633" customFormat="1">
      <c r="A499" s="3629">
        <v>495</v>
      </c>
      <c r="B499" s="3629" t="s">
        <v>9072</v>
      </c>
      <c r="C499" s="3629">
        <v>30</v>
      </c>
      <c r="D499" s="3629" t="s">
        <v>9024</v>
      </c>
      <c r="E499" s="3629" t="s">
        <v>8073</v>
      </c>
      <c r="F499" s="3629" t="s">
        <v>9073</v>
      </c>
      <c r="G499" s="3643">
        <v>136.66999999999999</v>
      </c>
      <c r="H499" s="3649">
        <v>15200</v>
      </c>
      <c r="I499" s="3649">
        <f t="shared" si="7"/>
        <v>208</v>
      </c>
      <c r="J499" s="3644">
        <f ca="1">典型户型修正!T521</f>
        <v>222</v>
      </c>
    </row>
    <row r="500" spans="1:10" s="3633" customFormat="1">
      <c r="A500" s="3629">
        <v>496</v>
      </c>
      <c r="B500" s="3629" t="s">
        <v>9074</v>
      </c>
      <c r="C500" s="3629">
        <v>30</v>
      </c>
      <c r="D500" s="3629" t="s">
        <v>9024</v>
      </c>
      <c r="E500" s="3629" t="s">
        <v>8073</v>
      </c>
      <c r="F500" s="3629" t="s">
        <v>9075</v>
      </c>
      <c r="G500" s="3643">
        <v>136.66999999999999</v>
      </c>
      <c r="H500" s="3649">
        <v>15100</v>
      </c>
      <c r="I500" s="3649">
        <f t="shared" si="7"/>
        <v>206</v>
      </c>
      <c r="J500" s="3644">
        <f ca="1">典型户型修正!T522</f>
        <v>222</v>
      </c>
    </row>
    <row r="501" spans="1:10" s="3633" customFormat="1">
      <c r="A501" s="3629">
        <v>497</v>
      </c>
      <c r="B501" s="3629" t="s">
        <v>9076</v>
      </c>
      <c r="C501" s="3629">
        <v>30</v>
      </c>
      <c r="D501" s="3629" t="s">
        <v>9024</v>
      </c>
      <c r="E501" s="3629" t="s">
        <v>8073</v>
      </c>
      <c r="F501" s="3629" t="s">
        <v>9077</v>
      </c>
      <c r="G501" s="3643">
        <v>136.66999999999999</v>
      </c>
      <c r="H501" s="3649">
        <v>15100</v>
      </c>
      <c r="I501" s="3649">
        <f t="shared" si="7"/>
        <v>206</v>
      </c>
      <c r="J501" s="3644">
        <f ca="1">典型户型修正!T523</f>
        <v>222</v>
      </c>
    </row>
    <row r="502" spans="1:10" s="3633" customFormat="1">
      <c r="A502" s="3629">
        <v>498</v>
      </c>
      <c r="B502" s="3629" t="s">
        <v>9078</v>
      </c>
      <c r="C502" s="3629">
        <v>30</v>
      </c>
      <c r="D502" s="3629" t="s">
        <v>9024</v>
      </c>
      <c r="E502" s="3629" t="s">
        <v>8073</v>
      </c>
      <c r="F502" s="3629" t="s">
        <v>9079</v>
      </c>
      <c r="G502" s="3643">
        <v>136.66999999999999</v>
      </c>
      <c r="H502" s="3649">
        <v>14900</v>
      </c>
      <c r="I502" s="3649">
        <f t="shared" si="7"/>
        <v>204</v>
      </c>
      <c r="J502" s="3644">
        <f ca="1">典型户型修正!T524</f>
        <v>222</v>
      </c>
    </row>
    <row r="503" spans="1:10" s="3633" customFormat="1">
      <c r="A503" s="3629">
        <v>499</v>
      </c>
      <c r="B503" s="3629" t="s">
        <v>9080</v>
      </c>
      <c r="C503" s="3629">
        <v>30</v>
      </c>
      <c r="D503" s="3629" t="s">
        <v>8072</v>
      </c>
      <c r="E503" s="3629" t="s">
        <v>8073</v>
      </c>
      <c r="F503" s="3629" t="s">
        <v>9081</v>
      </c>
      <c r="G503" s="3643">
        <v>68.760000000000005</v>
      </c>
      <c r="H503" s="3649">
        <v>12500</v>
      </c>
      <c r="I503" s="3649">
        <f t="shared" si="7"/>
        <v>86</v>
      </c>
      <c r="J503" s="3644">
        <f ca="1">典型户型修正!T525</f>
        <v>111</v>
      </c>
    </row>
    <row r="504" spans="1:10" s="3633" customFormat="1">
      <c r="A504" s="3629">
        <v>500</v>
      </c>
      <c r="B504" s="3629" t="s">
        <v>9082</v>
      </c>
      <c r="C504" s="3629">
        <v>30</v>
      </c>
      <c r="D504" s="3629" t="s">
        <v>8072</v>
      </c>
      <c r="E504" s="3629" t="s">
        <v>8073</v>
      </c>
      <c r="F504" s="3629" t="s">
        <v>9083</v>
      </c>
      <c r="G504" s="3643">
        <v>88.16</v>
      </c>
      <c r="H504" s="3649">
        <v>11250</v>
      </c>
      <c r="I504" s="3649">
        <f t="shared" si="7"/>
        <v>99</v>
      </c>
      <c r="J504" s="3644">
        <f ca="1">典型户型修正!T526</f>
        <v>140</v>
      </c>
    </row>
    <row r="505" spans="1:10" s="3633" customFormat="1">
      <c r="A505" s="3629">
        <v>501</v>
      </c>
      <c r="B505" s="3629" t="s">
        <v>9084</v>
      </c>
      <c r="C505" s="3629">
        <v>30</v>
      </c>
      <c r="D505" s="3629" t="s">
        <v>8072</v>
      </c>
      <c r="E505" s="3629" t="s">
        <v>8073</v>
      </c>
      <c r="F505" s="3629" t="s">
        <v>9085</v>
      </c>
      <c r="G505" s="3643">
        <v>88.16</v>
      </c>
      <c r="H505" s="3649">
        <v>11450</v>
      </c>
      <c r="I505" s="3649">
        <f t="shared" si="7"/>
        <v>101</v>
      </c>
      <c r="J505" s="3644">
        <f ca="1">典型户型修正!T527</f>
        <v>140</v>
      </c>
    </row>
    <row r="506" spans="1:10" s="3633" customFormat="1">
      <c r="A506" s="3629">
        <v>502</v>
      </c>
      <c r="B506" s="3629" t="s">
        <v>9086</v>
      </c>
      <c r="C506" s="3629">
        <v>30</v>
      </c>
      <c r="D506" s="3629" t="s">
        <v>8072</v>
      </c>
      <c r="E506" s="3629" t="s">
        <v>8073</v>
      </c>
      <c r="F506" s="3629" t="s">
        <v>9087</v>
      </c>
      <c r="G506" s="3643">
        <v>88.16</v>
      </c>
      <c r="H506" s="3649">
        <v>11900</v>
      </c>
      <c r="I506" s="3649">
        <f t="shared" si="7"/>
        <v>105</v>
      </c>
      <c r="J506" s="3644">
        <f ca="1">典型户型修正!T528</f>
        <v>140</v>
      </c>
    </row>
    <row r="507" spans="1:10" s="3633" customFormat="1">
      <c r="A507" s="3629">
        <v>503</v>
      </c>
      <c r="B507" s="3629" t="s">
        <v>9088</v>
      </c>
      <c r="C507" s="3629">
        <v>30</v>
      </c>
      <c r="D507" s="3629" t="s">
        <v>8072</v>
      </c>
      <c r="E507" s="3629" t="s">
        <v>8073</v>
      </c>
      <c r="F507" s="3629" t="s">
        <v>9089</v>
      </c>
      <c r="G507" s="3643">
        <v>88.16</v>
      </c>
      <c r="H507" s="3649">
        <v>12250</v>
      </c>
      <c r="I507" s="3649">
        <f t="shared" si="7"/>
        <v>108</v>
      </c>
      <c r="J507" s="3644">
        <f ca="1">典型户型修正!T529</f>
        <v>140</v>
      </c>
    </row>
    <row r="508" spans="1:10" s="3633" customFormat="1">
      <c r="A508" s="3629">
        <v>504</v>
      </c>
      <c r="B508" s="3629" t="s">
        <v>9090</v>
      </c>
      <c r="C508" s="3629">
        <v>30</v>
      </c>
      <c r="D508" s="3629" t="s">
        <v>8072</v>
      </c>
      <c r="E508" s="3629" t="s">
        <v>8073</v>
      </c>
      <c r="F508" s="3629" t="s">
        <v>9091</v>
      </c>
      <c r="G508" s="3643">
        <v>88.16</v>
      </c>
      <c r="H508" s="3649">
        <v>12300</v>
      </c>
      <c r="I508" s="3649">
        <f t="shared" si="7"/>
        <v>108</v>
      </c>
      <c r="J508" s="3644">
        <f ca="1">典型户型修正!T530</f>
        <v>140</v>
      </c>
    </row>
    <row r="509" spans="1:10" s="3633" customFormat="1">
      <c r="A509" s="3629">
        <v>505</v>
      </c>
      <c r="B509" s="3629" t="s">
        <v>9092</v>
      </c>
      <c r="C509" s="3629">
        <v>30</v>
      </c>
      <c r="D509" s="3629" t="s">
        <v>8072</v>
      </c>
      <c r="E509" s="3629" t="s">
        <v>8073</v>
      </c>
      <c r="F509" s="3629" t="s">
        <v>9093</v>
      </c>
      <c r="G509" s="3643">
        <v>88.16</v>
      </c>
      <c r="H509" s="3649">
        <v>12350</v>
      </c>
      <c r="I509" s="3649">
        <f t="shared" si="7"/>
        <v>109</v>
      </c>
      <c r="J509" s="3644">
        <f ca="1">典型户型修正!T531</f>
        <v>140</v>
      </c>
    </row>
    <row r="510" spans="1:10" s="3633" customFormat="1">
      <c r="A510" s="3629">
        <v>506</v>
      </c>
      <c r="B510" s="3629" t="s">
        <v>9094</v>
      </c>
      <c r="C510" s="3629">
        <v>30</v>
      </c>
      <c r="D510" s="3629" t="s">
        <v>8072</v>
      </c>
      <c r="E510" s="3629" t="s">
        <v>8073</v>
      </c>
      <c r="F510" s="3629" t="s">
        <v>9095</v>
      </c>
      <c r="G510" s="3643">
        <v>88.16</v>
      </c>
      <c r="H510" s="3649">
        <v>12400</v>
      </c>
      <c r="I510" s="3649">
        <f t="shared" si="7"/>
        <v>109</v>
      </c>
      <c r="J510" s="3644">
        <f ca="1">典型户型修正!T532</f>
        <v>140</v>
      </c>
    </row>
    <row r="511" spans="1:10" s="3633" customFormat="1">
      <c r="A511" s="3629">
        <v>507</v>
      </c>
      <c r="B511" s="3629" t="s">
        <v>9096</v>
      </c>
      <c r="C511" s="3629">
        <v>30</v>
      </c>
      <c r="D511" s="3629" t="s">
        <v>8072</v>
      </c>
      <c r="E511" s="3629" t="s">
        <v>8073</v>
      </c>
      <c r="F511" s="3629" t="s">
        <v>9097</v>
      </c>
      <c r="G511" s="3643">
        <v>88.16</v>
      </c>
      <c r="H511" s="3649">
        <v>12450</v>
      </c>
      <c r="I511" s="3649">
        <f t="shared" si="7"/>
        <v>110</v>
      </c>
      <c r="J511" s="3644">
        <f ca="1">典型户型修正!T533</f>
        <v>140</v>
      </c>
    </row>
    <row r="512" spans="1:10" s="3633" customFormat="1">
      <c r="A512" s="3629">
        <v>508</v>
      </c>
      <c r="B512" s="3629" t="s">
        <v>9098</v>
      </c>
      <c r="C512" s="3629">
        <v>30</v>
      </c>
      <c r="D512" s="3629" t="s">
        <v>8072</v>
      </c>
      <c r="E512" s="3629" t="s">
        <v>8073</v>
      </c>
      <c r="F512" s="3629" t="s">
        <v>9099</v>
      </c>
      <c r="G512" s="3643">
        <v>88.16</v>
      </c>
      <c r="H512" s="3649">
        <v>12500</v>
      </c>
      <c r="I512" s="3649">
        <f t="shared" si="7"/>
        <v>110</v>
      </c>
      <c r="J512" s="3644">
        <f ca="1">典型户型修正!T534</f>
        <v>140</v>
      </c>
    </row>
    <row r="513" spans="1:10" s="3633" customFormat="1">
      <c r="A513" s="3629">
        <v>509</v>
      </c>
      <c r="B513" s="3629" t="s">
        <v>9100</v>
      </c>
      <c r="C513" s="3629">
        <v>30</v>
      </c>
      <c r="D513" s="3629" t="s">
        <v>8072</v>
      </c>
      <c r="E513" s="3629" t="s">
        <v>8073</v>
      </c>
      <c r="F513" s="3629" t="s">
        <v>9101</v>
      </c>
      <c r="G513" s="3643">
        <v>88.16</v>
      </c>
      <c r="H513" s="3649">
        <v>12550</v>
      </c>
      <c r="I513" s="3649">
        <f t="shared" si="7"/>
        <v>111</v>
      </c>
      <c r="J513" s="3644">
        <f ca="1">典型户型修正!T535</f>
        <v>146</v>
      </c>
    </row>
    <row r="514" spans="1:10" s="3633" customFormat="1">
      <c r="A514" s="3629">
        <v>510</v>
      </c>
      <c r="B514" s="3629" t="s">
        <v>9102</v>
      </c>
      <c r="C514" s="3629">
        <v>30</v>
      </c>
      <c r="D514" s="3629" t="s">
        <v>8072</v>
      </c>
      <c r="E514" s="3629" t="s">
        <v>8073</v>
      </c>
      <c r="F514" s="3629" t="s">
        <v>9103</v>
      </c>
      <c r="G514" s="3643">
        <v>88.16</v>
      </c>
      <c r="H514" s="3649">
        <v>12600</v>
      </c>
      <c r="I514" s="3649">
        <f t="shared" si="7"/>
        <v>111</v>
      </c>
      <c r="J514" s="3644">
        <f ca="1">典型户型修正!T536</f>
        <v>146</v>
      </c>
    </row>
    <row r="515" spans="1:10" s="3633" customFormat="1">
      <c r="A515" s="3629">
        <v>511</v>
      </c>
      <c r="B515" s="3629" t="s">
        <v>9104</v>
      </c>
      <c r="C515" s="3629">
        <v>30</v>
      </c>
      <c r="D515" s="3629" t="s">
        <v>8072</v>
      </c>
      <c r="E515" s="3629" t="s">
        <v>8073</v>
      </c>
      <c r="F515" s="3629" t="s">
        <v>9105</v>
      </c>
      <c r="G515" s="3643">
        <v>88.16</v>
      </c>
      <c r="H515" s="3649">
        <v>12600</v>
      </c>
      <c r="I515" s="3649">
        <f t="shared" si="7"/>
        <v>111</v>
      </c>
      <c r="J515" s="3644">
        <f ca="1">典型户型修正!T537</f>
        <v>146</v>
      </c>
    </row>
    <row r="516" spans="1:10" s="3633" customFormat="1">
      <c r="A516" s="3629">
        <v>512</v>
      </c>
      <c r="B516" s="3629" t="s">
        <v>9106</v>
      </c>
      <c r="C516" s="3629">
        <v>30</v>
      </c>
      <c r="D516" s="3629" t="s">
        <v>8072</v>
      </c>
      <c r="E516" s="3629" t="s">
        <v>8073</v>
      </c>
      <c r="F516" s="3629" t="s">
        <v>9107</v>
      </c>
      <c r="G516" s="3643">
        <v>88.16</v>
      </c>
      <c r="H516" s="3649">
        <v>12600</v>
      </c>
      <c r="I516" s="3649">
        <f t="shared" si="7"/>
        <v>111</v>
      </c>
      <c r="J516" s="3644">
        <f ca="1">典型户型修正!T538</f>
        <v>146</v>
      </c>
    </row>
    <row r="517" spans="1:10" s="3633" customFormat="1">
      <c r="A517" s="3629">
        <v>513</v>
      </c>
      <c r="B517" s="3629" t="s">
        <v>9108</v>
      </c>
      <c r="C517" s="3629">
        <v>30</v>
      </c>
      <c r="D517" s="3629" t="s">
        <v>8072</v>
      </c>
      <c r="E517" s="3629" t="s">
        <v>8073</v>
      </c>
      <c r="F517" s="3629" t="s">
        <v>9109</v>
      </c>
      <c r="G517" s="3643">
        <v>88.16</v>
      </c>
      <c r="H517" s="3649">
        <v>12630</v>
      </c>
      <c r="I517" s="3649">
        <f t="shared" si="7"/>
        <v>111</v>
      </c>
      <c r="J517" s="3644">
        <f ca="1">典型户型修正!T539</f>
        <v>146</v>
      </c>
    </row>
    <row r="518" spans="1:10" s="3633" customFormat="1">
      <c r="A518" s="3629">
        <v>514</v>
      </c>
      <c r="B518" s="3629" t="s">
        <v>9110</v>
      </c>
      <c r="C518" s="3629">
        <v>30</v>
      </c>
      <c r="D518" s="3629" t="s">
        <v>8072</v>
      </c>
      <c r="E518" s="3629" t="s">
        <v>8073</v>
      </c>
      <c r="F518" s="3629" t="s">
        <v>9111</v>
      </c>
      <c r="G518" s="3643">
        <v>88.16</v>
      </c>
      <c r="H518" s="3649">
        <v>12630</v>
      </c>
      <c r="I518" s="3649">
        <f t="shared" si="7"/>
        <v>111</v>
      </c>
      <c r="J518" s="3644">
        <f ca="1">典型户型修正!T540</f>
        <v>146</v>
      </c>
    </row>
    <row r="519" spans="1:10" s="3633" customFormat="1">
      <c r="A519" s="3629">
        <v>515</v>
      </c>
      <c r="B519" s="3629" t="s">
        <v>9112</v>
      </c>
      <c r="C519" s="3629">
        <v>30</v>
      </c>
      <c r="D519" s="3629" t="s">
        <v>8072</v>
      </c>
      <c r="E519" s="3629" t="s">
        <v>8073</v>
      </c>
      <c r="F519" s="3629" t="s">
        <v>9113</v>
      </c>
      <c r="G519" s="3643">
        <v>88.16</v>
      </c>
      <c r="H519" s="3649">
        <v>12660</v>
      </c>
      <c r="I519" s="3649">
        <f t="shared" ref="I519:I582" si="8">ROUND(G519*H519/10000,0)</f>
        <v>112</v>
      </c>
      <c r="J519" s="3644">
        <f ca="1">典型户型修正!T541</f>
        <v>146</v>
      </c>
    </row>
    <row r="520" spans="1:10" s="3633" customFormat="1">
      <c r="A520" s="3629">
        <v>516</v>
      </c>
      <c r="B520" s="3629" t="s">
        <v>9114</v>
      </c>
      <c r="C520" s="3629">
        <v>30</v>
      </c>
      <c r="D520" s="3629" t="s">
        <v>8072</v>
      </c>
      <c r="E520" s="3629" t="s">
        <v>8073</v>
      </c>
      <c r="F520" s="3629" t="s">
        <v>9115</v>
      </c>
      <c r="G520" s="3643">
        <v>88.16</v>
      </c>
      <c r="H520" s="3649">
        <v>12660</v>
      </c>
      <c r="I520" s="3649">
        <f t="shared" si="8"/>
        <v>112</v>
      </c>
      <c r="J520" s="3644">
        <f ca="1">典型户型修正!T542</f>
        <v>146</v>
      </c>
    </row>
    <row r="521" spans="1:10" s="3633" customFormat="1">
      <c r="A521" s="3629">
        <v>517</v>
      </c>
      <c r="B521" s="3629" t="s">
        <v>9116</v>
      </c>
      <c r="C521" s="3629">
        <v>30</v>
      </c>
      <c r="D521" s="3629" t="s">
        <v>8072</v>
      </c>
      <c r="E521" s="3629" t="s">
        <v>8073</v>
      </c>
      <c r="F521" s="3629" t="s">
        <v>9117</v>
      </c>
      <c r="G521" s="3643">
        <v>88.16</v>
      </c>
      <c r="H521" s="3649">
        <v>12660</v>
      </c>
      <c r="I521" s="3649">
        <f t="shared" si="8"/>
        <v>112</v>
      </c>
      <c r="J521" s="3644">
        <f ca="1">典型户型修正!T543</f>
        <v>146</v>
      </c>
    </row>
    <row r="522" spans="1:10" s="3633" customFormat="1">
      <c r="A522" s="3629">
        <v>518</v>
      </c>
      <c r="B522" s="3629" t="s">
        <v>9118</v>
      </c>
      <c r="C522" s="3629">
        <v>30</v>
      </c>
      <c r="D522" s="3629" t="s">
        <v>8072</v>
      </c>
      <c r="E522" s="3629" t="s">
        <v>8073</v>
      </c>
      <c r="F522" s="3629" t="s">
        <v>9119</v>
      </c>
      <c r="G522" s="3643">
        <v>88.16</v>
      </c>
      <c r="H522" s="3649">
        <v>12660</v>
      </c>
      <c r="I522" s="3649">
        <f t="shared" si="8"/>
        <v>112</v>
      </c>
      <c r="J522" s="3644">
        <f ca="1">典型户型修正!T544</f>
        <v>146</v>
      </c>
    </row>
    <row r="523" spans="1:10" s="3633" customFormat="1">
      <c r="A523" s="3629">
        <v>519</v>
      </c>
      <c r="B523" s="3629" t="s">
        <v>9120</v>
      </c>
      <c r="C523" s="3629">
        <v>30</v>
      </c>
      <c r="D523" s="3629" t="s">
        <v>8072</v>
      </c>
      <c r="E523" s="3629" t="s">
        <v>8073</v>
      </c>
      <c r="F523" s="3629" t="s">
        <v>9121</v>
      </c>
      <c r="G523" s="3643">
        <v>88.16</v>
      </c>
      <c r="H523" s="3649">
        <v>12690</v>
      </c>
      <c r="I523" s="3649">
        <f t="shared" si="8"/>
        <v>112</v>
      </c>
      <c r="J523" s="3644">
        <f ca="1">典型户型修正!T545</f>
        <v>143</v>
      </c>
    </row>
    <row r="524" spans="1:10" s="3633" customFormat="1">
      <c r="A524" s="3629">
        <v>520</v>
      </c>
      <c r="B524" s="3629" t="s">
        <v>9122</v>
      </c>
      <c r="C524" s="3629">
        <v>30</v>
      </c>
      <c r="D524" s="3629" t="s">
        <v>8072</v>
      </c>
      <c r="E524" s="3629" t="s">
        <v>8073</v>
      </c>
      <c r="F524" s="3629" t="s">
        <v>9123</v>
      </c>
      <c r="G524" s="3643">
        <v>88.16</v>
      </c>
      <c r="H524" s="3649">
        <v>12690</v>
      </c>
      <c r="I524" s="3649">
        <f t="shared" si="8"/>
        <v>112</v>
      </c>
      <c r="J524" s="3644">
        <f ca="1">典型户型修正!T546</f>
        <v>143</v>
      </c>
    </row>
    <row r="525" spans="1:10" s="3633" customFormat="1">
      <c r="A525" s="3629">
        <v>521</v>
      </c>
      <c r="B525" s="3629" t="s">
        <v>9124</v>
      </c>
      <c r="C525" s="3629">
        <v>30</v>
      </c>
      <c r="D525" s="3629" t="s">
        <v>8072</v>
      </c>
      <c r="E525" s="3629" t="s">
        <v>8073</v>
      </c>
      <c r="F525" s="3629" t="s">
        <v>9125</v>
      </c>
      <c r="G525" s="3643">
        <v>88.16</v>
      </c>
      <c r="H525" s="3649">
        <v>12660</v>
      </c>
      <c r="I525" s="3649">
        <f t="shared" si="8"/>
        <v>112</v>
      </c>
      <c r="J525" s="3644">
        <f ca="1">典型户型修正!T547</f>
        <v>143</v>
      </c>
    </row>
    <row r="526" spans="1:10" s="3633" customFormat="1">
      <c r="A526" s="3629">
        <v>522</v>
      </c>
      <c r="B526" s="3629" t="s">
        <v>9126</v>
      </c>
      <c r="C526" s="3629">
        <v>30</v>
      </c>
      <c r="D526" s="3629" t="s">
        <v>8072</v>
      </c>
      <c r="E526" s="3629" t="s">
        <v>8073</v>
      </c>
      <c r="F526" s="3629" t="s">
        <v>9127</v>
      </c>
      <c r="G526" s="3643">
        <v>88.16</v>
      </c>
      <c r="H526" s="3649">
        <v>12660</v>
      </c>
      <c r="I526" s="3649">
        <f t="shared" si="8"/>
        <v>112</v>
      </c>
      <c r="J526" s="3644">
        <f ca="1">典型户型修正!T548</f>
        <v>143</v>
      </c>
    </row>
    <row r="527" spans="1:10" s="3633" customFormat="1">
      <c r="A527" s="3629">
        <v>523</v>
      </c>
      <c r="B527" s="3629" t="s">
        <v>9128</v>
      </c>
      <c r="C527" s="3629">
        <v>30</v>
      </c>
      <c r="D527" s="3629" t="s">
        <v>8072</v>
      </c>
      <c r="E527" s="3629" t="s">
        <v>8073</v>
      </c>
      <c r="F527" s="3629" t="s">
        <v>9129</v>
      </c>
      <c r="G527" s="3643">
        <v>88.16</v>
      </c>
      <c r="H527" s="3649">
        <v>12660</v>
      </c>
      <c r="I527" s="3649">
        <f t="shared" si="8"/>
        <v>112</v>
      </c>
      <c r="J527" s="3644">
        <f ca="1">典型户型修正!T549</f>
        <v>143</v>
      </c>
    </row>
    <row r="528" spans="1:10" s="3633" customFormat="1">
      <c r="A528" s="3629">
        <v>524</v>
      </c>
      <c r="B528" s="3629" t="s">
        <v>9130</v>
      </c>
      <c r="C528" s="3629">
        <v>30</v>
      </c>
      <c r="D528" s="3629" t="s">
        <v>8072</v>
      </c>
      <c r="E528" s="3629" t="s">
        <v>8073</v>
      </c>
      <c r="F528" s="3629" t="s">
        <v>9131</v>
      </c>
      <c r="G528" s="3643">
        <v>88.16</v>
      </c>
      <c r="H528" s="3649">
        <v>12660</v>
      </c>
      <c r="I528" s="3649">
        <f t="shared" si="8"/>
        <v>112</v>
      </c>
      <c r="J528" s="3644">
        <f ca="1">典型户型修正!T550</f>
        <v>143</v>
      </c>
    </row>
    <row r="529" spans="1:10" s="3633" customFormat="1">
      <c r="A529" s="3629">
        <v>525</v>
      </c>
      <c r="B529" s="3629" t="s">
        <v>9132</v>
      </c>
      <c r="C529" s="3629">
        <v>30</v>
      </c>
      <c r="D529" s="3629" t="s">
        <v>8072</v>
      </c>
      <c r="E529" s="3629" t="s">
        <v>8073</v>
      </c>
      <c r="F529" s="3629" t="s">
        <v>9133</v>
      </c>
      <c r="G529" s="3643">
        <v>88.16</v>
      </c>
      <c r="H529" s="3649">
        <v>12660</v>
      </c>
      <c r="I529" s="3649">
        <f t="shared" si="8"/>
        <v>112</v>
      </c>
      <c r="J529" s="3644">
        <f ca="1">典型户型修正!T551</f>
        <v>143</v>
      </c>
    </row>
    <row r="530" spans="1:10" s="3633" customFormat="1">
      <c r="A530" s="3629">
        <v>526</v>
      </c>
      <c r="B530" s="3629" t="s">
        <v>9134</v>
      </c>
      <c r="C530" s="3629">
        <v>30</v>
      </c>
      <c r="D530" s="3629" t="s">
        <v>8072</v>
      </c>
      <c r="E530" s="3629" t="s">
        <v>8073</v>
      </c>
      <c r="F530" s="3629" t="s">
        <v>9135</v>
      </c>
      <c r="G530" s="3643">
        <v>88.16</v>
      </c>
      <c r="H530" s="3649">
        <v>12660</v>
      </c>
      <c r="I530" s="3649">
        <f t="shared" si="8"/>
        <v>112</v>
      </c>
      <c r="J530" s="3644">
        <f ca="1">典型户型修正!T552</f>
        <v>143</v>
      </c>
    </row>
    <row r="531" spans="1:10" s="3633" customFormat="1">
      <c r="A531" s="3629">
        <v>527</v>
      </c>
      <c r="B531" s="3629" t="s">
        <v>9136</v>
      </c>
      <c r="C531" s="3629">
        <v>30</v>
      </c>
      <c r="D531" s="3629" t="s">
        <v>8072</v>
      </c>
      <c r="E531" s="3629" t="s">
        <v>8073</v>
      </c>
      <c r="F531" s="3629" t="s">
        <v>9137</v>
      </c>
      <c r="G531" s="3643">
        <v>88.16</v>
      </c>
      <c r="H531" s="3649">
        <v>12660</v>
      </c>
      <c r="I531" s="3649">
        <f t="shared" si="8"/>
        <v>112</v>
      </c>
      <c r="J531" s="3644">
        <f ca="1">典型户型修正!T553</f>
        <v>143</v>
      </c>
    </row>
    <row r="532" spans="1:10" s="3633" customFormat="1">
      <c r="A532" s="3629">
        <v>528</v>
      </c>
      <c r="B532" s="3629" t="s">
        <v>9138</v>
      </c>
      <c r="C532" s="3629">
        <v>30</v>
      </c>
      <c r="D532" s="3629" t="s">
        <v>8072</v>
      </c>
      <c r="E532" s="3629" t="s">
        <v>8073</v>
      </c>
      <c r="F532" s="3629" t="s">
        <v>9139</v>
      </c>
      <c r="G532" s="3643">
        <v>88.16</v>
      </c>
      <c r="H532" s="3649">
        <v>12160</v>
      </c>
      <c r="I532" s="3649">
        <f t="shared" si="8"/>
        <v>107</v>
      </c>
      <c r="J532" s="3644">
        <f ca="1">典型户型修正!T554</f>
        <v>143</v>
      </c>
    </row>
    <row r="533" spans="1:10" s="3633" customFormat="1">
      <c r="A533" s="3629">
        <v>529</v>
      </c>
      <c r="B533" s="3629" t="s">
        <v>9140</v>
      </c>
      <c r="C533" s="3629">
        <v>30</v>
      </c>
      <c r="D533" s="3629" t="s">
        <v>8072</v>
      </c>
      <c r="E533" s="3629" t="s">
        <v>8087</v>
      </c>
      <c r="F533" s="3629" t="s">
        <v>9141</v>
      </c>
      <c r="G533" s="3643">
        <v>160.75</v>
      </c>
      <c r="H533" s="3649">
        <v>11150</v>
      </c>
      <c r="I533" s="3649">
        <f t="shared" si="8"/>
        <v>179</v>
      </c>
      <c r="J533" s="3644">
        <f ca="1">典型户型修正!T555</f>
        <v>251</v>
      </c>
    </row>
    <row r="534" spans="1:10" s="3633" customFormat="1">
      <c r="A534" s="3629">
        <v>530</v>
      </c>
      <c r="B534" s="3629" t="s">
        <v>9142</v>
      </c>
      <c r="C534" s="3629">
        <v>30</v>
      </c>
      <c r="D534" s="3629" t="s">
        <v>8072</v>
      </c>
      <c r="E534" s="3629" t="s">
        <v>8087</v>
      </c>
      <c r="F534" s="3629" t="s">
        <v>9143</v>
      </c>
      <c r="G534" s="3643">
        <v>160.75</v>
      </c>
      <c r="H534" s="3649">
        <v>11350</v>
      </c>
      <c r="I534" s="3649">
        <f t="shared" si="8"/>
        <v>182</v>
      </c>
      <c r="J534" s="3644">
        <f ca="1">典型户型修正!T556</f>
        <v>251</v>
      </c>
    </row>
    <row r="535" spans="1:10" s="3633" customFormat="1">
      <c r="A535" s="3629">
        <v>531</v>
      </c>
      <c r="B535" s="3629" t="s">
        <v>9144</v>
      </c>
      <c r="C535" s="3629">
        <v>30</v>
      </c>
      <c r="D535" s="3629" t="s">
        <v>8072</v>
      </c>
      <c r="E535" s="3629" t="s">
        <v>8087</v>
      </c>
      <c r="F535" s="3629" t="s">
        <v>9145</v>
      </c>
      <c r="G535" s="3643">
        <v>160.75</v>
      </c>
      <c r="H535" s="3649">
        <v>11800</v>
      </c>
      <c r="I535" s="3649">
        <f t="shared" si="8"/>
        <v>190</v>
      </c>
      <c r="J535" s="3644">
        <f ca="1">典型户型修正!T557</f>
        <v>251</v>
      </c>
    </row>
    <row r="536" spans="1:10" s="3633" customFormat="1">
      <c r="A536" s="3629">
        <v>532</v>
      </c>
      <c r="B536" s="3629" t="s">
        <v>9146</v>
      </c>
      <c r="C536" s="3629">
        <v>30</v>
      </c>
      <c r="D536" s="3629" t="s">
        <v>8072</v>
      </c>
      <c r="E536" s="3629" t="s">
        <v>8087</v>
      </c>
      <c r="F536" s="3629" t="s">
        <v>9147</v>
      </c>
      <c r="G536" s="3643">
        <v>160.75</v>
      </c>
      <c r="H536" s="3649">
        <v>12150</v>
      </c>
      <c r="I536" s="3649">
        <f t="shared" si="8"/>
        <v>195</v>
      </c>
      <c r="J536" s="3644">
        <f ca="1">典型户型修正!T558</f>
        <v>251</v>
      </c>
    </row>
    <row r="537" spans="1:10" s="3633" customFormat="1">
      <c r="A537" s="3629">
        <v>533</v>
      </c>
      <c r="B537" s="3629" t="s">
        <v>9148</v>
      </c>
      <c r="C537" s="3629">
        <v>30</v>
      </c>
      <c r="D537" s="3629" t="s">
        <v>8072</v>
      </c>
      <c r="E537" s="3629" t="s">
        <v>8087</v>
      </c>
      <c r="F537" s="3629" t="s">
        <v>9149</v>
      </c>
      <c r="G537" s="3643">
        <v>160.75</v>
      </c>
      <c r="H537" s="3649">
        <v>12200</v>
      </c>
      <c r="I537" s="3649">
        <f t="shared" si="8"/>
        <v>196</v>
      </c>
      <c r="J537" s="3644">
        <f ca="1">典型户型修正!T559</f>
        <v>251</v>
      </c>
    </row>
    <row r="538" spans="1:10" s="3633" customFormat="1">
      <c r="A538" s="3629">
        <v>534</v>
      </c>
      <c r="B538" s="3629" t="s">
        <v>9150</v>
      </c>
      <c r="C538" s="3629">
        <v>30</v>
      </c>
      <c r="D538" s="3629" t="s">
        <v>8072</v>
      </c>
      <c r="E538" s="3629" t="s">
        <v>8087</v>
      </c>
      <c r="F538" s="3629" t="s">
        <v>9151</v>
      </c>
      <c r="G538" s="3643">
        <v>160.75</v>
      </c>
      <c r="H538" s="3649">
        <v>12250</v>
      </c>
      <c r="I538" s="3649">
        <f t="shared" si="8"/>
        <v>197</v>
      </c>
      <c r="J538" s="3644">
        <f ca="1">典型户型修正!T560</f>
        <v>251</v>
      </c>
    </row>
    <row r="539" spans="1:10" s="3633" customFormat="1">
      <c r="A539" s="3629">
        <v>535</v>
      </c>
      <c r="B539" s="3629" t="s">
        <v>9152</v>
      </c>
      <c r="C539" s="3629">
        <v>30</v>
      </c>
      <c r="D539" s="3629" t="s">
        <v>8072</v>
      </c>
      <c r="E539" s="3629" t="s">
        <v>8087</v>
      </c>
      <c r="F539" s="3629" t="s">
        <v>9153</v>
      </c>
      <c r="G539" s="3643">
        <v>160.75</v>
      </c>
      <c r="H539" s="3649">
        <v>12300</v>
      </c>
      <c r="I539" s="3649">
        <f t="shared" si="8"/>
        <v>198</v>
      </c>
      <c r="J539" s="3644">
        <f ca="1">典型户型修正!T561</f>
        <v>251</v>
      </c>
    </row>
    <row r="540" spans="1:10" s="3633" customFormat="1">
      <c r="A540" s="3629">
        <v>536</v>
      </c>
      <c r="B540" s="3629" t="s">
        <v>9154</v>
      </c>
      <c r="C540" s="3629">
        <v>30</v>
      </c>
      <c r="D540" s="3629" t="s">
        <v>8072</v>
      </c>
      <c r="E540" s="3629" t="s">
        <v>8087</v>
      </c>
      <c r="F540" s="3629" t="s">
        <v>9155</v>
      </c>
      <c r="G540" s="3643">
        <v>160.75</v>
      </c>
      <c r="H540" s="3649">
        <v>12350</v>
      </c>
      <c r="I540" s="3649">
        <f t="shared" si="8"/>
        <v>199</v>
      </c>
      <c r="J540" s="3644">
        <f ca="1">典型户型修正!T562</f>
        <v>251</v>
      </c>
    </row>
    <row r="541" spans="1:10" s="3633" customFormat="1">
      <c r="A541" s="3629">
        <v>537</v>
      </c>
      <c r="B541" s="3629" t="s">
        <v>9156</v>
      </c>
      <c r="C541" s="3629">
        <v>30</v>
      </c>
      <c r="D541" s="3629" t="s">
        <v>8072</v>
      </c>
      <c r="E541" s="3629" t="s">
        <v>8087</v>
      </c>
      <c r="F541" s="3629" t="s">
        <v>9157</v>
      </c>
      <c r="G541" s="3643">
        <v>160.75</v>
      </c>
      <c r="H541" s="3649">
        <v>12400</v>
      </c>
      <c r="I541" s="3649">
        <f t="shared" si="8"/>
        <v>199</v>
      </c>
      <c r="J541" s="3644">
        <f ca="1">典型户型修正!T563</f>
        <v>251</v>
      </c>
    </row>
    <row r="542" spans="1:10" s="3633" customFormat="1">
      <c r="A542" s="3629">
        <v>538</v>
      </c>
      <c r="B542" s="3629" t="s">
        <v>9158</v>
      </c>
      <c r="C542" s="3629">
        <v>30</v>
      </c>
      <c r="D542" s="3629" t="s">
        <v>8072</v>
      </c>
      <c r="E542" s="3629" t="s">
        <v>8087</v>
      </c>
      <c r="F542" s="3629" t="s">
        <v>9159</v>
      </c>
      <c r="G542" s="3643">
        <v>160.75</v>
      </c>
      <c r="H542" s="3649">
        <v>12450</v>
      </c>
      <c r="I542" s="3649">
        <f t="shared" si="8"/>
        <v>200</v>
      </c>
      <c r="J542" s="3644">
        <f ca="1">典型户型修正!T564</f>
        <v>261</v>
      </c>
    </row>
    <row r="543" spans="1:10" s="3633" customFormat="1">
      <c r="A543" s="3629">
        <v>539</v>
      </c>
      <c r="B543" s="3629" t="s">
        <v>9160</v>
      </c>
      <c r="C543" s="3629">
        <v>30</v>
      </c>
      <c r="D543" s="3629" t="s">
        <v>8072</v>
      </c>
      <c r="E543" s="3629" t="s">
        <v>8087</v>
      </c>
      <c r="F543" s="3629" t="s">
        <v>9161</v>
      </c>
      <c r="G543" s="3643">
        <v>160.75</v>
      </c>
      <c r="H543" s="3649">
        <v>12500</v>
      </c>
      <c r="I543" s="3649">
        <f t="shared" si="8"/>
        <v>201</v>
      </c>
      <c r="J543" s="3644">
        <f ca="1">典型户型修正!T565</f>
        <v>261</v>
      </c>
    </row>
    <row r="544" spans="1:10" s="3633" customFormat="1">
      <c r="A544" s="3629">
        <v>540</v>
      </c>
      <c r="B544" s="3629" t="s">
        <v>9162</v>
      </c>
      <c r="C544" s="3629">
        <v>30</v>
      </c>
      <c r="D544" s="3629" t="s">
        <v>8072</v>
      </c>
      <c r="E544" s="3629" t="s">
        <v>8087</v>
      </c>
      <c r="F544" s="3629" t="s">
        <v>9163</v>
      </c>
      <c r="G544" s="3643">
        <v>160.75</v>
      </c>
      <c r="H544" s="3649">
        <v>12500</v>
      </c>
      <c r="I544" s="3649">
        <f t="shared" si="8"/>
        <v>201</v>
      </c>
      <c r="J544" s="3644">
        <f ca="1">典型户型修正!T566</f>
        <v>261</v>
      </c>
    </row>
    <row r="545" spans="1:10" s="3633" customFormat="1">
      <c r="A545" s="3629">
        <v>541</v>
      </c>
      <c r="B545" s="3629" t="s">
        <v>9164</v>
      </c>
      <c r="C545" s="3629">
        <v>30</v>
      </c>
      <c r="D545" s="3629" t="s">
        <v>8072</v>
      </c>
      <c r="E545" s="3629" t="s">
        <v>8087</v>
      </c>
      <c r="F545" s="3629" t="s">
        <v>9165</v>
      </c>
      <c r="G545" s="3643">
        <v>160.75</v>
      </c>
      <c r="H545" s="3649">
        <v>12500</v>
      </c>
      <c r="I545" s="3649">
        <f t="shared" si="8"/>
        <v>201</v>
      </c>
      <c r="J545" s="3644">
        <f ca="1">典型户型修正!T567</f>
        <v>261</v>
      </c>
    </row>
    <row r="546" spans="1:10" s="3633" customFormat="1">
      <c r="A546" s="3629">
        <v>542</v>
      </c>
      <c r="B546" s="3629" t="s">
        <v>9166</v>
      </c>
      <c r="C546" s="3629">
        <v>30</v>
      </c>
      <c r="D546" s="3629" t="s">
        <v>8072</v>
      </c>
      <c r="E546" s="3629" t="s">
        <v>8087</v>
      </c>
      <c r="F546" s="3629" t="s">
        <v>9167</v>
      </c>
      <c r="G546" s="3643">
        <v>160.75</v>
      </c>
      <c r="H546" s="3649">
        <v>12530</v>
      </c>
      <c r="I546" s="3649">
        <f t="shared" si="8"/>
        <v>201</v>
      </c>
      <c r="J546" s="3644">
        <f ca="1">典型户型修正!T568</f>
        <v>261</v>
      </c>
    </row>
    <row r="547" spans="1:10" s="3633" customFormat="1">
      <c r="A547" s="3629">
        <v>543</v>
      </c>
      <c r="B547" s="3629" t="s">
        <v>9168</v>
      </c>
      <c r="C547" s="3629">
        <v>30</v>
      </c>
      <c r="D547" s="3629" t="s">
        <v>8072</v>
      </c>
      <c r="E547" s="3629" t="s">
        <v>8087</v>
      </c>
      <c r="F547" s="3629" t="s">
        <v>9169</v>
      </c>
      <c r="G547" s="3643">
        <v>160.75</v>
      </c>
      <c r="H547" s="3649">
        <v>12530</v>
      </c>
      <c r="I547" s="3649">
        <f t="shared" si="8"/>
        <v>201</v>
      </c>
      <c r="J547" s="3644">
        <f ca="1">典型户型修正!T569</f>
        <v>261</v>
      </c>
    </row>
    <row r="548" spans="1:10" s="3633" customFormat="1">
      <c r="A548" s="3629">
        <v>544</v>
      </c>
      <c r="B548" s="3629" t="s">
        <v>9170</v>
      </c>
      <c r="C548" s="3629">
        <v>30</v>
      </c>
      <c r="D548" s="3629" t="s">
        <v>8072</v>
      </c>
      <c r="E548" s="3629" t="s">
        <v>8087</v>
      </c>
      <c r="F548" s="3629" t="s">
        <v>9171</v>
      </c>
      <c r="G548" s="3643">
        <v>160.75</v>
      </c>
      <c r="H548" s="3649">
        <v>12560</v>
      </c>
      <c r="I548" s="3649">
        <f t="shared" si="8"/>
        <v>202</v>
      </c>
      <c r="J548" s="3644">
        <f ca="1">典型户型修正!T570</f>
        <v>261</v>
      </c>
    </row>
    <row r="549" spans="1:10" s="3633" customFormat="1">
      <c r="A549" s="3629">
        <v>545</v>
      </c>
      <c r="B549" s="3629" t="s">
        <v>9172</v>
      </c>
      <c r="C549" s="3629">
        <v>30</v>
      </c>
      <c r="D549" s="3629" t="s">
        <v>8072</v>
      </c>
      <c r="E549" s="3629" t="s">
        <v>8087</v>
      </c>
      <c r="F549" s="3629" t="s">
        <v>9173</v>
      </c>
      <c r="G549" s="3643">
        <v>160.75</v>
      </c>
      <c r="H549" s="3649">
        <v>12560</v>
      </c>
      <c r="I549" s="3649">
        <f t="shared" si="8"/>
        <v>202</v>
      </c>
      <c r="J549" s="3644">
        <f ca="1">典型户型修正!T571</f>
        <v>261</v>
      </c>
    </row>
    <row r="550" spans="1:10" s="3633" customFormat="1">
      <c r="A550" s="3629">
        <v>546</v>
      </c>
      <c r="B550" s="3629" t="s">
        <v>9174</v>
      </c>
      <c r="C550" s="3629">
        <v>30</v>
      </c>
      <c r="D550" s="3629" t="s">
        <v>8072</v>
      </c>
      <c r="E550" s="3629" t="s">
        <v>8087</v>
      </c>
      <c r="F550" s="3629" t="s">
        <v>9175</v>
      </c>
      <c r="G550" s="3643">
        <v>160.75</v>
      </c>
      <c r="H550" s="3649">
        <v>12560</v>
      </c>
      <c r="I550" s="3649">
        <f t="shared" si="8"/>
        <v>202</v>
      </c>
      <c r="J550" s="3644">
        <f ca="1">典型户型修正!T572</f>
        <v>261</v>
      </c>
    </row>
    <row r="551" spans="1:10" s="3633" customFormat="1">
      <c r="A551" s="3629">
        <v>547</v>
      </c>
      <c r="B551" s="3629" t="s">
        <v>9176</v>
      </c>
      <c r="C551" s="3629">
        <v>30</v>
      </c>
      <c r="D551" s="3629" t="s">
        <v>8072</v>
      </c>
      <c r="E551" s="3629" t="s">
        <v>8087</v>
      </c>
      <c r="F551" s="3629" t="s">
        <v>9177</v>
      </c>
      <c r="G551" s="3643">
        <v>160.75</v>
      </c>
      <c r="H551" s="3649">
        <v>12560</v>
      </c>
      <c r="I551" s="3649">
        <f t="shared" si="8"/>
        <v>202</v>
      </c>
      <c r="J551" s="3644">
        <f ca="1">典型户型修正!T573</f>
        <v>261</v>
      </c>
    </row>
    <row r="552" spans="1:10" s="3633" customFormat="1">
      <c r="A552" s="3629">
        <v>548</v>
      </c>
      <c r="B552" s="3629" t="s">
        <v>9178</v>
      </c>
      <c r="C552" s="3629">
        <v>30</v>
      </c>
      <c r="D552" s="3629" t="s">
        <v>8072</v>
      </c>
      <c r="E552" s="3629" t="s">
        <v>8087</v>
      </c>
      <c r="F552" s="3629" t="s">
        <v>9179</v>
      </c>
      <c r="G552" s="3643">
        <v>160.75</v>
      </c>
      <c r="H552" s="3649">
        <v>12590</v>
      </c>
      <c r="I552" s="3649">
        <f t="shared" si="8"/>
        <v>202</v>
      </c>
      <c r="J552" s="3644">
        <f ca="1">典型户型修正!T574</f>
        <v>256</v>
      </c>
    </row>
    <row r="553" spans="1:10" s="3633" customFormat="1">
      <c r="A553" s="3629">
        <v>549</v>
      </c>
      <c r="B553" s="3629" t="s">
        <v>9180</v>
      </c>
      <c r="C553" s="3629">
        <v>30</v>
      </c>
      <c r="D553" s="3629" t="s">
        <v>8072</v>
      </c>
      <c r="E553" s="3629" t="s">
        <v>8087</v>
      </c>
      <c r="F553" s="3629" t="s">
        <v>9181</v>
      </c>
      <c r="G553" s="3643">
        <v>160.75</v>
      </c>
      <c r="H553" s="3649">
        <v>12590</v>
      </c>
      <c r="I553" s="3649">
        <f t="shared" si="8"/>
        <v>202</v>
      </c>
      <c r="J553" s="3644">
        <f ca="1">典型户型修正!T575</f>
        <v>256</v>
      </c>
    </row>
    <row r="554" spans="1:10" s="3633" customFormat="1">
      <c r="A554" s="3629">
        <v>550</v>
      </c>
      <c r="B554" s="3629" t="s">
        <v>9182</v>
      </c>
      <c r="C554" s="3629">
        <v>30</v>
      </c>
      <c r="D554" s="3629" t="s">
        <v>8072</v>
      </c>
      <c r="E554" s="3629" t="s">
        <v>8087</v>
      </c>
      <c r="F554" s="3629" t="s">
        <v>9183</v>
      </c>
      <c r="G554" s="3643">
        <v>160.75</v>
      </c>
      <c r="H554" s="3649">
        <v>12560</v>
      </c>
      <c r="I554" s="3649">
        <f t="shared" si="8"/>
        <v>202</v>
      </c>
      <c r="J554" s="3644">
        <f ca="1">典型户型修正!T576</f>
        <v>256</v>
      </c>
    </row>
    <row r="555" spans="1:10" s="3633" customFormat="1">
      <c r="A555" s="3629">
        <v>551</v>
      </c>
      <c r="B555" s="3629" t="s">
        <v>9184</v>
      </c>
      <c r="C555" s="3629">
        <v>30</v>
      </c>
      <c r="D555" s="3629" t="s">
        <v>8072</v>
      </c>
      <c r="E555" s="3629" t="s">
        <v>8087</v>
      </c>
      <c r="F555" s="3629" t="s">
        <v>9185</v>
      </c>
      <c r="G555" s="3643">
        <v>160.75</v>
      </c>
      <c r="H555" s="3649">
        <v>12560</v>
      </c>
      <c r="I555" s="3649">
        <f t="shared" si="8"/>
        <v>202</v>
      </c>
      <c r="J555" s="3644">
        <f ca="1">典型户型修正!T577</f>
        <v>256</v>
      </c>
    </row>
    <row r="556" spans="1:10" s="3633" customFormat="1">
      <c r="A556" s="3629">
        <v>552</v>
      </c>
      <c r="B556" s="3629" t="s">
        <v>9186</v>
      </c>
      <c r="C556" s="3629">
        <v>30</v>
      </c>
      <c r="D556" s="3629" t="s">
        <v>8072</v>
      </c>
      <c r="E556" s="3629" t="s">
        <v>8087</v>
      </c>
      <c r="F556" s="3629" t="s">
        <v>9187</v>
      </c>
      <c r="G556" s="3643">
        <v>160.75</v>
      </c>
      <c r="H556" s="3649">
        <v>12560</v>
      </c>
      <c r="I556" s="3649">
        <f t="shared" si="8"/>
        <v>202</v>
      </c>
      <c r="J556" s="3644">
        <f ca="1">典型户型修正!T578</f>
        <v>256</v>
      </c>
    </row>
    <row r="557" spans="1:10" s="3633" customFormat="1">
      <c r="A557" s="3629">
        <v>553</v>
      </c>
      <c r="B557" s="3629" t="s">
        <v>9188</v>
      </c>
      <c r="C557" s="3629">
        <v>30</v>
      </c>
      <c r="D557" s="3629" t="s">
        <v>8072</v>
      </c>
      <c r="E557" s="3629" t="s">
        <v>8087</v>
      </c>
      <c r="F557" s="3629" t="s">
        <v>9189</v>
      </c>
      <c r="G557" s="3643">
        <v>160.75</v>
      </c>
      <c r="H557" s="3649">
        <v>12560</v>
      </c>
      <c r="I557" s="3649">
        <f t="shared" si="8"/>
        <v>202</v>
      </c>
      <c r="J557" s="3644">
        <f ca="1">典型户型修正!T579</f>
        <v>256</v>
      </c>
    </row>
    <row r="558" spans="1:10" s="3633" customFormat="1">
      <c r="A558" s="3629">
        <v>554</v>
      </c>
      <c r="B558" s="3629" t="s">
        <v>9190</v>
      </c>
      <c r="C558" s="3629">
        <v>30</v>
      </c>
      <c r="D558" s="3629" t="s">
        <v>8072</v>
      </c>
      <c r="E558" s="3629" t="s">
        <v>8087</v>
      </c>
      <c r="F558" s="3629" t="s">
        <v>9191</v>
      </c>
      <c r="G558" s="3643">
        <v>160.75</v>
      </c>
      <c r="H558" s="3649">
        <v>12560</v>
      </c>
      <c r="I558" s="3649">
        <f t="shared" si="8"/>
        <v>202</v>
      </c>
      <c r="J558" s="3644">
        <f ca="1">典型户型修正!T580</f>
        <v>256</v>
      </c>
    </row>
    <row r="559" spans="1:10" s="3633" customFormat="1">
      <c r="A559" s="3629">
        <v>555</v>
      </c>
      <c r="B559" s="3629" t="s">
        <v>9192</v>
      </c>
      <c r="C559" s="3629">
        <v>30</v>
      </c>
      <c r="D559" s="3629" t="s">
        <v>8072</v>
      </c>
      <c r="E559" s="3629" t="s">
        <v>8087</v>
      </c>
      <c r="F559" s="3629" t="s">
        <v>9193</v>
      </c>
      <c r="G559" s="3643">
        <v>160.75</v>
      </c>
      <c r="H559" s="3649">
        <v>12560</v>
      </c>
      <c r="I559" s="3649">
        <f t="shared" si="8"/>
        <v>202</v>
      </c>
      <c r="J559" s="3644">
        <f ca="1">典型户型修正!T581</f>
        <v>256</v>
      </c>
    </row>
    <row r="560" spans="1:10" s="3633" customFormat="1">
      <c r="A560" s="3629">
        <v>556</v>
      </c>
      <c r="B560" s="3629" t="s">
        <v>9194</v>
      </c>
      <c r="C560" s="3629">
        <v>30</v>
      </c>
      <c r="D560" s="3629" t="s">
        <v>8072</v>
      </c>
      <c r="E560" s="3629" t="s">
        <v>8087</v>
      </c>
      <c r="F560" s="3629" t="s">
        <v>9195</v>
      </c>
      <c r="G560" s="3643">
        <v>160.75</v>
      </c>
      <c r="H560" s="3649">
        <v>12560</v>
      </c>
      <c r="I560" s="3649">
        <f t="shared" si="8"/>
        <v>202</v>
      </c>
      <c r="J560" s="3644">
        <f ca="1">典型户型修正!T582</f>
        <v>256</v>
      </c>
    </row>
    <row r="561" spans="1:10" s="3633" customFormat="1">
      <c r="A561" s="3629">
        <v>557</v>
      </c>
      <c r="B561" s="3629" t="s">
        <v>9196</v>
      </c>
      <c r="C561" s="3629">
        <v>30</v>
      </c>
      <c r="D561" s="3629" t="s">
        <v>8072</v>
      </c>
      <c r="E561" s="3629" t="s">
        <v>8087</v>
      </c>
      <c r="F561" s="3629" t="s">
        <v>9197</v>
      </c>
      <c r="G561" s="3643">
        <v>138.51</v>
      </c>
      <c r="H561" s="3649">
        <v>12060</v>
      </c>
      <c r="I561" s="3649">
        <f t="shared" si="8"/>
        <v>167</v>
      </c>
      <c r="J561" s="3644">
        <f ca="1">典型户型修正!T583</f>
        <v>223</v>
      </c>
    </row>
    <row r="562" spans="1:10" s="3633" customFormat="1">
      <c r="A562" s="3629">
        <v>558</v>
      </c>
      <c r="B562" s="3629" t="s">
        <v>9198</v>
      </c>
      <c r="C562" s="3629">
        <v>30</v>
      </c>
      <c r="D562" s="3629" t="s">
        <v>8072</v>
      </c>
      <c r="E562" s="3629" t="s">
        <v>8090</v>
      </c>
      <c r="F562" s="3629" t="s">
        <v>9199</v>
      </c>
      <c r="G562" s="3643">
        <v>160.75</v>
      </c>
      <c r="H562" s="3649">
        <v>15600</v>
      </c>
      <c r="I562" s="3649">
        <f t="shared" si="8"/>
        <v>251</v>
      </c>
      <c r="J562" s="3644">
        <f ca="1">典型户型修正!T584</f>
        <v>253</v>
      </c>
    </row>
    <row r="563" spans="1:10" s="3633" customFormat="1">
      <c r="A563" s="3629">
        <v>559</v>
      </c>
      <c r="B563" s="3629" t="s">
        <v>9200</v>
      </c>
      <c r="C563" s="3629">
        <v>30</v>
      </c>
      <c r="D563" s="3629" t="s">
        <v>8072</v>
      </c>
      <c r="E563" s="3629" t="s">
        <v>8073</v>
      </c>
      <c r="F563" s="3629" t="s">
        <v>9201</v>
      </c>
      <c r="G563" s="3643">
        <v>88.16</v>
      </c>
      <c r="H563" s="3649">
        <v>16230</v>
      </c>
      <c r="I563" s="3649">
        <f t="shared" si="8"/>
        <v>143</v>
      </c>
      <c r="J563" s="3644">
        <f ca="1">典型户型修正!T585</f>
        <v>143</v>
      </c>
    </row>
    <row r="564" spans="1:10" s="3633" customFormat="1">
      <c r="A564" s="3629">
        <v>560</v>
      </c>
      <c r="B564" s="3629" t="s">
        <v>9202</v>
      </c>
      <c r="C564" s="3629">
        <v>30</v>
      </c>
      <c r="D564" s="3629" t="s">
        <v>9024</v>
      </c>
      <c r="E564" s="3629" t="s">
        <v>8073</v>
      </c>
      <c r="F564" s="3629" t="s">
        <v>9203</v>
      </c>
      <c r="G564" s="3643">
        <v>136.66999999999999</v>
      </c>
      <c r="H564" s="3649">
        <v>15400</v>
      </c>
      <c r="I564" s="3649">
        <f t="shared" si="8"/>
        <v>210</v>
      </c>
      <c r="J564" s="3644">
        <f ca="1">典型户型修正!T586</f>
        <v>218</v>
      </c>
    </row>
    <row r="565" spans="1:10" s="3633" customFormat="1">
      <c r="A565" s="3629">
        <v>561</v>
      </c>
      <c r="B565" s="3629" t="s">
        <v>9204</v>
      </c>
      <c r="C565" s="3629">
        <v>30</v>
      </c>
      <c r="D565" s="3629" t="s">
        <v>9024</v>
      </c>
      <c r="E565" s="3629" t="s">
        <v>8073</v>
      </c>
      <c r="F565" s="3629" t="s">
        <v>9205</v>
      </c>
      <c r="G565" s="3643">
        <v>136.66999999999999</v>
      </c>
      <c r="H565" s="3649">
        <v>16100</v>
      </c>
      <c r="I565" s="3649">
        <f t="shared" si="8"/>
        <v>220</v>
      </c>
      <c r="J565" s="3644">
        <f ca="1">典型户型修正!T587</f>
        <v>218</v>
      </c>
    </row>
    <row r="566" spans="1:10" s="3633" customFormat="1">
      <c r="A566" s="3629">
        <v>562</v>
      </c>
      <c r="B566" s="3629" t="s">
        <v>9206</v>
      </c>
      <c r="C566" s="3629">
        <v>30</v>
      </c>
      <c r="D566" s="3629" t="s">
        <v>9024</v>
      </c>
      <c r="E566" s="3629" t="s">
        <v>8073</v>
      </c>
      <c r="F566" s="3629" t="s">
        <v>9207</v>
      </c>
      <c r="G566" s="3643">
        <v>136.66999999999999</v>
      </c>
      <c r="H566" s="3649">
        <v>15400</v>
      </c>
      <c r="I566" s="3649">
        <f t="shared" si="8"/>
        <v>210</v>
      </c>
      <c r="J566" s="3644">
        <f ca="1">典型户型修正!T588</f>
        <v>218</v>
      </c>
    </row>
    <row r="567" spans="1:10" s="3633" customFormat="1">
      <c r="A567" s="3629">
        <v>563</v>
      </c>
      <c r="B567" s="3629" t="s">
        <v>9208</v>
      </c>
      <c r="C567" s="3629">
        <v>30</v>
      </c>
      <c r="D567" s="3629" t="s">
        <v>8072</v>
      </c>
      <c r="E567" s="3629" t="s">
        <v>8073</v>
      </c>
      <c r="F567" s="3629" t="s">
        <v>9209</v>
      </c>
      <c r="G567" s="3643">
        <v>110.76</v>
      </c>
      <c r="H567" s="3649">
        <v>8950</v>
      </c>
      <c r="I567" s="3649">
        <f t="shared" si="8"/>
        <v>99</v>
      </c>
      <c r="J567" s="3644">
        <f ca="1">典型户型修正!T589</f>
        <v>178</v>
      </c>
    </row>
    <row r="568" spans="1:10" s="3633" customFormat="1">
      <c r="A568" s="3629">
        <v>564</v>
      </c>
      <c r="B568" s="3629" t="s">
        <v>9210</v>
      </c>
      <c r="C568" s="3629">
        <v>30</v>
      </c>
      <c r="D568" s="3629" t="s">
        <v>8072</v>
      </c>
      <c r="E568" s="3629" t="s">
        <v>8073</v>
      </c>
      <c r="F568" s="3629" t="s">
        <v>9211</v>
      </c>
      <c r="G568" s="3643">
        <v>110.76</v>
      </c>
      <c r="H568" s="3649">
        <v>10360</v>
      </c>
      <c r="I568" s="3649">
        <f t="shared" si="8"/>
        <v>115</v>
      </c>
      <c r="J568" s="3644">
        <f ca="1">典型户型修正!T590</f>
        <v>185</v>
      </c>
    </row>
    <row r="569" spans="1:10" s="3633" customFormat="1">
      <c r="A569" s="3629">
        <v>565</v>
      </c>
      <c r="B569" s="3629" t="s">
        <v>9212</v>
      </c>
      <c r="C569" s="3629">
        <v>30</v>
      </c>
      <c r="D569" s="3629" t="s">
        <v>8072</v>
      </c>
      <c r="E569" s="3629" t="s">
        <v>8073</v>
      </c>
      <c r="F569" s="3629" t="s">
        <v>9213</v>
      </c>
      <c r="G569" s="3643">
        <v>110.89</v>
      </c>
      <c r="H569" s="3649">
        <v>8950</v>
      </c>
      <c r="I569" s="3649">
        <f t="shared" si="8"/>
        <v>99</v>
      </c>
      <c r="J569" s="3644">
        <f ca="1">典型户型修正!T591</f>
        <v>178</v>
      </c>
    </row>
    <row r="570" spans="1:10" s="3633" customFormat="1">
      <c r="A570" s="3629">
        <v>566</v>
      </c>
      <c r="B570" s="3629" t="s">
        <v>9214</v>
      </c>
      <c r="C570" s="3629">
        <v>30</v>
      </c>
      <c r="D570" s="3629" t="s">
        <v>8072</v>
      </c>
      <c r="E570" s="3629" t="s">
        <v>8073</v>
      </c>
      <c r="F570" s="3629" t="s">
        <v>9215</v>
      </c>
      <c r="G570" s="3643">
        <v>110.89</v>
      </c>
      <c r="H570" s="3649">
        <v>9150</v>
      </c>
      <c r="I570" s="3649">
        <f t="shared" si="8"/>
        <v>101</v>
      </c>
      <c r="J570" s="3644">
        <f ca="1">典型户型修正!T592</f>
        <v>178</v>
      </c>
    </row>
    <row r="571" spans="1:10" s="3633" customFormat="1">
      <c r="A571" s="3629">
        <v>567</v>
      </c>
      <c r="B571" s="3629" t="s">
        <v>9216</v>
      </c>
      <c r="C571" s="3629">
        <v>30</v>
      </c>
      <c r="D571" s="3629" t="s">
        <v>8072</v>
      </c>
      <c r="E571" s="3629" t="s">
        <v>8073</v>
      </c>
      <c r="F571" s="3629" t="s">
        <v>9217</v>
      </c>
      <c r="G571" s="3643">
        <v>110.89</v>
      </c>
      <c r="H571" s="3649">
        <v>9600</v>
      </c>
      <c r="I571" s="3649">
        <f t="shared" si="8"/>
        <v>106</v>
      </c>
      <c r="J571" s="3644">
        <f ca="1">典型户型修正!T593</f>
        <v>178</v>
      </c>
    </row>
    <row r="572" spans="1:10" s="3633" customFormat="1">
      <c r="A572" s="3629">
        <v>568</v>
      </c>
      <c r="B572" s="3629" t="s">
        <v>9218</v>
      </c>
      <c r="C572" s="3629">
        <v>30</v>
      </c>
      <c r="D572" s="3629" t="s">
        <v>8072</v>
      </c>
      <c r="E572" s="3629" t="s">
        <v>8073</v>
      </c>
      <c r="F572" s="3629" t="s">
        <v>9219</v>
      </c>
      <c r="G572" s="3643">
        <v>110.89</v>
      </c>
      <c r="H572" s="3649">
        <v>9950</v>
      </c>
      <c r="I572" s="3649">
        <f t="shared" si="8"/>
        <v>110</v>
      </c>
      <c r="J572" s="3644">
        <f ca="1">典型户型修正!T594</f>
        <v>178</v>
      </c>
    </row>
    <row r="573" spans="1:10" s="3633" customFormat="1">
      <c r="A573" s="3629">
        <v>569</v>
      </c>
      <c r="B573" s="3629" t="s">
        <v>9220</v>
      </c>
      <c r="C573" s="3629">
        <v>30</v>
      </c>
      <c r="D573" s="3629" t="s">
        <v>8072</v>
      </c>
      <c r="E573" s="3629" t="s">
        <v>8073</v>
      </c>
      <c r="F573" s="3629" t="s">
        <v>9221</v>
      </c>
      <c r="G573" s="3643">
        <v>110.89</v>
      </c>
      <c r="H573" s="3649">
        <v>10000</v>
      </c>
      <c r="I573" s="3649">
        <f t="shared" si="8"/>
        <v>111</v>
      </c>
      <c r="J573" s="3644">
        <f ca="1">典型户型修正!T595</f>
        <v>178</v>
      </c>
    </row>
    <row r="574" spans="1:10" s="3633" customFormat="1">
      <c r="A574" s="3629">
        <v>570</v>
      </c>
      <c r="B574" s="3629" t="s">
        <v>9222</v>
      </c>
      <c r="C574" s="3629">
        <v>30</v>
      </c>
      <c r="D574" s="3629" t="s">
        <v>8072</v>
      </c>
      <c r="E574" s="3629" t="s">
        <v>8073</v>
      </c>
      <c r="F574" s="3629" t="s">
        <v>9223</v>
      </c>
      <c r="G574" s="3643">
        <v>110.89</v>
      </c>
      <c r="H574" s="3649">
        <v>10050</v>
      </c>
      <c r="I574" s="3649">
        <f t="shared" si="8"/>
        <v>111</v>
      </c>
      <c r="J574" s="3644">
        <f ca="1">典型户型修正!T596</f>
        <v>178</v>
      </c>
    </row>
    <row r="575" spans="1:10" s="3633" customFormat="1">
      <c r="A575" s="3629">
        <v>571</v>
      </c>
      <c r="B575" s="3629" t="s">
        <v>9224</v>
      </c>
      <c r="C575" s="3629">
        <v>30</v>
      </c>
      <c r="D575" s="3629" t="s">
        <v>8072</v>
      </c>
      <c r="E575" s="3629" t="s">
        <v>8073</v>
      </c>
      <c r="F575" s="3629" t="s">
        <v>9225</v>
      </c>
      <c r="G575" s="3643">
        <v>110.89</v>
      </c>
      <c r="H575" s="3649">
        <v>10100</v>
      </c>
      <c r="I575" s="3649">
        <f t="shared" si="8"/>
        <v>112</v>
      </c>
      <c r="J575" s="3644">
        <f ca="1">典型户型修正!T597</f>
        <v>178</v>
      </c>
    </row>
    <row r="576" spans="1:10" s="3633" customFormat="1">
      <c r="A576" s="3629">
        <v>572</v>
      </c>
      <c r="B576" s="3629" t="s">
        <v>9226</v>
      </c>
      <c r="C576" s="3629">
        <v>30</v>
      </c>
      <c r="D576" s="3629" t="s">
        <v>8072</v>
      </c>
      <c r="E576" s="3629" t="s">
        <v>8073</v>
      </c>
      <c r="F576" s="3629" t="s">
        <v>9227</v>
      </c>
      <c r="G576" s="3643">
        <v>110.89</v>
      </c>
      <c r="H576" s="3649">
        <v>10150</v>
      </c>
      <c r="I576" s="3649">
        <f t="shared" si="8"/>
        <v>113</v>
      </c>
      <c r="J576" s="3644">
        <f ca="1">典型户型修正!T598</f>
        <v>178</v>
      </c>
    </row>
    <row r="577" spans="1:10" s="3633" customFormat="1">
      <c r="A577" s="3629">
        <v>573</v>
      </c>
      <c r="B577" s="3629" t="s">
        <v>9228</v>
      </c>
      <c r="C577" s="3629">
        <v>30</v>
      </c>
      <c r="D577" s="3629" t="s">
        <v>8072</v>
      </c>
      <c r="E577" s="3629" t="s">
        <v>8073</v>
      </c>
      <c r="F577" s="3629" t="s">
        <v>9229</v>
      </c>
      <c r="G577" s="3643">
        <v>110.89</v>
      </c>
      <c r="H577" s="3649">
        <v>10200</v>
      </c>
      <c r="I577" s="3649">
        <f t="shared" si="8"/>
        <v>113</v>
      </c>
      <c r="J577" s="3644">
        <f ca="1">典型户型修正!T599</f>
        <v>178</v>
      </c>
    </row>
    <row r="578" spans="1:10" s="3633" customFormat="1">
      <c r="A578" s="3629">
        <v>574</v>
      </c>
      <c r="B578" s="3629" t="s">
        <v>9230</v>
      </c>
      <c r="C578" s="3629">
        <v>30</v>
      </c>
      <c r="D578" s="3629" t="s">
        <v>8072</v>
      </c>
      <c r="E578" s="3629" t="s">
        <v>8073</v>
      </c>
      <c r="F578" s="3629" t="s">
        <v>9231</v>
      </c>
      <c r="G578" s="3643">
        <v>110.89</v>
      </c>
      <c r="H578" s="3649">
        <v>10250</v>
      </c>
      <c r="I578" s="3649">
        <f t="shared" si="8"/>
        <v>114</v>
      </c>
      <c r="J578" s="3644">
        <f ca="1">典型户型修正!T600</f>
        <v>186</v>
      </c>
    </row>
    <row r="579" spans="1:10" s="3633" customFormat="1">
      <c r="A579" s="3629">
        <v>575</v>
      </c>
      <c r="B579" s="3629" t="s">
        <v>9232</v>
      </c>
      <c r="C579" s="3629">
        <v>30</v>
      </c>
      <c r="D579" s="3629" t="s">
        <v>8072</v>
      </c>
      <c r="E579" s="3629" t="s">
        <v>8073</v>
      </c>
      <c r="F579" s="3629" t="s">
        <v>9233</v>
      </c>
      <c r="G579" s="3643">
        <v>110.89</v>
      </c>
      <c r="H579" s="3649">
        <v>10300</v>
      </c>
      <c r="I579" s="3649">
        <f t="shared" si="8"/>
        <v>114</v>
      </c>
      <c r="J579" s="3644">
        <f ca="1">典型户型修正!T601</f>
        <v>186</v>
      </c>
    </row>
    <row r="580" spans="1:10" s="3633" customFormat="1">
      <c r="A580" s="3629">
        <v>576</v>
      </c>
      <c r="B580" s="3629" t="s">
        <v>9234</v>
      </c>
      <c r="C580" s="3629">
        <v>30</v>
      </c>
      <c r="D580" s="3629" t="s">
        <v>8072</v>
      </c>
      <c r="E580" s="3629" t="s">
        <v>8073</v>
      </c>
      <c r="F580" s="3629" t="s">
        <v>9235</v>
      </c>
      <c r="G580" s="3643">
        <v>110.89</v>
      </c>
      <c r="H580" s="3649">
        <v>10300</v>
      </c>
      <c r="I580" s="3649">
        <f t="shared" si="8"/>
        <v>114</v>
      </c>
      <c r="J580" s="3644">
        <f ca="1">典型户型修正!T602</f>
        <v>186</v>
      </c>
    </row>
    <row r="581" spans="1:10" s="3633" customFormat="1">
      <c r="A581" s="3629">
        <v>577</v>
      </c>
      <c r="B581" s="3629" t="s">
        <v>9236</v>
      </c>
      <c r="C581" s="3629">
        <v>30</v>
      </c>
      <c r="D581" s="3629" t="s">
        <v>8072</v>
      </c>
      <c r="E581" s="3629" t="s">
        <v>8073</v>
      </c>
      <c r="F581" s="3629" t="s">
        <v>9237</v>
      </c>
      <c r="G581" s="3643">
        <v>110.89</v>
      </c>
      <c r="H581" s="3649">
        <v>10300</v>
      </c>
      <c r="I581" s="3649">
        <f t="shared" si="8"/>
        <v>114</v>
      </c>
      <c r="J581" s="3644">
        <f ca="1">典型户型修正!T603</f>
        <v>186</v>
      </c>
    </row>
    <row r="582" spans="1:10" s="3633" customFormat="1">
      <c r="A582" s="3629">
        <v>578</v>
      </c>
      <c r="B582" s="3629" t="s">
        <v>9238</v>
      </c>
      <c r="C582" s="3629">
        <v>30</v>
      </c>
      <c r="D582" s="3629" t="s">
        <v>8072</v>
      </c>
      <c r="E582" s="3629" t="s">
        <v>8073</v>
      </c>
      <c r="F582" s="3629" t="s">
        <v>9239</v>
      </c>
      <c r="G582" s="3643">
        <v>110.89</v>
      </c>
      <c r="H582" s="3649">
        <v>10330</v>
      </c>
      <c r="I582" s="3649">
        <f t="shared" si="8"/>
        <v>115</v>
      </c>
      <c r="J582" s="3644">
        <f ca="1">典型户型修正!T604</f>
        <v>186</v>
      </c>
    </row>
    <row r="583" spans="1:10" s="3633" customFormat="1">
      <c r="A583" s="3629">
        <v>579</v>
      </c>
      <c r="B583" s="3629" t="s">
        <v>9240</v>
      </c>
      <c r="C583" s="3629">
        <v>30</v>
      </c>
      <c r="D583" s="3629" t="s">
        <v>8072</v>
      </c>
      <c r="E583" s="3629" t="s">
        <v>8073</v>
      </c>
      <c r="F583" s="3629" t="s">
        <v>9241</v>
      </c>
      <c r="G583" s="3643">
        <v>110.89</v>
      </c>
      <c r="H583" s="3649">
        <v>10330</v>
      </c>
      <c r="I583" s="3649">
        <f t="shared" ref="I583:I646" si="9">ROUND(G583*H583/10000,0)</f>
        <v>115</v>
      </c>
      <c r="J583" s="3644">
        <f ca="1">典型户型修正!T605</f>
        <v>186</v>
      </c>
    </row>
    <row r="584" spans="1:10" s="3633" customFormat="1">
      <c r="A584" s="3629">
        <v>580</v>
      </c>
      <c r="B584" s="3629" t="s">
        <v>9242</v>
      </c>
      <c r="C584" s="3629">
        <v>30</v>
      </c>
      <c r="D584" s="3629" t="s">
        <v>8072</v>
      </c>
      <c r="E584" s="3629" t="s">
        <v>8073</v>
      </c>
      <c r="F584" s="3629" t="s">
        <v>9243</v>
      </c>
      <c r="G584" s="3643">
        <v>110.89</v>
      </c>
      <c r="H584" s="3649">
        <v>10360</v>
      </c>
      <c r="I584" s="3649">
        <f t="shared" si="9"/>
        <v>115</v>
      </c>
      <c r="J584" s="3644">
        <f ca="1">典型户型修正!T606</f>
        <v>186</v>
      </c>
    </row>
    <row r="585" spans="1:10" s="3633" customFormat="1">
      <c r="A585" s="3629">
        <v>581</v>
      </c>
      <c r="B585" s="3629" t="s">
        <v>9244</v>
      </c>
      <c r="C585" s="3629">
        <v>30</v>
      </c>
      <c r="D585" s="3629" t="s">
        <v>8072</v>
      </c>
      <c r="E585" s="3629" t="s">
        <v>8073</v>
      </c>
      <c r="F585" s="3629" t="s">
        <v>9245</v>
      </c>
      <c r="G585" s="3643">
        <v>110.89</v>
      </c>
      <c r="H585" s="3649">
        <v>10360</v>
      </c>
      <c r="I585" s="3649">
        <f t="shared" si="9"/>
        <v>115</v>
      </c>
      <c r="J585" s="3644">
        <f ca="1">典型户型修正!T607</f>
        <v>186</v>
      </c>
    </row>
    <row r="586" spans="1:10" s="3633" customFormat="1">
      <c r="A586" s="3629">
        <v>582</v>
      </c>
      <c r="B586" s="3629" t="s">
        <v>9246</v>
      </c>
      <c r="C586" s="3629">
        <v>30</v>
      </c>
      <c r="D586" s="3629" t="s">
        <v>8072</v>
      </c>
      <c r="E586" s="3629" t="s">
        <v>8073</v>
      </c>
      <c r="F586" s="3629" t="s">
        <v>9247</v>
      </c>
      <c r="G586" s="3643">
        <v>110.89</v>
      </c>
      <c r="H586" s="3649">
        <v>10360</v>
      </c>
      <c r="I586" s="3649">
        <f t="shared" si="9"/>
        <v>115</v>
      </c>
      <c r="J586" s="3644">
        <f ca="1">典型户型修正!T608</f>
        <v>186</v>
      </c>
    </row>
    <row r="587" spans="1:10" s="3633" customFormat="1">
      <c r="A587" s="3629">
        <v>583</v>
      </c>
      <c r="B587" s="3629" t="s">
        <v>9248</v>
      </c>
      <c r="C587" s="3629">
        <v>30</v>
      </c>
      <c r="D587" s="3629" t="s">
        <v>8072</v>
      </c>
      <c r="E587" s="3629" t="s">
        <v>8073</v>
      </c>
      <c r="F587" s="3629" t="s">
        <v>9249</v>
      </c>
      <c r="G587" s="3643">
        <v>110.89</v>
      </c>
      <c r="H587" s="3649">
        <v>10360</v>
      </c>
      <c r="I587" s="3649">
        <f t="shared" si="9"/>
        <v>115</v>
      </c>
      <c r="J587" s="3644">
        <f ca="1">典型户型修正!T609</f>
        <v>186</v>
      </c>
    </row>
    <row r="588" spans="1:10" s="3633" customFormat="1">
      <c r="A588" s="3629">
        <v>584</v>
      </c>
      <c r="B588" s="3629" t="s">
        <v>9250</v>
      </c>
      <c r="C588" s="3629">
        <v>30</v>
      </c>
      <c r="D588" s="3629" t="s">
        <v>8072</v>
      </c>
      <c r="E588" s="3629" t="s">
        <v>8073</v>
      </c>
      <c r="F588" s="3629" t="s">
        <v>9251</v>
      </c>
      <c r="G588" s="3643">
        <v>110.89</v>
      </c>
      <c r="H588" s="3649">
        <v>10390</v>
      </c>
      <c r="I588" s="3649">
        <f t="shared" si="9"/>
        <v>115</v>
      </c>
      <c r="J588" s="3644">
        <f ca="1">典型户型修正!T610</f>
        <v>182</v>
      </c>
    </row>
    <row r="589" spans="1:10" s="3633" customFormat="1">
      <c r="A589" s="3629">
        <v>585</v>
      </c>
      <c r="B589" s="3629" t="s">
        <v>9252</v>
      </c>
      <c r="C589" s="3629">
        <v>30</v>
      </c>
      <c r="D589" s="3629" t="s">
        <v>8072</v>
      </c>
      <c r="E589" s="3629" t="s">
        <v>8073</v>
      </c>
      <c r="F589" s="3629" t="s">
        <v>9253</v>
      </c>
      <c r="G589" s="3643">
        <v>110.89</v>
      </c>
      <c r="H589" s="3649">
        <v>10390</v>
      </c>
      <c r="I589" s="3649">
        <f t="shared" si="9"/>
        <v>115</v>
      </c>
      <c r="J589" s="3644">
        <f ca="1">典型户型修正!T611</f>
        <v>182</v>
      </c>
    </row>
    <row r="590" spans="1:10" s="3633" customFormat="1">
      <c r="A590" s="3629">
        <v>586</v>
      </c>
      <c r="B590" s="3629" t="s">
        <v>9254</v>
      </c>
      <c r="C590" s="3629">
        <v>30</v>
      </c>
      <c r="D590" s="3629" t="s">
        <v>8072</v>
      </c>
      <c r="E590" s="3629" t="s">
        <v>8073</v>
      </c>
      <c r="F590" s="3629" t="s">
        <v>9255</v>
      </c>
      <c r="G590" s="3643">
        <v>110.89</v>
      </c>
      <c r="H590" s="3649">
        <v>10390</v>
      </c>
      <c r="I590" s="3649">
        <f t="shared" si="9"/>
        <v>115</v>
      </c>
      <c r="J590" s="3644">
        <f ca="1">典型户型修正!T612</f>
        <v>182</v>
      </c>
    </row>
    <row r="591" spans="1:10" s="3633" customFormat="1">
      <c r="A591" s="3629">
        <v>587</v>
      </c>
      <c r="B591" s="3629" t="s">
        <v>9256</v>
      </c>
      <c r="C591" s="3629">
        <v>30</v>
      </c>
      <c r="D591" s="3629" t="s">
        <v>8072</v>
      </c>
      <c r="E591" s="3629" t="s">
        <v>8073</v>
      </c>
      <c r="F591" s="3629" t="s">
        <v>9257</v>
      </c>
      <c r="G591" s="3643">
        <v>110.89</v>
      </c>
      <c r="H591" s="3649">
        <v>10390</v>
      </c>
      <c r="I591" s="3649">
        <f t="shared" si="9"/>
        <v>115</v>
      </c>
      <c r="J591" s="3644">
        <f ca="1">典型户型修正!T613</f>
        <v>182</v>
      </c>
    </row>
    <row r="592" spans="1:10" s="3633" customFormat="1">
      <c r="A592" s="3629">
        <v>588</v>
      </c>
      <c r="B592" s="3629" t="s">
        <v>9258</v>
      </c>
      <c r="C592" s="3629">
        <v>30</v>
      </c>
      <c r="D592" s="3629" t="s">
        <v>8072</v>
      </c>
      <c r="E592" s="3629" t="s">
        <v>8073</v>
      </c>
      <c r="F592" s="3629" t="s">
        <v>9259</v>
      </c>
      <c r="G592" s="3643">
        <v>110.89</v>
      </c>
      <c r="H592" s="3649">
        <v>10390</v>
      </c>
      <c r="I592" s="3649">
        <f t="shared" si="9"/>
        <v>115</v>
      </c>
      <c r="J592" s="3644">
        <f ca="1">典型户型修正!T614</f>
        <v>182</v>
      </c>
    </row>
    <row r="593" spans="1:10" s="3633" customFormat="1">
      <c r="A593" s="3629">
        <v>589</v>
      </c>
      <c r="B593" s="3629" t="s">
        <v>9260</v>
      </c>
      <c r="C593" s="3629">
        <v>30</v>
      </c>
      <c r="D593" s="3629" t="s">
        <v>8072</v>
      </c>
      <c r="E593" s="3629" t="s">
        <v>8073</v>
      </c>
      <c r="F593" s="3629" t="s">
        <v>9261</v>
      </c>
      <c r="G593" s="3643">
        <v>110.89</v>
      </c>
      <c r="H593" s="3649">
        <v>10390</v>
      </c>
      <c r="I593" s="3649">
        <f t="shared" si="9"/>
        <v>115</v>
      </c>
      <c r="J593" s="3644">
        <f ca="1">典型户型修正!T615</f>
        <v>182</v>
      </c>
    </row>
    <row r="594" spans="1:10" s="3633" customFormat="1">
      <c r="A594" s="3629">
        <v>590</v>
      </c>
      <c r="B594" s="3629" t="s">
        <v>9262</v>
      </c>
      <c r="C594" s="3629">
        <v>30</v>
      </c>
      <c r="D594" s="3629" t="s">
        <v>8072</v>
      </c>
      <c r="E594" s="3629" t="s">
        <v>8073</v>
      </c>
      <c r="F594" s="3629" t="s">
        <v>9263</v>
      </c>
      <c r="G594" s="3643">
        <v>110.89</v>
      </c>
      <c r="H594" s="3649">
        <v>10390</v>
      </c>
      <c r="I594" s="3649">
        <f t="shared" si="9"/>
        <v>115</v>
      </c>
      <c r="J594" s="3644">
        <f ca="1">典型户型修正!T616</f>
        <v>182</v>
      </c>
    </row>
    <row r="595" spans="1:10" s="3633" customFormat="1">
      <c r="A595" s="3629">
        <v>591</v>
      </c>
      <c r="B595" s="3629" t="s">
        <v>9264</v>
      </c>
      <c r="C595" s="3629">
        <v>30</v>
      </c>
      <c r="D595" s="3629" t="s">
        <v>8072</v>
      </c>
      <c r="E595" s="3629" t="s">
        <v>8073</v>
      </c>
      <c r="F595" s="3629" t="s">
        <v>9265</v>
      </c>
      <c r="G595" s="3643">
        <v>110.89</v>
      </c>
      <c r="H595" s="3649">
        <v>10390</v>
      </c>
      <c r="I595" s="3649">
        <f t="shared" si="9"/>
        <v>115</v>
      </c>
      <c r="J595" s="3644">
        <f ca="1">典型户型修正!T617</f>
        <v>182</v>
      </c>
    </row>
    <row r="596" spans="1:10" s="3633" customFormat="1">
      <c r="A596" s="3629">
        <v>592</v>
      </c>
      <c r="B596" s="3629" t="s">
        <v>9266</v>
      </c>
      <c r="C596" s="3629">
        <v>30</v>
      </c>
      <c r="D596" s="3629" t="s">
        <v>8072</v>
      </c>
      <c r="E596" s="3629" t="s">
        <v>8073</v>
      </c>
      <c r="F596" s="3629" t="s">
        <v>9267</v>
      </c>
      <c r="G596" s="3643">
        <v>110.89</v>
      </c>
      <c r="H596" s="3649">
        <v>10390</v>
      </c>
      <c r="I596" s="3649">
        <f t="shared" si="9"/>
        <v>115</v>
      </c>
      <c r="J596" s="3644">
        <f ca="1">典型户型修正!T618</f>
        <v>182</v>
      </c>
    </row>
    <row r="597" spans="1:10" s="3633" customFormat="1">
      <c r="A597" s="3629">
        <v>593</v>
      </c>
      <c r="B597" s="3629" t="s">
        <v>9268</v>
      </c>
      <c r="C597" s="3629">
        <v>30</v>
      </c>
      <c r="D597" s="3629" t="s">
        <v>8072</v>
      </c>
      <c r="E597" s="3629" t="s">
        <v>8073</v>
      </c>
      <c r="F597" s="3629" t="s">
        <v>9269</v>
      </c>
      <c r="G597" s="3643">
        <v>110.89</v>
      </c>
      <c r="H597" s="3649">
        <v>8950</v>
      </c>
      <c r="I597" s="3649">
        <f t="shared" si="9"/>
        <v>99</v>
      </c>
      <c r="J597" s="3644">
        <f ca="1">典型户型修正!T619</f>
        <v>178</v>
      </c>
    </row>
    <row r="598" spans="1:10" s="3633" customFormat="1">
      <c r="A598" s="3629">
        <v>594</v>
      </c>
      <c r="B598" s="3629" t="s">
        <v>9270</v>
      </c>
      <c r="C598" s="3629">
        <v>30</v>
      </c>
      <c r="D598" s="3629" t="s">
        <v>8072</v>
      </c>
      <c r="E598" s="3629" t="s">
        <v>8073</v>
      </c>
      <c r="F598" s="3629" t="s">
        <v>9271</v>
      </c>
      <c r="G598" s="3643">
        <v>110.89</v>
      </c>
      <c r="H598" s="3649">
        <v>9150</v>
      </c>
      <c r="I598" s="3649">
        <f t="shared" si="9"/>
        <v>101</v>
      </c>
      <c r="J598" s="3644">
        <f ca="1">典型户型修正!T620</f>
        <v>178</v>
      </c>
    </row>
    <row r="599" spans="1:10" s="3633" customFormat="1">
      <c r="A599" s="3629">
        <v>595</v>
      </c>
      <c r="B599" s="3629" t="s">
        <v>9272</v>
      </c>
      <c r="C599" s="3629">
        <v>30</v>
      </c>
      <c r="D599" s="3629" t="s">
        <v>8072</v>
      </c>
      <c r="E599" s="3629" t="s">
        <v>8073</v>
      </c>
      <c r="F599" s="3629" t="s">
        <v>9273</v>
      </c>
      <c r="G599" s="3643">
        <v>110.89</v>
      </c>
      <c r="H599" s="3649">
        <v>9600</v>
      </c>
      <c r="I599" s="3649">
        <f t="shared" si="9"/>
        <v>106</v>
      </c>
      <c r="J599" s="3644">
        <f ca="1">典型户型修正!T621</f>
        <v>178</v>
      </c>
    </row>
    <row r="600" spans="1:10" s="3633" customFormat="1">
      <c r="A600" s="3629">
        <v>596</v>
      </c>
      <c r="B600" s="3629" t="s">
        <v>9274</v>
      </c>
      <c r="C600" s="3629">
        <v>30</v>
      </c>
      <c r="D600" s="3629" t="s">
        <v>8072</v>
      </c>
      <c r="E600" s="3629" t="s">
        <v>8073</v>
      </c>
      <c r="F600" s="3629" t="s">
        <v>9275</v>
      </c>
      <c r="G600" s="3643">
        <v>110.89</v>
      </c>
      <c r="H600" s="3649">
        <v>9950</v>
      </c>
      <c r="I600" s="3649">
        <f t="shared" si="9"/>
        <v>110</v>
      </c>
      <c r="J600" s="3644">
        <f ca="1">典型户型修正!T622</f>
        <v>178</v>
      </c>
    </row>
    <row r="601" spans="1:10" s="3633" customFormat="1">
      <c r="A601" s="3629">
        <v>597</v>
      </c>
      <c r="B601" s="3629" t="s">
        <v>9276</v>
      </c>
      <c r="C601" s="3629">
        <v>30</v>
      </c>
      <c r="D601" s="3629" t="s">
        <v>8072</v>
      </c>
      <c r="E601" s="3629" t="s">
        <v>8073</v>
      </c>
      <c r="F601" s="3629" t="s">
        <v>9277</v>
      </c>
      <c r="G601" s="3643">
        <v>110.89</v>
      </c>
      <c r="H601" s="3649">
        <v>10000</v>
      </c>
      <c r="I601" s="3649">
        <f t="shared" si="9"/>
        <v>111</v>
      </c>
      <c r="J601" s="3644">
        <f ca="1">典型户型修正!T623</f>
        <v>178</v>
      </c>
    </row>
    <row r="602" spans="1:10" s="3633" customFormat="1">
      <c r="A602" s="3629">
        <v>598</v>
      </c>
      <c r="B602" s="3629" t="s">
        <v>9278</v>
      </c>
      <c r="C602" s="3629">
        <v>30</v>
      </c>
      <c r="D602" s="3629" t="s">
        <v>8072</v>
      </c>
      <c r="E602" s="3629" t="s">
        <v>8073</v>
      </c>
      <c r="F602" s="3629" t="s">
        <v>9279</v>
      </c>
      <c r="G602" s="3643">
        <v>110.89</v>
      </c>
      <c r="H602" s="3649">
        <v>10050</v>
      </c>
      <c r="I602" s="3649">
        <f t="shared" si="9"/>
        <v>111</v>
      </c>
      <c r="J602" s="3644">
        <f ca="1">典型户型修正!T624</f>
        <v>178</v>
      </c>
    </row>
    <row r="603" spans="1:10" s="3633" customFormat="1">
      <c r="A603" s="3629">
        <v>599</v>
      </c>
      <c r="B603" s="3629" t="s">
        <v>9280</v>
      </c>
      <c r="C603" s="3629">
        <v>30</v>
      </c>
      <c r="D603" s="3629" t="s">
        <v>8072</v>
      </c>
      <c r="E603" s="3629" t="s">
        <v>8073</v>
      </c>
      <c r="F603" s="3629" t="s">
        <v>9281</v>
      </c>
      <c r="G603" s="3643">
        <v>110.89</v>
      </c>
      <c r="H603" s="3649">
        <v>10100</v>
      </c>
      <c r="I603" s="3649">
        <f t="shared" si="9"/>
        <v>112</v>
      </c>
      <c r="J603" s="3644">
        <f ca="1">典型户型修正!T625</f>
        <v>178</v>
      </c>
    </row>
    <row r="604" spans="1:10" s="3633" customFormat="1">
      <c r="A604" s="3629">
        <v>600</v>
      </c>
      <c r="B604" s="3629" t="s">
        <v>9282</v>
      </c>
      <c r="C604" s="3629">
        <v>30</v>
      </c>
      <c r="D604" s="3629" t="s">
        <v>8072</v>
      </c>
      <c r="E604" s="3629" t="s">
        <v>8073</v>
      </c>
      <c r="F604" s="3629" t="s">
        <v>9283</v>
      </c>
      <c r="G604" s="3643">
        <v>110.89</v>
      </c>
      <c r="H604" s="3649">
        <v>10150</v>
      </c>
      <c r="I604" s="3649">
        <f t="shared" si="9"/>
        <v>113</v>
      </c>
      <c r="J604" s="3644">
        <f ca="1">典型户型修正!T626</f>
        <v>178</v>
      </c>
    </row>
    <row r="605" spans="1:10" s="3633" customFormat="1">
      <c r="A605" s="3629">
        <v>601</v>
      </c>
      <c r="B605" s="3629" t="s">
        <v>9284</v>
      </c>
      <c r="C605" s="3629">
        <v>30</v>
      </c>
      <c r="D605" s="3629" t="s">
        <v>8072</v>
      </c>
      <c r="E605" s="3629" t="s">
        <v>8073</v>
      </c>
      <c r="F605" s="3629" t="s">
        <v>9285</v>
      </c>
      <c r="G605" s="3643">
        <v>110.89</v>
      </c>
      <c r="H605" s="3649">
        <v>10200</v>
      </c>
      <c r="I605" s="3649">
        <f t="shared" si="9"/>
        <v>113</v>
      </c>
      <c r="J605" s="3644">
        <f ca="1">典型户型修正!T627</f>
        <v>178</v>
      </c>
    </row>
    <row r="606" spans="1:10" s="3633" customFormat="1">
      <c r="A606" s="3629">
        <v>602</v>
      </c>
      <c r="B606" s="3629" t="s">
        <v>9286</v>
      </c>
      <c r="C606" s="3629">
        <v>30</v>
      </c>
      <c r="D606" s="3629" t="s">
        <v>8072</v>
      </c>
      <c r="E606" s="3629" t="s">
        <v>8073</v>
      </c>
      <c r="F606" s="3629" t="s">
        <v>9287</v>
      </c>
      <c r="G606" s="3643">
        <v>110.89</v>
      </c>
      <c r="H606" s="3649">
        <v>10250</v>
      </c>
      <c r="I606" s="3649">
        <f t="shared" si="9"/>
        <v>114</v>
      </c>
      <c r="J606" s="3644">
        <f ca="1">典型户型修正!T628</f>
        <v>186</v>
      </c>
    </row>
    <row r="607" spans="1:10" s="3633" customFormat="1">
      <c r="A607" s="3629">
        <v>603</v>
      </c>
      <c r="B607" s="3629" t="s">
        <v>9288</v>
      </c>
      <c r="C607" s="3629">
        <v>30</v>
      </c>
      <c r="D607" s="3629" t="s">
        <v>8072</v>
      </c>
      <c r="E607" s="3629" t="s">
        <v>8073</v>
      </c>
      <c r="F607" s="3629" t="s">
        <v>9289</v>
      </c>
      <c r="G607" s="3643">
        <v>110.89</v>
      </c>
      <c r="H607" s="3649">
        <v>10300</v>
      </c>
      <c r="I607" s="3649">
        <f t="shared" si="9"/>
        <v>114</v>
      </c>
      <c r="J607" s="3644">
        <f ca="1">典型户型修正!T629</f>
        <v>186</v>
      </c>
    </row>
    <row r="608" spans="1:10" s="3633" customFormat="1">
      <c r="A608" s="3629">
        <v>604</v>
      </c>
      <c r="B608" s="3629" t="s">
        <v>9290</v>
      </c>
      <c r="C608" s="3629">
        <v>30</v>
      </c>
      <c r="D608" s="3629" t="s">
        <v>8072</v>
      </c>
      <c r="E608" s="3629" t="s">
        <v>8073</v>
      </c>
      <c r="F608" s="3629" t="s">
        <v>9291</v>
      </c>
      <c r="G608" s="3643">
        <v>110.89</v>
      </c>
      <c r="H608" s="3649">
        <v>10300</v>
      </c>
      <c r="I608" s="3649">
        <f t="shared" si="9"/>
        <v>114</v>
      </c>
      <c r="J608" s="3644">
        <f ca="1">典型户型修正!T630</f>
        <v>186</v>
      </c>
    </row>
    <row r="609" spans="1:10" s="3633" customFormat="1">
      <c r="A609" s="3629">
        <v>605</v>
      </c>
      <c r="B609" s="3629" t="s">
        <v>9292</v>
      </c>
      <c r="C609" s="3629">
        <v>30</v>
      </c>
      <c r="D609" s="3629" t="s">
        <v>8072</v>
      </c>
      <c r="E609" s="3629" t="s">
        <v>8073</v>
      </c>
      <c r="F609" s="3629" t="s">
        <v>9293</v>
      </c>
      <c r="G609" s="3643">
        <v>110.89</v>
      </c>
      <c r="H609" s="3649">
        <v>10360</v>
      </c>
      <c r="I609" s="3649">
        <f t="shared" si="9"/>
        <v>115</v>
      </c>
      <c r="J609" s="3644">
        <f ca="1">典型户型修正!T631</f>
        <v>186</v>
      </c>
    </row>
    <row r="610" spans="1:10" s="3633" customFormat="1">
      <c r="A610" s="3629">
        <v>606</v>
      </c>
      <c r="B610" s="3629" t="s">
        <v>9294</v>
      </c>
      <c r="C610" s="3629">
        <v>30</v>
      </c>
      <c r="D610" s="3629" t="s">
        <v>8072</v>
      </c>
      <c r="E610" s="3629" t="s">
        <v>8073</v>
      </c>
      <c r="F610" s="3629" t="s">
        <v>9295</v>
      </c>
      <c r="G610" s="3643">
        <v>110.89</v>
      </c>
      <c r="H610" s="3649">
        <v>10360</v>
      </c>
      <c r="I610" s="3649">
        <f t="shared" si="9"/>
        <v>115</v>
      </c>
      <c r="J610" s="3644">
        <f ca="1">典型户型修正!T632</f>
        <v>186</v>
      </c>
    </row>
    <row r="611" spans="1:10" s="3633" customFormat="1">
      <c r="A611" s="3629">
        <v>607</v>
      </c>
      <c r="B611" s="3629" t="s">
        <v>9296</v>
      </c>
      <c r="C611" s="3629">
        <v>30</v>
      </c>
      <c r="D611" s="3629" t="s">
        <v>8072</v>
      </c>
      <c r="E611" s="3629" t="s">
        <v>8073</v>
      </c>
      <c r="F611" s="3629" t="s">
        <v>9297</v>
      </c>
      <c r="G611" s="3643">
        <v>110.89</v>
      </c>
      <c r="H611" s="3649">
        <v>10390</v>
      </c>
      <c r="I611" s="3649">
        <f t="shared" si="9"/>
        <v>115</v>
      </c>
      <c r="J611" s="3644">
        <f ca="1">典型户型修正!T633</f>
        <v>182</v>
      </c>
    </row>
    <row r="612" spans="1:10" s="3633" customFormat="1">
      <c r="A612" s="3629">
        <v>608</v>
      </c>
      <c r="B612" s="3629" t="s">
        <v>9298</v>
      </c>
      <c r="C612" s="3629">
        <v>30</v>
      </c>
      <c r="D612" s="3629" t="s">
        <v>8072</v>
      </c>
      <c r="E612" s="3629" t="s">
        <v>8073</v>
      </c>
      <c r="F612" s="3629" t="s">
        <v>9299</v>
      </c>
      <c r="G612" s="3643">
        <v>110.89</v>
      </c>
      <c r="H612" s="3649">
        <v>10390</v>
      </c>
      <c r="I612" s="3649">
        <f t="shared" si="9"/>
        <v>115</v>
      </c>
      <c r="J612" s="3644">
        <f ca="1">典型户型修正!T634</f>
        <v>182</v>
      </c>
    </row>
    <row r="613" spans="1:10" s="3633" customFormat="1">
      <c r="A613" s="3629">
        <v>609</v>
      </c>
      <c r="B613" s="3629" t="s">
        <v>9300</v>
      </c>
      <c r="C613" s="3629">
        <v>30</v>
      </c>
      <c r="D613" s="3629" t="s">
        <v>8072</v>
      </c>
      <c r="E613" s="3629" t="s">
        <v>8073</v>
      </c>
      <c r="F613" s="3629" t="s">
        <v>9301</v>
      </c>
      <c r="G613" s="3643">
        <v>110.89</v>
      </c>
      <c r="H613" s="3649">
        <v>10390</v>
      </c>
      <c r="I613" s="3649">
        <f t="shared" si="9"/>
        <v>115</v>
      </c>
      <c r="J613" s="3644">
        <f ca="1">典型户型修正!T635</f>
        <v>182</v>
      </c>
    </row>
    <row r="614" spans="1:10" s="3633" customFormat="1">
      <c r="A614" s="3629">
        <v>610</v>
      </c>
      <c r="B614" s="3629" t="s">
        <v>9302</v>
      </c>
      <c r="C614" s="3629">
        <v>30</v>
      </c>
      <c r="D614" s="3629" t="s">
        <v>8072</v>
      </c>
      <c r="E614" s="3629" t="s">
        <v>8073</v>
      </c>
      <c r="F614" s="3629" t="s">
        <v>9303</v>
      </c>
      <c r="G614" s="3643">
        <v>110.89</v>
      </c>
      <c r="H614" s="3649">
        <v>10390</v>
      </c>
      <c r="I614" s="3649">
        <f t="shared" si="9"/>
        <v>115</v>
      </c>
      <c r="J614" s="3644">
        <f ca="1">典型户型修正!T636</f>
        <v>182</v>
      </c>
    </row>
    <row r="615" spans="1:10" s="3633" customFormat="1">
      <c r="A615" s="3629">
        <v>611</v>
      </c>
      <c r="B615" s="3629" t="s">
        <v>9304</v>
      </c>
      <c r="C615" s="3629">
        <v>30</v>
      </c>
      <c r="D615" s="3629" t="s">
        <v>8072</v>
      </c>
      <c r="E615" s="3629" t="s">
        <v>8073</v>
      </c>
      <c r="F615" s="3629" t="s">
        <v>9305</v>
      </c>
      <c r="G615" s="3643">
        <v>110.89</v>
      </c>
      <c r="H615" s="3649">
        <v>10390</v>
      </c>
      <c r="I615" s="3649">
        <f t="shared" si="9"/>
        <v>115</v>
      </c>
      <c r="J615" s="3644">
        <f ca="1">典型户型修正!T637</f>
        <v>182</v>
      </c>
    </row>
    <row r="616" spans="1:10" s="3633" customFormat="1">
      <c r="A616" s="3629">
        <v>612</v>
      </c>
      <c r="B616" s="3629" t="s">
        <v>9306</v>
      </c>
      <c r="C616" s="3629">
        <v>30</v>
      </c>
      <c r="D616" s="3629" t="s">
        <v>8072</v>
      </c>
      <c r="E616" s="3629" t="s">
        <v>8073</v>
      </c>
      <c r="F616" s="3629" t="s">
        <v>9307</v>
      </c>
      <c r="G616" s="3643">
        <v>110.89</v>
      </c>
      <c r="H616" s="3649">
        <v>10390</v>
      </c>
      <c r="I616" s="3649">
        <f t="shared" si="9"/>
        <v>115</v>
      </c>
      <c r="J616" s="3644">
        <f ca="1">典型户型修正!T638</f>
        <v>182</v>
      </c>
    </row>
    <row r="617" spans="1:10" s="3633" customFormat="1">
      <c r="A617" s="3629">
        <v>613</v>
      </c>
      <c r="B617" s="3629" t="s">
        <v>9308</v>
      </c>
      <c r="C617" s="3629">
        <v>30</v>
      </c>
      <c r="D617" s="3629" t="s">
        <v>8072</v>
      </c>
      <c r="E617" s="3629" t="s">
        <v>8073</v>
      </c>
      <c r="F617" s="3629" t="s">
        <v>9309</v>
      </c>
      <c r="G617" s="3643">
        <v>110.89</v>
      </c>
      <c r="H617" s="3649">
        <v>10390</v>
      </c>
      <c r="I617" s="3649">
        <f t="shared" si="9"/>
        <v>115</v>
      </c>
      <c r="J617" s="3644">
        <f ca="1">典型户型修正!T639</f>
        <v>182</v>
      </c>
    </row>
    <row r="618" spans="1:10" s="3633" customFormat="1">
      <c r="A618" s="3629">
        <v>614</v>
      </c>
      <c r="B618" s="3629" t="s">
        <v>9310</v>
      </c>
      <c r="C618" s="3629">
        <v>30</v>
      </c>
      <c r="D618" s="3629" t="s">
        <v>8072</v>
      </c>
      <c r="E618" s="3629" t="s">
        <v>8073</v>
      </c>
      <c r="F618" s="3629" t="s">
        <v>9311</v>
      </c>
      <c r="G618" s="3643">
        <v>110.76</v>
      </c>
      <c r="H618" s="3649">
        <v>8950</v>
      </c>
      <c r="I618" s="3649">
        <f t="shared" si="9"/>
        <v>99</v>
      </c>
      <c r="J618" s="3644">
        <f ca="1">典型户型修正!T640</f>
        <v>178</v>
      </c>
    </row>
    <row r="619" spans="1:10" s="3633" customFormat="1">
      <c r="A619" s="3629">
        <v>615</v>
      </c>
      <c r="B619" s="3629" t="s">
        <v>9312</v>
      </c>
      <c r="C619" s="3629">
        <v>30</v>
      </c>
      <c r="D619" s="3629" t="s">
        <v>8072</v>
      </c>
      <c r="E619" s="3629" t="s">
        <v>8090</v>
      </c>
      <c r="F619" s="3629" t="s">
        <v>9313</v>
      </c>
      <c r="G619" s="3643">
        <v>138.16999999999999</v>
      </c>
      <c r="H619" s="3649">
        <v>11150</v>
      </c>
      <c r="I619" s="3649">
        <f t="shared" si="9"/>
        <v>154</v>
      </c>
      <c r="J619" s="3644">
        <f ca="1">典型户型修正!T641</f>
        <v>220</v>
      </c>
    </row>
    <row r="620" spans="1:10" s="3633" customFormat="1">
      <c r="A620" s="3629">
        <v>616</v>
      </c>
      <c r="B620" s="3629" t="s">
        <v>9314</v>
      </c>
      <c r="C620" s="3629">
        <v>30</v>
      </c>
      <c r="D620" s="3629" t="s">
        <v>8072</v>
      </c>
      <c r="E620" s="3629" t="s">
        <v>8090</v>
      </c>
      <c r="F620" s="3629" t="s">
        <v>9315</v>
      </c>
      <c r="G620" s="3643">
        <v>138.16999999999999</v>
      </c>
      <c r="H620" s="3649">
        <v>11350</v>
      </c>
      <c r="I620" s="3649">
        <f t="shared" si="9"/>
        <v>157</v>
      </c>
      <c r="J620" s="3644">
        <f ca="1">典型户型修正!T642</f>
        <v>220</v>
      </c>
    </row>
    <row r="621" spans="1:10" s="3633" customFormat="1">
      <c r="A621" s="3629">
        <v>617</v>
      </c>
      <c r="B621" s="3629" t="s">
        <v>9316</v>
      </c>
      <c r="C621" s="3629">
        <v>30</v>
      </c>
      <c r="D621" s="3629" t="s">
        <v>8072</v>
      </c>
      <c r="E621" s="3629" t="s">
        <v>8090</v>
      </c>
      <c r="F621" s="3629" t="s">
        <v>9317</v>
      </c>
      <c r="G621" s="3643">
        <v>138.16999999999999</v>
      </c>
      <c r="H621" s="3649">
        <v>11800</v>
      </c>
      <c r="I621" s="3649">
        <f t="shared" si="9"/>
        <v>163</v>
      </c>
      <c r="J621" s="3644">
        <f ca="1">典型户型修正!T643</f>
        <v>220</v>
      </c>
    </row>
    <row r="622" spans="1:10" s="3633" customFormat="1">
      <c r="A622" s="3629">
        <v>618</v>
      </c>
      <c r="B622" s="3629" t="s">
        <v>9318</v>
      </c>
      <c r="C622" s="3629">
        <v>30</v>
      </c>
      <c r="D622" s="3629" t="s">
        <v>8072</v>
      </c>
      <c r="E622" s="3629" t="s">
        <v>8090</v>
      </c>
      <c r="F622" s="3629" t="s">
        <v>9319</v>
      </c>
      <c r="G622" s="3643">
        <v>138.16999999999999</v>
      </c>
      <c r="H622" s="3649">
        <v>12150</v>
      </c>
      <c r="I622" s="3649">
        <f t="shared" si="9"/>
        <v>168</v>
      </c>
      <c r="J622" s="3644">
        <f ca="1">典型户型修正!T644</f>
        <v>220</v>
      </c>
    </row>
    <row r="623" spans="1:10" s="3633" customFormat="1">
      <c r="A623" s="3629">
        <v>619</v>
      </c>
      <c r="B623" s="3629" t="s">
        <v>9320</v>
      </c>
      <c r="C623" s="3629">
        <v>30</v>
      </c>
      <c r="D623" s="3629" t="s">
        <v>8072</v>
      </c>
      <c r="E623" s="3629" t="s">
        <v>8090</v>
      </c>
      <c r="F623" s="3629" t="s">
        <v>9321</v>
      </c>
      <c r="G623" s="3643">
        <v>138.16999999999999</v>
      </c>
      <c r="H623" s="3649">
        <v>12200</v>
      </c>
      <c r="I623" s="3649">
        <f t="shared" si="9"/>
        <v>169</v>
      </c>
      <c r="J623" s="3644">
        <f ca="1">典型户型修正!T645</f>
        <v>220</v>
      </c>
    </row>
    <row r="624" spans="1:10" s="3633" customFormat="1">
      <c r="A624" s="3629">
        <v>620</v>
      </c>
      <c r="B624" s="3629" t="s">
        <v>9322</v>
      </c>
      <c r="C624" s="3629">
        <v>30</v>
      </c>
      <c r="D624" s="3629" t="s">
        <v>8072</v>
      </c>
      <c r="E624" s="3629" t="s">
        <v>8090</v>
      </c>
      <c r="F624" s="3629" t="s">
        <v>9323</v>
      </c>
      <c r="G624" s="3643">
        <v>138.16999999999999</v>
      </c>
      <c r="H624" s="3649">
        <v>12250</v>
      </c>
      <c r="I624" s="3649">
        <f t="shared" si="9"/>
        <v>169</v>
      </c>
      <c r="J624" s="3644">
        <f ca="1">典型户型修正!T646</f>
        <v>220</v>
      </c>
    </row>
    <row r="625" spans="1:10" s="3633" customFormat="1">
      <c r="A625" s="3629">
        <v>621</v>
      </c>
      <c r="B625" s="3629" t="s">
        <v>9324</v>
      </c>
      <c r="C625" s="3629">
        <v>30</v>
      </c>
      <c r="D625" s="3629" t="s">
        <v>8072</v>
      </c>
      <c r="E625" s="3629" t="s">
        <v>8090</v>
      </c>
      <c r="F625" s="3629" t="s">
        <v>9325</v>
      </c>
      <c r="G625" s="3643">
        <v>138.16999999999999</v>
      </c>
      <c r="H625" s="3649">
        <v>12300</v>
      </c>
      <c r="I625" s="3649">
        <f t="shared" si="9"/>
        <v>170</v>
      </c>
      <c r="J625" s="3644">
        <f ca="1">典型户型修正!T647</f>
        <v>220</v>
      </c>
    </row>
    <row r="626" spans="1:10" s="3633" customFormat="1">
      <c r="A626" s="3629">
        <v>622</v>
      </c>
      <c r="B626" s="3629" t="s">
        <v>9326</v>
      </c>
      <c r="C626" s="3629">
        <v>30</v>
      </c>
      <c r="D626" s="3629" t="s">
        <v>8072</v>
      </c>
      <c r="E626" s="3629" t="s">
        <v>8090</v>
      </c>
      <c r="F626" s="3629" t="s">
        <v>9327</v>
      </c>
      <c r="G626" s="3643">
        <v>138.16999999999999</v>
      </c>
      <c r="H626" s="3649">
        <v>12350</v>
      </c>
      <c r="I626" s="3649">
        <f t="shared" si="9"/>
        <v>171</v>
      </c>
      <c r="J626" s="3644">
        <f ca="1">典型户型修正!T648</f>
        <v>220</v>
      </c>
    </row>
    <row r="627" spans="1:10" s="3633" customFormat="1">
      <c r="A627" s="3629">
        <v>623</v>
      </c>
      <c r="B627" s="3629" t="s">
        <v>9328</v>
      </c>
      <c r="C627" s="3629">
        <v>30</v>
      </c>
      <c r="D627" s="3629" t="s">
        <v>8072</v>
      </c>
      <c r="E627" s="3629" t="s">
        <v>8090</v>
      </c>
      <c r="F627" s="3629" t="s">
        <v>9329</v>
      </c>
      <c r="G627" s="3643">
        <v>138.16999999999999</v>
      </c>
      <c r="H627" s="3649">
        <v>12400</v>
      </c>
      <c r="I627" s="3649">
        <f t="shared" si="9"/>
        <v>171</v>
      </c>
      <c r="J627" s="3644">
        <f ca="1">典型户型修正!T649</f>
        <v>220</v>
      </c>
    </row>
    <row r="628" spans="1:10" s="3633" customFormat="1">
      <c r="A628" s="3629">
        <v>624</v>
      </c>
      <c r="B628" s="3629" t="s">
        <v>9330</v>
      </c>
      <c r="C628" s="3629">
        <v>30</v>
      </c>
      <c r="D628" s="3629" t="s">
        <v>8072</v>
      </c>
      <c r="E628" s="3629" t="s">
        <v>8090</v>
      </c>
      <c r="F628" s="3629" t="s">
        <v>9331</v>
      </c>
      <c r="G628" s="3643">
        <v>138.16999999999999</v>
      </c>
      <c r="H628" s="3649">
        <v>12450</v>
      </c>
      <c r="I628" s="3649">
        <f t="shared" si="9"/>
        <v>172</v>
      </c>
      <c r="J628" s="3644">
        <f ca="1">典型户型修正!T650</f>
        <v>229</v>
      </c>
    </row>
    <row r="629" spans="1:10" s="3633" customFormat="1">
      <c r="A629" s="3629">
        <v>625</v>
      </c>
      <c r="B629" s="3629" t="s">
        <v>9332</v>
      </c>
      <c r="C629" s="3629">
        <v>30</v>
      </c>
      <c r="D629" s="3629" t="s">
        <v>8072</v>
      </c>
      <c r="E629" s="3629" t="s">
        <v>8090</v>
      </c>
      <c r="F629" s="3629" t="s">
        <v>9333</v>
      </c>
      <c r="G629" s="3643">
        <v>138.16999999999999</v>
      </c>
      <c r="H629" s="3649">
        <v>12500</v>
      </c>
      <c r="I629" s="3649">
        <f t="shared" si="9"/>
        <v>173</v>
      </c>
      <c r="J629" s="3644">
        <f ca="1">典型户型修正!T651</f>
        <v>229</v>
      </c>
    </row>
    <row r="630" spans="1:10" s="3633" customFormat="1">
      <c r="A630" s="3629">
        <v>626</v>
      </c>
      <c r="B630" s="3629" t="s">
        <v>9334</v>
      </c>
      <c r="C630" s="3629">
        <v>30</v>
      </c>
      <c r="D630" s="3629" t="s">
        <v>8072</v>
      </c>
      <c r="E630" s="3629" t="s">
        <v>8090</v>
      </c>
      <c r="F630" s="3629" t="s">
        <v>9335</v>
      </c>
      <c r="G630" s="3643">
        <v>138.16999999999999</v>
      </c>
      <c r="H630" s="3649">
        <v>12500</v>
      </c>
      <c r="I630" s="3649">
        <f t="shared" si="9"/>
        <v>173</v>
      </c>
      <c r="J630" s="3644">
        <f ca="1">典型户型修正!T652</f>
        <v>229</v>
      </c>
    </row>
    <row r="631" spans="1:10" s="3633" customFormat="1">
      <c r="A631" s="3629">
        <v>627</v>
      </c>
      <c r="B631" s="3629" t="s">
        <v>9336</v>
      </c>
      <c r="C631" s="3629">
        <v>30</v>
      </c>
      <c r="D631" s="3629" t="s">
        <v>8072</v>
      </c>
      <c r="E631" s="3629" t="s">
        <v>8090</v>
      </c>
      <c r="F631" s="3629" t="s">
        <v>9337</v>
      </c>
      <c r="G631" s="3643">
        <v>138.16999999999999</v>
      </c>
      <c r="H631" s="3649">
        <v>12500</v>
      </c>
      <c r="I631" s="3649">
        <f t="shared" si="9"/>
        <v>173</v>
      </c>
      <c r="J631" s="3644">
        <f ca="1">典型户型修正!T653</f>
        <v>229</v>
      </c>
    </row>
    <row r="632" spans="1:10" s="3633" customFormat="1">
      <c r="A632" s="3629">
        <v>628</v>
      </c>
      <c r="B632" s="3629" t="s">
        <v>9338</v>
      </c>
      <c r="C632" s="3629">
        <v>30</v>
      </c>
      <c r="D632" s="3629" t="s">
        <v>8072</v>
      </c>
      <c r="E632" s="3629" t="s">
        <v>8090</v>
      </c>
      <c r="F632" s="3629" t="s">
        <v>9339</v>
      </c>
      <c r="G632" s="3643">
        <v>138.16999999999999</v>
      </c>
      <c r="H632" s="3649">
        <v>12530</v>
      </c>
      <c r="I632" s="3649">
        <f t="shared" si="9"/>
        <v>173</v>
      </c>
      <c r="J632" s="3644">
        <f ca="1">典型户型修正!T654</f>
        <v>229</v>
      </c>
    </row>
    <row r="633" spans="1:10" s="3633" customFormat="1">
      <c r="A633" s="3629">
        <v>629</v>
      </c>
      <c r="B633" s="3629" t="s">
        <v>9340</v>
      </c>
      <c r="C633" s="3629">
        <v>30</v>
      </c>
      <c r="D633" s="3629" t="s">
        <v>8072</v>
      </c>
      <c r="E633" s="3629" t="s">
        <v>8090</v>
      </c>
      <c r="F633" s="3629" t="s">
        <v>9341</v>
      </c>
      <c r="G633" s="3643">
        <v>138.16999999999999</v>
      </c>
      <c r="H633" s="3649">
        <v>12530</v>
      </c>
      <c r="I633" s="3649">
        <f t="shared" si="9"/>
        <v>173</v>
      </c>
      <c r="J633" s="3644">
        <f ca="1">典型户型修正!T655</f>
        <v>229</v>
      </c>
    </row>
    <row r="634" spans="1:10" s="3633" customFormat="1">
      <c r="A634" s="3629">
        <v>630</v>
      </c>
      <c r="B634" s="3629" t="s">
        <v>9342</v>
      </c>
      <c r="C634" s="3629">
        <v>30</v>
      </c>
      <c r="D634" s="3629" t="s">
        <v>8072</v>
      </c>
      <c r="E634" s="3629" t="s">
        <v>8090</v>
      </c>
      <c r="F634" s="3629" t="s">
        <v>9343</v>
      </c>
      <c r="G634" s="3643">
        <v>138.16999999999999</v>
      </c>
      <c r="H634" s="3649">
        <v>12560</v>
      </c>
      <c r="I634" s="3649">
        <f t="shared" si="9"/>
        <v>174</v>
      </c>
      <c r="J634" s="3644">
        <f ca="1">典型户型修正!T656</f>
        <v>229</v>
      </c>
    </row>
    <row r="635" spans="1:10" s="3633" customFormat="1">
      <c r="A635" s="3629">
        <v>631</v>
      </c>
      <c r="B635" s="3629" t="s">
        <v>9344</v>
      </c>
      <c r="C635" s="3629">
        <v>30</v>
      </c>
      <c r="D635" s="3629" t="s">
        <v>8072</v>
      </c>
      <c r="E635" s="3629" t="s">
        <v>8090</v>
      </c>
      <c r="F635" s="3629" t="s">
        <v>9345</v>
      </c>
      <c r="G635" s="3643">
        <v>138.16999999999999</v>
      </c>
      <c r="H635" s="3649">
        <v>12560</v>
      </c>
      <c r="I635" s="3649">
        <f t="shared" si="9"/>
        <v>174</v>
      </c>
      <c r="J635" s="3644">
        <f ca="1">典型户型修正!T657</f>
        <v>229</v>
      </c>
    </row>
    <row r="636" spans="1:10" s="3633" customFormat="1">
      <c r="A636" s="3629">
        <v>632</v>
      </c>
      <c r="B636" s="3629" t="s">
        <v>9346</v>
      </c>
      <c r="C636" s="3629">
        <v>30</v>
      </c>
      <c r="D636" s="3629" t="s">
        <v>8072</v>
      </c>
      <c r="E636" s="3629" t="s">
        <v>8090</v>
      </c>
      <c r="F636" s="3629" t="s">
        <v>9347</v>
      </c>
      <c r="G636" s="3643">
        <v>138.16999999999999</v>
      </c>
      <c r="H636" s="3649">
        <v>12560</v>
      </c>
      <c r="I636" s="3649">
        <f t="shared" si="9"/>
        <v>174</v>
      </c>
      <c r="J636" s="3644">
        <f ca="1">典型户型修正!T658</f>
        <v>229</v>
      </c>
    </row>
    <row r="637" spans="1:10" s="3633" customFormat="1">
      <c r="A637" s="3629">
        <v>633</v>
      </c>
      <c r="B637" s="3629" t="s">
        <v>9348</v>
      </c>
      <c r="C637" s="3629">
        <v>30</v>
      </c>
      <c r="D637" s="3629" t="s">
        <v>8072</v>
      </c>
      <c r="E637" s="3629" t="s">
        <v>8090</v>
      </c>
      <c r="F637" s="3629" t="s">
        <v>9349</v>
      </c>
      <c r="G637" s="3643">
        <v>138.16999999999999</v>
      </c>
      <c r="H637" s="3649">
        <v>12560</v>
      </c>
      <c r="I637" s="3649">
        <f t="shared" si="9"/>
        <v>174</v>
      </c>
      <c r="J637" s="3644">
        <f ca="1">典型户型修正!T659</f>
        <v>229</v>
      </c>
    </row>
    <row r="638" spans="1:10" s="3633" customFormat="1">
      <c r="A638" s="3629">
        <v>634</v>
      </c>
      <c r="B638" s="3629" t="s">
        <v>9350</v>
      </c>
      <c r="C638" s="3629">
        <v>30</v>
      </c>
      <c r="D638" s="3629" t="s">
        <v>8072</v>
      </c>
      <c r="E638" s="3629" t="s">
        <v>8090</v>
      </c>
      <c r="F638" s="3629" t="s">
        <v>9351</v>
      </c>
      <c r="G638" s="3643">
        <v>138.16999999999999</v>
      </c>
      <c r="H638" s="3649">
        <v>12590</v>
      </c>
      <c r="I638" s="3649">
        <f t="shared" si="9"/>
        <v>174</v>
      </c>
      <c r="J638" s="3644">
        <f ca="1">典型户型修正!T660</f>
        <v>224</v>
      </c>
    </row>
    <row r="639" spans="1:10" s="3633" customFormat="1">
      <c r="A639" s="3629">
        <v>635</v>
      </c>
      <c r="B639" s="3629" t="s">
        <v>9352</v>
      </c>
      <c r="C639" s="3629">
        <v>30</v>
      </c>
      <c r="D639" s="3629" t="s">
        <v>8072</v>
      </c>
      <c r="E639" s="3629" t="s">
        <v>8090</v>
      </c>
      <c r="F639" s="3629" t="s">
        <v>9353</v>
      </c>
      <c r="G639" s="3643">
        <v>138.16999999999999</v>
      </c>
      <c r="H639" s="3649">
        <v>12590</v>
      </c>
      <c r="I639" s="3649">
        <f t="shared" si="9"/>
        <v>174</v>
      </c>
      <c r="J639" s="3644">
        <f ca="1">典型户型修正!T661</f>
        <v>224</v>
      </c>
    </row>
    <row r="640" spans="1:10" s="3633" customFormat="1">
      <c r="A640" s="3629">
        <v>636</v>
      </c>
      <c r="B640" s="3629" t="s">
        <v>9354</v>
      </c>
      <c r="C640" s="3629">
        <v>30</v>
      </c>
      <c r="D640" s="3629" t="s">
        <v>8072</v>
      </c>
      <c r="E640" s="3629" t="s">
        <v>8090</v>
      </c>
      <c r="F640" s="3629" t="s">
        <v>9355</v>
      </c>
      <c r="G640" s="3643">
        <v>138.16999999999999</v>
      </c>
      <c r="H640" s="3649">
        <v>12560</v>
      </c>
      <c r="I640" s="3649">
        <f t="shared" si="9"/>
        <v>174</v>
      </c>
      <c r="J640" s="3644">
        <f ca="1">典型户型修正!T662</f>
        <v>224</v>
      </c>
    </row>
    <row r="641" spans="1:10" s="3633" customFormat="1">
      <c r="A641" s="3629">
        <v>637</v>
      </c>
      <c r="B641" s="3629" t="s">
        <v>9356</v>
      </c>
      <c r="C641" s="3629">
        <v>30</v>
      </c>
      <c r="D641" s="3629" t="s">
        <v>8072</v>
      </c>
      <c r="E641" s="3629" t="s">
        <v>8090</v>
      </c>
      <c r="F641" s="3629" t="s">
        <v>9357</v>
      </c>
      <c r="G641" s="3643">
        <v>138.16999999999999</v>
      </c>
      <c r="H641" s="3649">
        <v>12560</v>
      </c>
      <c r="I641" s="3649">
        <f t="shared" si="9"/>
        <v>174</v>
      </c>
      <c r="J641" s="3644">
        <f ca="1">典型户型修正!T663</f>
        <v>224</v>
      </c>
    </row>
    <row r="642" spans="1:10" s="3633" customFormat="1">
      <c r="A642" s="3629">
        <v>638</v>
      </c>
      <c r="B642" s="3629" t="s">
        <v>9358</v>
      </c>
      <c r="C642" s="3629">
        <v>30</v>
      </c>
      <c r="D642" s="3629" t="s">
        <v>8072</v>
      </c>
      <c r="E642" s="3629" t="s">
        <v>8090</v>
      </c>
      <c r="F642" s="3629" t="s">
        <v>9359</v>
      </c>
      <c r="G642" s="3643">
        <v>138.16999999999999</v>
      </c>
      <c r="H642" s="3649">
        <v>12560</v>
      </c>
      <c r="I642" s="3649">
        <f t="shared" si="9"/>
        <v>174</v>
      </c>
      <c r="J642" s="3644">
        <f ca="1">典型户型修正!T664</f>
        <v>224</v>
      </c>
    </row>
    <row r="643" spans="1:10" s="3633" customFormat="1">
      <c r="A643" s="3629">
        <v>639</v>
      </c>
      <c r="B643" s="3629" t="s">
        <v>9360</v>
      </c>
      <c r="C643" s="3629">
        <v>30</v>
      </c>
      <c r="D643" s="3629" t="s">
        <v>8072</v>
      </c>
      <c r="E643" s="3629" t="s">
        <v>8090</v>
      </c>
      <c r="F643" s="3629" t="s">
        <v>9361</v>
      </c>
      <c r="G643" s="3643">
        <v>138.16999999999999</v>
      </c>
      <c r="H643" s="3649">
        <v>12560</v>
      </c>
      <c r="I643" s="3649">
        <f t="shared" si="9"/>
        <v>174</v>
      </c>
      <c r="J643" s="3644">
        <f ca="1">典型户型修正!T665</f>
        <v>224</v>
      </c>
    </row>
    <row r="644" spans="1:10" s="3633" customFormat="1">
      <c r="A644" s="3629">
        <v>640</v>
      </c>
      <c r="B644" s="3629" t="s">
        <v>9362</v>
      </c>
      <c r="C644" s="3629">
        <v>30</v>
      </c>
      <c r="D644" s="3629" t="s">
        <v>8072</v>
      </c>
      <c r="E644" s="3629" t="s">
        <v>8090</v>
      </c>
      <c r="F644" s="3629" t="s">
        <v>9363</v>
      </c>
      <c r="G644" s="3643">
        <v>138.16999999999999</v>
      </c>
      <c r="H644" s="3649">
        <v>12560</v>
      </c>
      <c r="I644" s="3649">
        <f t="shared" si="9"/>
        <v>174</v>
      </c>
      <c r="J644" s="3644">
        <f ca="1">典型户型修正!T666</f>
        <v>224</v>
      </c>
    </row>
    <row r="645" spans="1:10" s="3633" customFormat="1">
      <c r="A645" s="3629">
        <v>641</v>
      </c>
      <c r="B645" s="3629" t="s">
        <v>9364</v>
      </c>
      <c r="C645" s="3629">
        <v>30</v>
      </c>
      <c r="D645" s="3629" t="s">
        <v>8072</v>
      </c>
      <c r="E645" s="3629" t="s">
        <v>8090</v>
      </c>
      <c r="F645" s="3629" t="s">
        <v>9365</v>
      </c>
      <c r="G645" s="3643">
        <v>138.16999999999999</v>
      </c>
      <c r="H645" s="3649">
        <v>12560</v>
      </c>
      <c r="I645" s="3649">
        <f t="shared" si="9"/>
        <v>174</v>
      </c>
      <c r="J645" s="3644">
        <f ca="1">典型户型修正!T667</f>
        <v>224</v>
      </c>
    </row>
    <row r="646" spans="1:10" s="3633" customFormat="1">
      <c r="A646" s="3629">
        <v>642</v>
      </c>
      <c r="B646" s="3629" t="s">
        <v>9366</v>
      </c>
      <c r="C646" s="3629">
        <v>30</v>
      </c>
      <c r="D646" s="3629" t="s">
        <v>8072</v>
      </c>
      <c r="E646" s="3629" t="s">
        <v>8090</v>
      </c>
      <c r="F646" s="3629" t="s">
        <v>9367</v>
      </c>
      <c r="G646" s="3643">
        <v>138.16999999999999</v>
      </c>
      <c r="H646" s="3649">
        <v>12560</v>
      </c>
      <c r="I646" s="3649">
        <f t="shared" si="9"/>
        <v>174</v>
      </c>
      <c r="J646" s="3644">
        <f ca="1">典型户型修正!T668</f>
        <v>224</v>
      </c>
    </row>
    <row r="647" spans="1:10" s="3633" customFormat="1">
      <c r="A647" s="3629">
        <v>643</v>
      </c>
      <c r="B647" s="3629" t="s">
        <v>9368</v>
      </c>
      <c r="C647" s="3629">
        <v>30</v>
      </c>
      <c r="D647" s="3629" t="s">
        <v>8072</v>
      </c>
      <c r="E647" s="3629" t="s">
        <v>8090</v>
      </c>
      <c r="F647" s="3629" t="s">
        <v>9369</v>
      </c>
      <c r="G647" s="3643">
        <v>123.9</v>
      </c>
      <c r="H647" s="3649">
        <v>12060</v>
      </c>
      <c r="I647" s="3649">
        <f t="shared" ref="I647:I710" si="10">ROUND(G647*H647/10000,0)</f>
        <v>149</v>
      </c>
      <c r="J647" s="3644">
        <f ca="1">典型户型修正!T669</f>
        <v>201</v>
      </c>
    </row>
    <row r="648" spans="1:10" s="3633" customFormat="1">
      <c r="A648" s="3629">
        <v>644</v>
      </c>
      <c r="B648" s="3629" t="s">
        <v>9370</v>
      </c>
      <c r="C648" s="3629">
        <v>30</v>
      </c>
      <c r="D648" s="3629" t="s">
        <v>8072</v>
      </c>
      <c r="E648" s="3629" t="s">
        <v>8073</v>
      </c>
      <c r="F648" s="3629" t="s">
        <v>9371</v>
      </c>
      <c r="G648" s="3643">
        <v>88.18</v>
      </c>
      <c r="H648" s="3649">
        <v>11250</v>
      </c>
      <c r="I648" s="3649">
        <f t="shared" si="10"/>
        <v>99</v>
      </c>
      <c r="J648" s="3644">
        <f ca="1">典型户型修正!T670</f>
        <v>140</v>
      </c>
    </row>
    <row r="649" spans="1:10" s="3633" customFormat="1">
      <c r="A649" s="3629">
        <v>645</v>
      </c>
      <c r="B649" s="3629" t="s">
        <v>9372</v>
      </c>
      <c r="C649" s="3629">
        <v>30</v>
      </c>
      <c r="D649" s="3629" t="s">
        <v>8072</v>
      </c>
      <c r="E649" s="3629" t="s">
        <v>8073</v>
      </c>
      <c r="F649" s="3629" t="s">
        <v>9373</v>
      </c>
      <c r="G649" s="3643">
        <v>88.18</v>
      </c>
      <c r="H649" s="3649">
        <v>11450</v>
      </c>
      <c r="I649" s="3649">
        <f t="shared" si="10"/>
        <v>101</v>
      </c>
      <c r="J649" s="3644">
        <f ca="1">典型户型修正!T671</f>
        <v>140</v>
      </c>
    </row>
    <row r="650" spans="1:10" s="3633" customFormat="1">
      <c r="A650" s="3629">
        <v>646</v>
      </c>
      <c r="B650" s="3629" t="s">
        <v>9374</v>
      </c>
      <c r="C650" s="3629">
        <v>30</v>
      </c>
      <c r="D650" s="3629" t="s">
        <v>8072</v>
      </c>
      <c r="E650" s="3629" t="s">
        <v>8073</v>
      </c>
      <c r="F650" s="3629" t="s">
        <v>9375</v>
      </c>
      <c r="G650" s="3643">
        <v>88.18</v>
      </c>
      <c r="H650" s="3649">
        <v>11900</v>
      </c>
      <c r="I650" s="3649">
        <f t="shared" si="10"/>
        <v>105</v>
      </c>
      <c r="J650" s="3644">
        <f ca="1">典型户型修正!T672</f>
        <v>140</v>
      </c>
    </row>
    <row r="651" spans="1:10" s="3633" customFormat="1">
      <c r="A651" s="3629">
        <v>647</v>
      </c>
      <c r="B651" s="3629" t="s">
        <v>9376</v>
      </c>
      <c r="C651" s="3629">
        <v>30</v>
      </c>
      <c r="D651" s="3629" t="s">
        <v>8072</v>
      </c>
      <c r="E651" s="3629" t="s">
        <v>8073</v>
      </c>
      <c r="F651" s="3629" t="s">
        <v>9377</v>
      </c>
      <c r="G651" s="3643">
        <v>88.18</v>
      </c>
      <c r="H651" s="3649">
        <v>12250</v>
      </c>
      <c r="I651" s="3649">
        <f t="shared" si="10"/>
        <v>108</v>
      </c>
      <c r="J651" s="3644">
        <f ca="1">典型户型修正!T673</f>
        <v>140</v>
      </c>
    </row>
    <row r="652" spans="1:10" s="3633" customFormat="1">
      <c r="A652" s="3629">
        <v>648</v>
      </c>
      <c r="B652" s="3629" t="s">
        <v>9378</v>
      </c>
      <c r="C652" s="3629">
        <v>30</v>
      </c>
      <c r="D652" s="3629" t="s">
        <v>8072</v>
      </c>
      <c r="E652" s="3629" t="s">
        <v>8073</v>
      </c>
      <c r="F652" s="3629" t="s">
        <v>9379</v>
      </c>
      <c r="G652" s="3643">
        <v>88.18</v>
      </c>
      <c r="H652" s="3649">
        <v>12300</v>
      </c>
      <c r="I652" s="3649">
        <f t="shared" si="10"/>
        <v>108</v>
      </c>
      <c r="J652" s="3644">
        <f ca="1">典型户型修正!T674</f>
        <v>140</v>
      </c>
    </row>
    <row r="653" spans="1:10" s="3633" customFormat="1">
      <c r="A653" s="3629">
        <v>649</v>
      </c>
      <c r="B653" s="3629" t="s">
        <v>9380</v>
      </c>
      <c r="C653" s="3629">
        <v>30</v>
      </c>
      <c r="D653" s="3629" t="s">
        <v>8072</v>
      </c>
      <c r="E653" s="3629" t="s">
        <v>8073</v>
      </c>
      <c r="F653" s="3629" t="s">
        <v>9381</v>
      </c>
      <c r="G653" s="3643">
        <v>88.18</v>
      </c>
      <c r="H653" s="3649">
        <v>12350</v>
      </c>
      <c r="I653" s="3649">
        <f t="shared" si="10"/>
        <v>109</v>
      </c>
      <c r="J653" s="3644">
        <f ca="1">典型户型修正!T675</f>
        <v>140</v>
      </c>
    </row>
    <row r="654" spans="1:10" s="3633" customFormat="1">
      <c r="A654" s="3629">
        <v>650</v>
      </c>
      <c r="B654" s="3629" t="s">
        <v>9382</v>
      </c>
      <c r="C654" s="3629">
        <v>30</v>
      </c>
      <c r="D654" s="3629" t="s">
        <v>8072</v>
      </c>
      <c r="E654" s="3629" t="s">
        <v>8073</v>
      </c>
      <c r="F654" s="3629" t="s">
        <v>9383</v>
      </c>
      <c r="G654" s="3643">
        <v>88.18</v>
      </c>
      <c r="H654" s="3649">
        <v>12400</v>
      </c>
      <c r="I654" s="3649">
        <f t="shared" si="10"/>
        <v>109</v>
      </c>
      <c r="J654" s="3644">
        <f ca="1">典型户型修正!T676</f>
        <v>140</v>
      </c>
    </row>
    <row r="655" spans="1:10" s="3633" customFormat="1">
      <c r="A655" s="3629">
        <v>651</v>
      </c>
      <c r="B655" s="3629" t="s">
        <v>9384</v>
      </c>
      <c r="C655" s="3629">
        <v>30</v>
      </c>
      <c r="D655" s="3629" t="s">
        <v>8072</v>
      </c>
      <c r="E655" s="3629" t="s">
        <v>8073</v>
      </c>
      <c r="F655" s="3629" t="s">
        <v>9385</v>
      </c>
      <c r="G655" s="3643">
        <v>88.18</v>
      </c>
      <c r="H655" s="3649">
        <v>12450</v>
      </c>
      <c r="I655" s="3649">
        <f t="shared" si="10"/>
        <v>110</v>
      </c>
      <c r="J655" s="3644">
        <f ca="1">典型户型修正!T677</f>
        <v>140</v>
      </c>
    </row>
    <row r="656" spans="1:10" s="3633" customFormat="1">
      <c r="A656" s="3629">
        <v>652</v>
      </c>
      <c r="B656" s="3629" t="s">
        <v>9386</v>
      </c>
      <c r="C656" s="3629">
        <v>30</v>
      </c>
      <c r="D656" s="3629" t="s">
        <v>8072</v>
      </c>
      <c r="E656" s="3629" t="s">
        <v>8073</v>
      </c>
      <c r="F656" s="3629" t="s">
        <v>9387</v>
      </c>
      <c r="G656" s="3643">
        <v>88.18</v>
      </c>
      <c r="H656" s="3649">
        <v>12500</v>
      </c>
      <c r="I656" s="3649">
        <f t="shared" si="10"/>
        <v>110</v>
      </c>
      <c r="J656" s="3644">
        <f ca="1">典型户型修正!T678</f>
        <v>140</v>
      </c>
    </row>
    <row r="657" spans="1:10" s="3633" customFormat="1">
      <c r="A657" s="3629">
        <v>653</v>
      </c>
      <c r="B657" s="3629" t="s">
        <v>9388</v>
      </c>
      <c r="C657" s="3629">
        <v>30</v>
      </c>
      <c r="D657" s="3629" t="s">
        <v>8072</v>
      </c>
      <c r="E657" s="3629" t="s">
        <v>8073</v>
      </c>
      <c r="F657" s="3629" t="s">
        <v>9389</v>
      </c>
      <c r="G657" s="3643">
        <v>88.18</v>
      </c>
      <c r="H657" s="3649">
        <v>12550</v>
      </c>
      <c r="I657" s="3649">
        <f t="shared" si="10"/>
        <v>111</v>
      </c>
      <c r="J657" s="3644">
        <f ca="1">典型户型修正!T679</f>
        <v>146</v>
      </c>
    </row>
    <row r="658" spans="1:10" s="3633" customFormat="1">
      <c r="A658" s="3629">
        <v>654</v>
      </c>
      <c r="B658" s="3629" t="s">
        <v>9390</v>
      </c>
      <c r="C658" s="3629">
        <v>30</v>
      </c>
      <c r="D658" s="3629" t="s">
        <v>8072</v>
      </c>
      <c r="E658" s="3629" t="s">
        <v>8073</v>
      </c>
      <c r="F658" s="3629" t="s">
        <v>9391</v>
      </c>
      <c r="G658" s="3643">
        <v>88.18</v>
      </c>
      <c r="H658" s="3649">
        <v>12600</v>
      </c>
      <c r="I658" s="3649">
        <f t="shared" si="10"/>
        <v>111</v>
      </c>
      <c r="J658" s="3644">
        <f ca="1">典型户型修正!T680</f>
        <v>146</v>
      </c>
    </row>
    <row r="659" spans="1:10" s="3633" customFormat="1">
      <c r="A659" s="3629">
        <v>655</v>
      </c>
      <c r="B659" s="3629" t="s">
        <v>9392</v>
      </c>
      <c r="C659" s="3629">
        <v>30</v>
      </c>
      <c r="D659" s="3629" t="s">
        <v>8072</v>
      </c>
      <c r="E659" s="3629" t="s">
        <v>8073</v>
      </c>
      <c r="F659" s="3629" t="s">
        <v>9393</v>
      </c>
      <c r="G659" s="3643">
        <v>88.18</v>
      </c>
      <c r="H659" s="3649">
        <v>12600</v>
      </c>
      <c r="I659" s="3649">
        <f t="shared" si="10"/>
        <v>111</v>
      </c>
      <c r="J659" s="3644">
        <f ca="1">典型户型修正!T681</f>
        <v>146</v>
      </c>
    </row>
    <row r="660" spans="1:10" s="3633" customFormat="1">
      <c r="A660" s="3629">
        <v>656</v>
      </c>
      <c r="B660" s="3629" t="s">
        <v>9394</v>
      </c>
      <c r="C660" s="3629">
        <v>30</v>
      </c>
      <c r="D660" s="3629" t="s">
        <v>8072</v>
      </c>
      <c r="E660" s="3629" t="s">
        <v>8073</v>
      </c>
      <c r="F660" s="3629" t="s">
        <v>9395</v>
      </c>
      <c r="G660" s="3643">
        <v>88.18</v>
      </c>
      <c r="H660" s="3649">
        <v>12600</v>
      </c>
      <c r="I660" s="3649">
        <f t="shared" si="10"/>
        <v>111</v>
      </c>
      <c r="J660" s="3644">
        <f ca="1">典型户型修正!T682</f>
        <v>146</v>
      </c>
    </row>
    <row r="661" spans="1:10" s="3633" customFormat="1">
      <c r="A661" s="3629">
        <v>657</v>
      </c>
      <c r="B661" s="3629" t="s">
        <v>9396</v>
      </c>
      <c r="C661" s="3629">
        <v>30</v>
      </c>
      <c r="D661" s="3629" t="s">
        <v>8072</v>
      </c>
      <c r="E661" s="3629" t="s">
        <v>8073</v>
      </c>
      <c r="F661" s="3629" t="s">
        <v>9397</v>
      </c>
      <c r="G661" s="3643">
        <v>88.18</v>
      </c>
      <c r="H661" s="3649">
        <v>12630</v>
      </c>
      <c r="I661" s="3649">
        <f t="shared" si="10"/>
        <v>111</v>
      </c>
      <c r="J661" s="3644">
        <f ca="1">典型户型修正!T683</f>
        <v>146</v>
      </c>
    </row>
    <row r="662" spans="1:10" s="3633" customFormat="1">
      <c r="A662" s="3629">
        <v>658</v>
      </c>
      <c r="B662" s="3629" t="s">
        <v>9398</v>
      </c>
      <c r="C662" s="3629">
        <v>30</v>
      </c>
      <c r="D662" s="3629" t="s">
        <v>8072</v>
      </c>
      <c r="E662" s="3629" t="s">
        <v>8073</v>
      </c>
      <c r="F662" s="3629" t="s">
        <v>9399</v>
      </c>
      <c r="G662" s="3643">
        <v>88.18</v>
      </c>
      <c r="H662" s="3649">
        <v>12630</v>
      </c>
      <c r="I662" s="3649">
        <f t="shared" si="10"/>
        <v>111</v>
      </c>
      <c r="J662" s="3644">
        <f ca="1">典型户型修正!T684</f>
        <v>146</v>
      </c>
    </row>
    <row r="663" spans="1:10" s="3633" customFormat="1">
      <c r="A663" s="3629">
        <v>659</v>
      </c>
      <c r="B663" s="3629" t="s">
        <v>9400</v>
      </c>
      <c r="C663" s="3629">
        <v>30</v>
      </c>
      <c r="D663" s="3629" t="s">
        <v>8072</v>
      </c>
      <c r="E663" s="3629" t="s">
        <v>8073</v>
      </c>
      <c r="F663" s="3629" t="s">
        <v>9401</v>
      </c>
      <c r="G663" s="3643">
        <v>88.18</v>
      </c>
      <c r="H663" s="3649">
        <v>12660</v>
      </c>
      <c r="I663" s="3649">
        <f t="shared" si="10"/>
        <v>112</v>
      </c>
      <c r="J663" s="3644">
        <f ca="1">典型户型修正!T685</f>
        <v>146</v>
      </c>
    </row>
    <row r="664" spans="1:10" s="3633" customFormat="1">
      <c r="A664" s="3629">
        <v>660</v>
      </c>
      <c r="B664" s="3629" t="s">
        <v>9402</v>
      </c>
      <c r="C664" s="3629">
        <v>30</v>
      </c>
      <c r="D664" s="3629" t="s">
        <v>8072</v>
      </c>
      <c r="E664" s="3629" t="s">
        <v>8073</v>
      </c>
      <c r="F664" s="3629" t="s">
        <v>9403</v>
      </c>
      <c r="G664" s="3643">
        <v>88.18</v>
      </c>
      <c r="H664" s="3649">
        <v>12660</v>
      </c>
      <c r="I664" s="3649">
        <f t="shared" si="10"/>
        <v>112</v>
      </c>
      <c r="J664" s="3644">
        <f ca="1">典型户型修正!T686</f>
        <v>146</v>
      </c>
    </row>
    <row r="665" spans="1:10" s="3633" customFormat="1">
      <c r="A665" s="3629">
        <v>661</v>
      </c>
      <c r="B665" s="3629" t="s">
        <v>9404</v>
      </c>
      <c r="C665" s="3629">
        <v>30</v>
      </c>
      <c r="D665" s="3629" t="s">
        <v>8072</v>
      </c>
      <c r="E665" s="3629" t="s">
        <v>8073</v>
      </c>
      <c r="F665" s="3629" t="s">
        <v>9405</v>
      </c>
      <c r="G665" s="3643">
        <v>88.18</v>
      </c>
      <c r="H665" s="3649">
        <v>12660</v>
      </c>
      <c r="I665" s="3649">
        <f t="shared" si="10"/>
        <v>112</v>
      </c>
      <c r="J665" s="3644">
        <f ca="1">典型户型修正!T687</f>
        <v>146</v>
      </c>
    </row>
    <row r="666" spans="1:10" s="3633" customFormat="1">
      <c r="A666" s="3629">
        <v>662</v>
      </c>
      <c r="B666" s="3629" t="s">
        <v>9406</v>
      </c>
      <c r="C666" s="3629">
        <v>30</v>
      </c>
      <c r="D666" s="3629" t="s">
        <v>8072</v>
      </c>
      <c r="E666" s="3629" t="s">
        <v>8073</v>
      </c>
      <c r="F666" s="3629" t="s">
        <v>9407</v>
      </c>
      <c r="G666" s="3643">
        <v>88.18</v>
      </c>
      <c r="H666" s="3649">
        <v>12660</v>
      </c>
      <c r="I666" s="3649">
        <f t="shared" si="10"/>
        <v>112</v>
      </c>
      <c r="J666" s="3644">
        <f ca="1">典型户型修正!T688</f>
        <v>146</v>
      </c>
    </row>
    <row r="667" spans="1:10" s="3633" customFormat="1">
      <c r="A667" s="3629">
        <v>663</v>
      </c>
      <c r="B667" s="3629" t="s">
        <v>9408</v>
      </c>
      <c r="C667" s="3629">
        <v>30</v>
      </c>
      <c r="D667" s="3629" t="s">
        <v>8072</v>
      </c>
      <c r="E667" s="3629" t="s">
        <v>8073</v>
      </c>
      <c r="F667" s="3629" t="s">
        <v>9409</v>
      </c>
      <c r="G667" s="3643">
        <v>88.18</v>
      </c>
      <c r="H667" s="3649">
        <v>12690</v>
      </c>
      <c r="I667" s="3649">
        <f t="shared" si="10"/>
        <v>112</v>
      </c>
      <c r="J667" s="3644">
        <f ca="1">典型户型修正!T689</f>
        <v>143</v>
      </c>
    </row>
    <row r="668" spans="1:10" s="3633" customFormat="1">
      <c r="A668" s="3629">
        <v>664</v>
      </c>
      <c r="B668" s="3629" t="s">
        <v>9410</v>
      </c>
      <c r="C668" s="3629">
        <v>30</v>
      </c>
      <c r="D668" s="3629" t="s">
        <v>8072</v>
      </c>
      <c r="E668" s="3629" t="s">
        <v>8073</v>
      </c>
      <c r="F668" s="3629" t="s">
        <v>9411</v>
      </c>
      <c r="G668" s="3643">
        <v>88.18</v>
      </c>
      <c r="H668" s="3649">
        <v>12590</v>
      </c>
      <c r="I668" s="3649">
        <f t="shared" si="10"/>
        <v>111</v>
      </c>
      <c r="J668" s="3644">
        <f ca="1">典型户型修正!T690</f>
        <v>143</v>
      </c>
    </row>
    <row r="669" spans="1:10" s="3633" customFormat="1">
      <c r="A669" s="3629">
        <v>665</v>
      </c>
      <c r="B669" s="3629" t="s">
        <v>9412</v>
      </c>
      <c r="C669" s="3629">
        <v>30</v>
      </c>
      <c r="D669" s="3629" t="s">
        <v>8072</v>
      </c>
      <c r="E669" s="3629" t="s">
        <v>8073</v>
      </c>
      <c r="F669" s="3629" t="s">
        <v>9413</v>
      </c>
      <c r="G669" s="3643">
        <v>88.18</v>
      </c>
      <c r="H669" s="3649">
        <v>12660</v>
      </c>
      <c r="I669" s="3649">
        <f t="shared" si="10"/>
        <v>112</v>
      </c>
      <c r="J669" s="3644">
        <f ca="1">典型户型修正!T691</f>
        <v>143</v>
      </c>
    </row>
    <row r="670" spans="1:10" s="3633" customFormat="1">
      <c r="A670" s="3629">
        <v>666</v>
      </c>
      <c r="B670" s="3629" t="s">
        <v>9414</v>
      </c>
      <c r="C670" s="3629">
        <v>30</v>
      </c>
      <c r="D670" s="3629" t="s">
        <v>8072</v>
      </c>
      <c r="E670" s="3629" t="s">
        <v>8073</v>
      </c>
      <c r="F670" s="3629" t="s">
        <v>9415</v>
      </c>
      <c r="G670" s="3643">
        <v>88.18</v>
      </c>
      <c r="H670" s="3649">
        <v>12660</v>
      </c>
      <c r="I670" s="3649">
        <f t="shared" si="10"/>
        <v>112</v>
      </c>
      <c r="J670" s="3644">
        <f ca="1">典型户型修正!T692</f>
        <v>143</v>
      </c>
    </row>
    <row r="671" spans="1:10" s="3633" customFormat="1">
      <c r="A671" s="3629">
        <v>667</v>
      </c>
      <c r="B671" s="3629" t="s">
        <v>9416</v>
      </c>
      <c r="C671" s="3629">
        <v>30</v>
      </c>
      <c r="D671" s="3629" t="s">
        <v>8072</v>
      </c>
      <c r="E671" s="3629" t="s">
        <v>8073</v>
      </c>
      <c r="F671" s="3629" t="s">
        <v>9417</v>
      </c>
      <c r="G671" s="3643">
        <v>88.18</v>
      </c>
      <c r="H671" s="3649">
        <v>12660</v>
      </c>
      <c r="I671" s="3649">
        <f t="shared" si="10"/>
        <v>112</v>
      </c>
      <c r="J671" s="3644">
        <f ca="1">典型户型修正!T693</f>
        <v>143</v>
      </c>
    </row>
    <row r="672" spans="1:10" s="3633" customFormat="1">
      <c r="A672" s="3629">
        <v>668</v>
      </c>
      <c r="B672" s="3629" t="s">
        <v>9418</v>
      </c>
      <c r="C672" s="3629">
        <v>30</v>
      </c>
      <c r="D672" s="3629" t="s">
        <v>8072</v>
      </c>
      <c r="E672" s="3629" t="s">
        <v>8073</v>
      </c>
      <c r="F672" s="3629" t="s">
        <v>9419</v>
      </c>
      <c r="G672" s="3643">
        <v>88.18</v>
      </c>
      <c r="H672" s="3649">
        <v>12660</v>
      </c>
      <c r="I672" s="3649">
        <f t="shared" si="10"/>
        <v>112</v>
      </c>
      <c r="J672" s="3644">
        <f ca="1">典型户型修正!T694</f>
        <v>143</v>
      </c>
    </row>
    <row r="673" spans="1:10" s="3633" customFormat="1">
      <c r="A673" s="3629">
        <v>669</v>
      </c>
      <c r="B673" s="3629" t="s">
        <v>9420</v>
      </c>
      <c r="C673" s="3629">
        <v>30</v>
      </c>
      <c r="D673" s="3629" t="s">
        <v>8072</v>
      </c>
      <c r="E673" s="3629" t="s">
        <v>8073</v>
      </c>
      <c r="F673" s="3629" t="s">
        <v>9421</v>
      </c>
      <c r="G673" s="3643">
        <v>88.18</v>
      </c>
      <c r="H673" s="3649">
        <v>12660</v>
      </c>
      <c r="I673" s="3649">
        <f t="shared" si="10"/>
        <v>112</v>
      </c>
      <c r="J673" s="3644">
        <f ca="1">典型户型修正!T695</f>
        <v>143</v>
      </c>
    </row>
    <row r="674" spans="1:10" s="3633" customFormat="1">
      <c r="A674" s="3629">
        <v>670</v>
      </c>
      <c r="B674" s="3629" t="s">
        <v>9422</v>
      </c>
      <c r="C674" s="3629">
        <v>30</v>
      </c>
      <c r="D674" s="3629" t="s">
        <v>8072</v>
      </c>
      <c r="E674" s="3629" t="s">
        <v>8073</v>
      </c>
      <c r="F674" s="3629" t="s">
        <v>9423</v>
      </c>
      <c r="G674" s="3643">
        <v>88.18</v>
      </c>
      <c r="H674" s="3649">
        <v>12660</v>
      </c>
      <c r="I674" s="3649">
        <f t="shared" si="10"/>
        <v>112</v>
      </c>
      <c r="J674" s="3644">
        <f ca="1">典型户型修正!T696</f>
        <v>143</v>
      </c>
    </row>
    <row r="675" spans="1:10" s="3633" customFormat="1">
      <c r="A675" s="3629">
        <v>671</v>
      </c>
      <c r="B675" s="3629" t="s">
        <v>9424</v>
      </c>
      <c r="C675" s="3629">
        <v>30</v>
      </c>
      <c r="D675" s="3629" t="s">
        <v>8072</v>
      </c>
      <c r="E675" s="3629" t="s">
        <v>8073</v>
      </c>
      <c r="F675" s="3629" t="s">
        <v>9425</v>
      </c>
      <c r="G675" s="3643">
        <v>88.18</v>
      </c>
      <c r="H675" s="3649">
        <v>12660</v>
      </c>
      <c r="I675" s="3649">
        <f t="shared" si="10"/>
        <v>112</v>
      </c>
      <c r="J675" s="3644">
        <f ca="1">典型户型修正!T697</f>
        <v>143</v>
      </c>
    </row>
    <row r="676" spans="1:10" s="3633" customFormat="1">
      <c r="A676" s="3629">
        <v>672</v>
      </c>
      <c r="B676" s="3629" t="s">
        <v>9426</v>
      </c>
      <c r="C676" s="3629">
        <v>30</v>
      </c>
      <c r="D676" s="3629" t="s">
        <v>8072</v>
      </c>
      <c r="E676" s="3629" t="s">
        <v>8073</v>
      </c>
      <c r="F676" s="3629" t="s">
        <v>9427</v>
      </c>
      <c r="G676" s="3643">
        <v>88.18</v>
      </c>
      <c r="H676" s="3649">
        <v>12160</v>
      </c>
      <c r="I676" s="3649">
        <f t="shared" si="10"/>
        <v>107</v>
      </c>
      <c r="J676" s="3644">
        <f ca="1">典型户型修正!T698</f>
        <v>143</v>
      </c>
    </row>
    <row r="677" spans="1:10" s="3633" customFormat="1">
      <c r="A677" s="3629">
        <v>673</v>
      </c>
      <c r="B677" s="3629" t="s">
        <v>9428</v>
      </c>
      <c r="C677" s="3629">
        <v>30</v>
      </c>
      <c r="D677" s="3629" t="s">
        <v>8072</v>
      </c>
      <c r="E677" s="3629" t="s">
        <v>8073</v>
      </c>
      <c r="F677" s="3629" t="s">
        <v>9429</v>
      </c>
      <c r="G677" s="3643">
        <v>88.31</v>
      </c>
      <c r="H677" s="3649">
        <v>11250</v>
      </c>
      <c r="I677" s="3649">
        <f t="shared" si="10"/>
        <v>99</v>
      </c>
      <c r="J677" s="3644">
        <f ca="1">典型户型修正!T699</f>
        <v>141</v>
      </c>
    </row>
    <row r="678" spans="1:10" s="3633" customFormat="1">
      <c r="A678" s="3629">
        <v>674</v>
      </c>
      <c r="B678" s="3629" t="s">
        <v>9430</v>
      </c>
      <c r="C678" s="3629">
        <v>30</v>
      </c>
      <c r="D678" s="3629" t="s">
        <v>8072</v>
      </c>
      <c r="E678" s="3629" t="s">
        <v>8073</v>
      </c>
      <c r="F678" s="3629" t="s">
        <v>9431</v>
      </c>
      <c r="G678" s="3643">
        <v>88.31</v>
      </c>
      <c r="H678" s="3649">
        <v>11450</v>
      </c>
      <c r="I678" s="3649">
        <f t="shared" si="10"/>
        <v>101</v>
      </c>
      <c r="J678" s="3644">
        <f ca="1">典型户型修正!T700</f>
        <v>141</v>
      </c>
    </row>
    <row r="679" spans="1:10" s="3633" customFormat="1">
      <c r="A679" s="3629">
        <v>675</v>
      </c>
      <c r="B679" s="3629" t="s">
        <v>9432</v>
      </c>
      <c r="C679" s="3629">
        <v>30</v>
      </c>
      <c r="D679" s="3629" t="s">
        <v>8072</v>
      </c>
      <c r="E679" s="3629" t="s">
        <v>8073</v>
      </c>
      <c r="F679" s="3629" t="s">
        <v>9433</v>
      </c>
      <c r="G679" s="3643">
        <v>88.31</v>
      </c>
      <c r="H679" s="3649">
        <v>11900</v>
      </c>
      <c r="I679" s="3649">
        <f t="shared" si="10"/>
        <v>105</v>
      </c>
      <c r="J679" s="3644">
        <f ca="1">典型户型修正!T701</f>
        <v>141</v>
      </c>
    </row>
    <row r="680" spans="1:10" s="3633" customFormat="1">
      <c r="A680" s="3629">
        <v>676</v>
      </c>
      <c r="B680" s="3629" t="s">
        <v>9434</v>
      </c>
      <c r="C680" s="3629">
        <v>30</v>
      </c>
      <c r="D680" s="3629" t="s">
        <v>8072</v>
      </c>
      <c r="E680" s="3629" t="s">
        <v>8073</v>
      </c>
      <c r="F680" s="3629" t="s">
        <v>9435</v>
      </c>
      <c r="G680" s="3643">
        <v>88.31</v>
      </c>
      <c r="H680" s="3649">
        <v>12250</v>
      </c>
      <c r="I680" s="3649">
        <f t="shared" si="10"/>
        <v>108</v>
      </c>
      <c r="J680" s="3644">
        <f ca="1">典型户型修正!T702</f>
        <v>141</v>
      </c>
    </row>
    <row r="681" spans="1:10" s="3633" customFormat="1">
      <c r="A681" s="3629">
        <v>677</v>
      </c>
      <c r="B681" s="3629" t="s">
        <v>9436</v>
      </c>
      <c r="C681" s="3629">
        <v>30</v>
      </c>
      <c r="D681" s="3629" t="s">
        <v>8072</v>
      </c>
      <c r="E681" s="3629" t="s">
        <v>8073</v>
      </c>
      <c r="F681" s="3629" t="s">
        <v>9437</v>
      </c>
      <c r="G681" s="3643">
        <v>88.31</v>
      </c>
      <c r="H681" s="3649">
        <v>12300</v>
      </c>
      <c r="I681" s="3649">
        <f t="shared" si="10"/>
        <v>109</v>
      </c>
      <c r="J681" s="3644">
        <f ca="1">典型户型修正!T703</f>
        <v>141</v>
      </c>
    </row>
    <row r="682" spans="1:10" s="3633" customFormat="1">
      <c r="A682" s="3629">
        <v>678</v>
      </c>
      <c r="B682" s="3629" t="s">
        <v>9438</v>
      </c>
      <c r="C682" s="3629">
        <v>30</v>
      </c>
      <c r="D682" s="3629" t="s">
        <v>8072</v>
      </c>
      <c r="E682" s="3629" t="s">
        <v>8073</v>
      </c>
      <c r="F682" s="3629" t="s">
        <v>9439</v>
      </c>
      <c r="G682" s="3643">
        <v>88.31</v>
      </c>
      <c r="H682" s="3649">
        <v>12350</v>
      </c>
      <c r="I682" s="3649">
        <f t="shared" si="10"/>
        <v>109</v>
      </c>
      <c r="J682" s="3644">
        <f ca="1">典型户型修正!T704</f>
        <v>141</v>
      </c>
    </row>
    <row r="683" spans="1:10" s="3633" customFormat="1">
      <c r="A683" s="3629">
        <v>679</v>
      </c>
      <c r="B683" s="3629" t="s">
        <v>9440</v>
      </c>
      <c r="C683" s="3629">
        <v>30</v>
      </c>
      <c r="D683" s="3629" t="s">
        <v>8072</v>
      </c>
      <c r="E683" s="3629" t="s">
        <v>8073</v>
      </c>
      <c r="F683" s="3629" t="s">
        <v>9441</v>
      </c>
      <c r="G683" s="3643">
        <v>88.31</v>
      </c>
      <c r="H683" s="3649">
        <v>12400</v>
      </c>
      <c r="I683" s="3649">
        <f t="shared" si="10"/>
        <v>110</v>
      </c>
      <c r="J683" s="3644">
        <f ca="1">典型户型修正!T705</f>
        <v>141</v>
      </c>
    </row>
    <row r="684" spans="1:10" s="3633" customFormat="1">
      <c r="A684" s="3629">
        <v>680</v>
      </c>
      <c r="B684" s="3629" t="s">
        <v>9442</v>
      </c>
      <c r="C684" s="3629">
        <v>30</v>
      </c>
      <c r="D684" s="3629" t="s">
        <v>8072</v>
      </c>
      <c r="E684" s="3629" t="s">
        <v>8073</v>
      </c>
      <c r="F684" s="3629" t="s">
        <v>9443</v>
      </c>
      <c r="G684" s="3643">
        <v>88.31</v>
      </c>
      <c r="H684" s="3649">
        <v>12450</v>
      </c>
      <c r="I684" s="3649">
        <f t="shared" si="10"/>
        <v>110</v>
      </c>
      <c r="J684" s="3644">
        <f ca="1">典型户型修正!T706</f>
        <v>141</v>
      </c>
    </row>
    <row r="685" spans="1:10" s="3633" customFormat="1">
      <c r="A685" s="3629">
        <v>681</v>
      </c>
      <c r="B685" s="3629" t="s">
        <v>9444</v>
      </c>
      <c r="C685" s="3629">
        <v>30</v>
      </c>
      <c r="D685" s="3629" t="s">
        <v>8072</v>
      </c>
      <c r="E685" s="3629" t="s">
        <v>8073</v>
      </c>
      <c r="F685" s="3629" t="s">
        <v>9445</v>
      </c>
      <c r="G685" s="3643">
        <v>88.31</v>
      </c>
      <c r="H685" s="3649">
        <v>12500</v>
      </c>
      <c r="I685" s="3649">
        <f t="shared" si="10"/>
        <v>110</v>
      </c>
      <c r="J685" s="3644">
        <f ca="1">典型户型修正!T707</f>
        <v>141</v>
      </c>
    </row>
    <row r="686" spans="1:10" s="3633" customFormat="1">
      <c r="A686" s="3629">
        <v>682</v>
      </c>
      <c r="B686" s="3629" t="s">
        <v>9446</v>
      </c>
      <c r="C686" s="3629">
        <v>30</v>
      </c>
      <c r="D686" s="3629" t="s">
        <v>8072</v>
      </c>
      <c r="E686" s="3629" t="s">
        <v>8073</v>
      </c>
      <c r="F686" s="3629" t="s">
        <v>9447</v>
      </c>
      <c r="G686" s="3643">
        <v>88.31</v>
      </c>
      <c r="H686" s="3649">
        <v>12550</v>
      </c>
      <c r="I686" s="3649">
        <f t="shared" si="10"/>
        <v>111</v>
      </c>
      <c r="J686" s="3644">
        <f ca="1">典型户型修正!T708</f>
        <v>146</v>
      </c>
    </row>
    <row r="687" spans="1:10" s="3633" customFormat="1">
      <c r="A687" s="3629">
        <v>683</v>
      </c>
      <c r="B687" s="3629" t="s">
        <v>9448</v>
      </c>
      <c r="C687" s="3629">
        <v>30</v>
      </c>
      <c r="D687" s="3629" t="s">
        <v>8072</v>
      </c>
      <c r="E687" s="3629" t="s">
        <v>8073</v>
      </c>
      <c r="F687" s="3629" t="s">
        <v>9449</v>
      </c>
      <c r="G687" s="3643">
        <v>88.31</v>
      </c>
      <c r="H687" s="3649">
        <v>12600</v>
      </c>
      <c r="I687" s="3649">
        <f t="shared" si="10"/>
        <v>111</v>
      </c>
      <c r="J687" s="3644">
        <f ca="1">典型户型修正!T709</f>
        <v>146</v>
      </c>
    </row>
    <row r="688" spans="1:10" s="3633" customFormat="1">
      <c r="A688" s="3629">
        <v>684</v>
      </c>
      <c r="B688" s="3629" t="s">
        <v>9450</v>
      </c>
      <c r="C688" s="3629">
        <v>30</v>
      </c>
      <c r="D688" s="3629" t="s">
        <v>8072</v>
      </c>
      <c r="E688" s="3629" t="s">
        <v>8073</v>
      </c>
      <c r="F688" s="3629" t="s">
        <v>9451</v>
      </c>
      <c r="G688" s="3643">
        <v>88.31</v>
      </c>
      <c r="H688" s="3649">
        <v>12600</v>
      </c>
      <c r="I688" s="3649">
        <f t="shared" si="10"/>
        <v>111</v>
      </c>
      <c r="J688" s="3644">
        <f ca="1">典型户型修正!T710</f>
        <v>146</v>
      </c>
    </row>
    <row r="689" spans="1:10" s="3633" customFormat="1">
      <c r="A689" s="3629">
        <v>685</v>
      </c>
      <c r="B689" s="3629" t="s">
        <v>9452</v>
      </c>
      <c r="C689" s="3629">
        <v>30</v>
      </c>
      <c r="D689" s="3629" t="s">
        <v>8072</v>
      </c>
      <c r="E689" s="3629" t="s">
        <v>8073</v>
      </c>
      <c r="F689" s="3629" t="s">
        <v>9453</v>
      </c>
      <c r="G689" s="3643">
        <v>88.31</v>
      </c>
      <c r="H689" s="3649">
        <v>12600</v>
      </c>
      <c r="I689" s="3649">
        <f t="shared" si="10"/>
        <v>111</v>
      </c>
      <c r="J689" s="3644">
        <f ca="1">典型户型修正!T711</f>
        <v>146</v>
      </c>
    </row>
    <row r="690" spans="1:10" s="3633" customFormat="1">
      <c r="A690" s="3629">
        <v>686</v>
      </c>
      <c r="B690" s="3629" t="s">
        <v>9454</v>
      </c>
      <c r="C690" s="3629">
        <v>30</v>
      </c>
      <c r="D690" s="3629" t="s">
        <v>8072</v>
      </c>
      <c r="E690" s="3629" t="s">
        <v>8073</v>
      </c>
      <c r="F690" s="3629" t="s">
        <v>9455</v>
      </c>
      <c r="G690" s="3643">
        <v>88.31</v>
      </c>
      <c r="H690" s="3649">
        <v>12630</v>
      </c>
      <c r="I690" s="3649">
        <f t="shared" si="10"/>
        <v>112</v>
      </c>
      <c r="J690" s="3644">
        <f ca="1">典型户型修正!T712</f>
        <v>146</v>
      </c>
    </row>
    <row r="691" spans="1:10" s="3633" customFormat="1">
      <c r="A691" s="3629">
        <v>687</v>
      </c>
      <c r="B691" s="3629" t="s">
        <v>9456</v>
      </c>
      <c r="C691" s="3629">
        <v>30</v>
      </c>
      <c r="D691" s="3629" t="s">
        <v>8072</v>
      </c>
      <c r="E691" s="3629" t="s">
        <v>8073</v>
      </c>
      <c r="F691" s="3629" t="s">
        <v>9457</v>
      </c>
      <c r="G691" s="3643">
        <v>88.31</v>
      </c>
      <c r="H691" s="3649">
        <v>12630</v>
      </c>
      <c r="I691" s="3649">
        <f t="shared" si="10"/>
        <v>112</v>
      </c>
      <c r="J691" s="3644">
        <f ca="1">典型户型修正!T713</f>
        <v>146</v>
      </c>
    </row>
    <row r="692" spans="1:10" s="3633" customFormat="1">
      <c r="A692" s="3629">
        <v>688</v>
      </c>
      <c r="B692" s="3629" t="s">
        <v>9458</v>
      </c>
      <c r="C692" s="3629">
        <v>30</v>
      </c>
      <c r="D692" s="3629" t="s">
        <v>8072</v>
      </c>
      <c r="E692" s="3629" t="s">
        <v>8073</v>
      </c>
      <c r="F692" s="3629" t="s">
        <v>9459</v>
      </c>
      <c r="G692" s="3643">
        <v>88.31</v>
      </c>
      <c r="H692" s="3649">
        <v>12660</v>
      </c>
      <c r="I692" s="3649">
        <f t="shared" si="10"/>
        <v>112</v>
      </c>
      <c r="J692" s="3644">
        <f ca="1">典型户型修正!T714</f>
        <v>146</v>
      </c>
    </row>
    <row r="693" spans="1:10" s="3633" customFormat="1">
      <c r="A693" s="3629">
        <v>689</v>
      </c>
      <c r="B693" s="3629" t="s">
        <v>9460</v>
      </c>
      <c r="C693" s="3629">
        <v>30</v>
      </c>
      <c r="D693" s="3629" t="s">
        <v>8072</v>
      </c>
      <c r="E693" s="3629" t="s">
        <v>8073</v>
      </c>
      <c r="F693" s="3629" t="s">
        <v>9461</v>
      </c>
      <c r="G693" s="3643">
        <v>88.31</v>
      </c>
      <c r="H693" s="3649">
        <v>12660</v>
      </c>
      <c r="I693" s="3649">
        <f t="shared" si="10"/>
        <v>112</v>
      </c>
      <c r="J693" s="3644">
        <f ca="1">典型户型修正!T715</f>
        <v>146</v>
      </c>
    </row>
    <row r="694" spans="1:10" s="3633" customFormat="1">
      <c r="A694" s="3629">
        <v>690</v>
      </c>
      <c r="B694" s="3629" t="s">
        <v>9462</v>
      </c>
      <c r="C694" s="3629">
        <v>30</v>
      </c>
      <c r="D694" s="3629" t="s">
        <v>8072</v>
      </c>
      <c r="E694" s="3629" t="s">
        <v>8073</v>
      </c>
      <c r="F694" s="3629" t="s">
        <v>9463</v>
      </c>
      <c r="G694" s="3643">
        <v>88.31</v>
      </c>
      <c r="H694" s="3649">
        <v>12660</v>
      </c>
      <c r="I694" s="3649">
        <f t="shared" si="10"/>
        <v>112</v>
      </c>
      <c r="J694" s="3644">
        <f ca="1">典型户型修正!T716</f>
        <v>146</v>
      </c>
    </row>
    <row r="695" spans="1:10" s="3633" customFormat="1">
      <c r="A695" s="3629">
        <v>691</v>
      </c>
      <c r="B695" s="3629" t="s">
        <v>9464</v>
      </c>
      <c r="C695" s="3629">
        <v>30</v>
      </c>
      <c r="D695" s="3629" t="s">
        <v>8072</v>
      </c>
      <c r="E695" s="3629" t="s">
        <v>8073</v>
      </c>
      <c r="F695" s="3629" t="s">
        <v>9465</v>
      </c>
      <c r="G695" s="3643">
        <v>88.31</v>
      </c>
      <c r="H695" s="3649">
        <v>12660</v>
      </c>
      <c r="I695" s="3649">
        <f t="shared" si="10"/>
        <v>112</v>
      </c>
      <c r="J695" s="3644">
        <f ca="1">典型户型修正!T717</f>
        <v>146</v>
      </c>
    </row>
    <row r="696" spans="1:10" s="3633" customFormat="1">
      <c r="A696" s="3629">
        <v>692</v>
      </c>
      <c r="B696" s="3629" t="s">
        <v>9466</v>
      </c>
      <c r="C696" s="3629">
        <v>30</v>
      </c>
      <c r="D696" s="3629" t="s">
        <v>8072</v>
      </c>
      <c r="E696" s="3629" t="s">
        <v>8073</v>
      </c>
      <c r="F696" s="3629" t="s">
        <v>9467</v>
      </c>
      <c r="G696" s="3643">
        <v>88.31</v>
      </c>
      <c r="H696" s="3649">
        <v>12690</v>
      </c>
      <c r="I696" s="3649">
        <f t="shared" si="10"/>
        <v>112</v>
      </c>
      <c r="J696" s="3644">
        <f ca="1">典型户型修正!T718</f>
        <v>144</v>
      </c>
    </row>
    <row r="697" spans="1:10" s="3633" customFormat="1">
      <c r="A697" s="3629">
        <v>693</v>
      </c>
      <c r="B697" s="3629" t="s">
        <v>9468</v>
      </c>
      <c r="C697" s="3629">
        <v>30</v>
      </c>
      <c r="D697" s="3629" t="s">
        <v>8072</v>
      </c>
      <c r="E697" s="3629" t="s">
        <v>8073</v>
      </c>
      <c r="F697" s="3629" t="s">
        <v>9469</v>
      </c>
      <c r="G697" s="3643">
        <v>88.31</v>
      </c>
      <c r="H697" s="3649">
        <v>12690</v>
      </c>
      <c r="I697" s="3649">
        <f t="shared" si="10"/>
        <v>112</v>
      </c>
      <c r="J697" s="3644">
        <f ca="1">典型户型修正!T719</f>
        <v>144</v>
      </c>
    </row>
    <row r="698" spans="1:10" s="3633" customFormat="1">
      <c r="A698" s="3629">
        <v>694</v>
      </c>
      <c r="B698" s="3629" t="s">
        <v>9470</v>
      </c>
      <c r="C698" s="3629">
        <v>30</v>
      </c>
      <c r="D698" s="3629" t="s">
        <v>8072</v>
      </c>
      <c r="E698" s="3629" t="s">
        <v>8073</v>
      </c>
      <c r="F698" s="3629" t="s">
        <v>9471</v>
      </c>
      <c r="G698" s="3643">
        <v>88.31</v>
      </c>
      <c r="H698" s="3649">
        <v>12660</v>
      </c>
      <c r="I698" s="3649">
        <f t="shared" si="10"/>
        <v>112</v>
      </c>
      <c r="J698" s="3644">
        <f ca="1">典型户型修正!T720</f>
        <v>144</v>
      </c>
    </row>
    <row r="699" spans="1:10" s="3633" customFormat="1">
      <c r="A699" s="3629">
        <v>695</v>
      </c>
      <c r="B699" s="3629" t="s">
        <v>9472</v>
      </c>
      <c r="C699" s="3629">
        <v>30</v>
      </c>
      <c r="D699" s="3629" t="s">
        <v>8072</v>
      </c>
      <c r="E699" s="3629" t="s">
        <v>8073</v>
      </c>
      <c r="F699" s="3629" t="s">
        <v>9473</v>
      </c>
      <c r="G699" s="3643">
        <v>88.31</v>
      </c>
      <c r="H699" s="3649">
        <v>12660</v>
      </c>
      <c r="I699" s="3649">
        <f t="shared" si="10"/>
        <v>112</v>
      </c>
      <c r="J699" s="3644">
        <f ca="1">典型户型修正!T721</f>
        <v>144</v>
      </c>
    </row>
    <row r="700" spans="1:10" s="3633" customFormat="1">
      <c r="A700" s="3629">
        <v>696</v>
      </c>
      <c r="B700" s="3629" t="s">
        <v>9474</v>
      </c>
      <c r="C700" s="3629">
        <v>30</v>
      </c>
      <c r="D700" s="3629" t="s">
        <v>8072</v>
      </c>
      <c r="E700" s="3629" t="s">
        <v>8073</v>
      </c>
      <c r="F700" s="3629" t="s">
        <v>9475</v>
      </c>
      <c r="G700" s="3643">
        <v>88.31</v>
      </c>
      <c r="H700" s="3649">
        <v>12660</v>
      </c>
      <c r="I700" s="3649">
        <f t="shared" si="10"/>
        <v>112</v>
      </c>
      <c r="J700" s="3644">
        <f ca="1">典型户型修正!T722</f>
        <v>144</v>
      </c>
    </row>
    <row r="701" spans="1:10" s="3633" customFormat="1">
      <c r="A701" s="3629">
        <v>697</v>
      </c>
      <c r="B701" s="3629" t="s">
        <v>9476</v>
      </c>
      <c r="C701" s="3629">
        <v>30</v>
      </c>
      <c r="D701" s="3629" t="s">
        <v>8072</v>
      </c>
      <c r="E701" s="3629" t="s">
        <v>8073</v>
      </c>
      <c r="F701" s="3629" t="s">
        <v>9477</v>
      </c>
      <c r="G701" s="3643">
        <v>88.31</v>
      </c>
      <c r="H701" s="3649">
        <v>12660</v>
      </c>
      <c r="I701" s="3649">
        <f t="shared" si="10"/>
        <v>112</v>
      </c>
      <c r="J701" s="3644">
        <f ca="1">典型户型修正!T723</f>
        <v>144</v>
      </c>
    </row>
    <row r="702" spans="1:10" s="3633" customFormat="1">
      <c r="A702" s="3629">
        <v>698</v>
      </c>
      <c r="B702" s="3629" t="s">
        <v>9478</v>
      </c>
      <c r="C702" s="3629">
        <v>30</v>
      </c>
      <c r="D702" s="3629" t="s">
        <v>8072</v>
      </c>
      <c r="E702" s="3629" t="s">
        <v>8073</v>
      </c>
      <c r="F702" s="3629" t="s">
        <v>9479</v>
      </c>
      <c r="G702" s="3643">
        <v>88.31</v>
      </c>
      <c r="H702" s="3649">
        <v>12660</v>
      </c>
      <c r="I702" s="3649">
        <f t="shared" si="10"/>
        <v>112</v>
      </c>
      <c r="J702" s="3644">
        <f ca="1">典型户型修正!T724</f>
        <v>144</v>
      </c>
    </row>
    <row r="703" spans="1:10" s="3633" customFormat="1">
      <c r="A703" s="3629">
        <v>699</v>
      </c>
      <c r="B703" s="3629" t="s">
        <v>9480</v>
      </c>
      <c r="C703" s="3629">
        <v>30</v>
      </c>
      <c r="D703" s="3629" t="s">
        <v>8072</v>
      </c>
      <c r="E703" s="3629" t="s">
        <v>8073</v>
      </c>
      <c r="F703" s="3629" t="s">
        <v>9481</v>
      </c>
      <c r="G703" s="3643">
        <v>88.31</v>
      </c>
      <c r="H703" s="3649">
        <v>12660</v>
      </c>
      <c r="I703" s="3649">
        <f t="shared" si="10"/>
        <v>112</v>
      </c>
      <c r="J703" s="3644">
        <f ca="1">典型户型修正!T725</f>
        <v>144</v>
      </c>
    </row>
    <row r="704" spans="1:10" s="3633" customFormat="1">
      <c r="A704" s="3629">
        <v>700</v>
      </c>
      <c r="B704" s="3629" t="s">
        <v>9482</v>
      </c>
      <c r="C704" s="3629">
        <v>30</v>
      </c>
      <c r="D704" s="3629" t="s">
        <v>8072</v>
      </c>
      <c r="E704" s="3629" t="s">
        <v>8073</v>
      </c>
      <c r="F704" s="3629" t="s">
        <v>9483</v>
      </c>
      <c r="G704" s="3643">
        <v>88.31</v>
      </c>
      <c r="H704" s="3649">
        <v>12660</v>
      </c>
      <c r="I704" s="3649">
        <f t="shared" si="10"/>
        <v>112</v>
      </c>
      <c r="J704" s="3644">
        <f ca="1">典型户型修正!T726</f>
        <v>144</v>
      </c>
    </row>
    <row r="705" spans="1:10" s="3633" customFormat="1">
      <c r="A705" s="3629">
        <v>701</v>
      </c>
      <c r="B705" s="3629" t="s">
        <v>9484</v>
      </c>
      <c r="C705" s="3629">
        <v>30</v>
      </c>
      <c r="D705" s="3629" t="s">
        <v>8072</v>
      </c>
      <c r="E705" s="3629" t="s">
        <v>8073</v>
      </c>
      <c r="F705" s="3629" t="s">
        <v>9485</v>
      </c>
      <c r="G705" s="3643">
        <v>88.31</v>
      </c>
      <c r="H705" s="3649">
        <v>12160</v>
      </c>
      <c r="I705" s="3649">
        <f t="shared" si="10"/>
        <v>107</v>
      </c>
      <c r="J705" s="3644">
        <f ca="1">典型户型修正!T727</f>
        <v>144</v>
      </c>
    </row>
    <row r="706" spans="1:10" s="3633" customFormat="1">
      <c r="A706" s="3629">
        <v>702</v>
      </c>
      <c r="B706" s="3629" t="s">
        <v>9486</v>
      </c>
      <c r="C706" s="3629">
        <v>30</v>
      </c>
      <c r="D706" s="3629" t="s">
        <v>9024</v>
      </c>
      <c r="E706" s="3629" t="s">
        <v>8073</v>
      </c>
      <c r="F706" s="3629" t="s">
        <v>9487</v>
      </c>
      <c r="G706" s="3643">
        <v>136.94999999999999</v>
      </c>
      <c r="H706" s="3649">
        <v>14100</v>
      </c>
      <c r="I706" s="3649">
        <f t="shared" si="10"/>
        <v>193</v>
      </c>
      <c r="J706" s="3644">
        <f ca="1">典型户型修正!T728</f>
        <v>218</v>
      </c>
    </row>
    <row r="707" spans="1:10" s="3633" customFormat="1">
      <c r="A707" s="3629">
        <v>703</v>
      </c>
      <c r="B707" s="3629" t="s">
        <v>9488</v>
      </c>
      <c r="C707" s="3629">
        <v>30</v>
      </c>
      <c r="D707" s="3629" t="s">
        <v>9024</v>
      </c>
      <c r="E707" s="3629" t="s">
        <v>8073</v>
      </c>
      <c r="F707" s="3629" t="s">
        <v>9489</v>
      </c>
      <c r="G707" s="3643">
        <v>136.94999999999999</v>
      </c>
      <c r="H707" s="3649">
        <v>14300</v>
      </c>
      <c r="I707" s="3649">
        <f t="shared" si="10"/>
        <v>196</v>
      </c>
      <c r="J707" s="3644">
        <f ca="1">典型户型修正!T729</f>
        <v>218</v>
      </c>
    </row>
    <row r="708" spans="1:10" s="3633" customFormat="1">
      <c r="A708" s="3629">
        <v>704</v>
      </c>
      <c r="B708" s="3629" t="s">
        <v>9490</v>
      </c>
      <c r="C708" s="3629">
        <v>30</v>
      </c>
      <c r="D708" s="3629" t="s">
        <v>9024</v>
      </c>
      <c r="E708" s="3629" t="s">
        <v>8073</v>
      </c>
      <c r="F708" s="3629" t="s">
        <v>9491</v>
      </c>
      <c r="G708" s="3643">
        <v>136.94999999999999</v>
      </c>
      <c r="H708" s="3649">
        <v>14600</v>
      </c>
      <c r="I708" s="3649">
        <f t="shared" si="10"/>
        <v>200</v>
      </c>
      <c r="J708" s="3644">
        <f ca="1">典型户型修正!T730</f>
        <v>218</v>
      </c>
    </row>
    <row r="709" spans="1:10" s="3633" customFormat="1">
      <c r="A709" s="3629">
        <v>705</v>
      </c>
      <c r="B709" s="3629" t="s">
        <v>9492</v>
      </c>
      <c r="C709" s="3629">
        <v>30</v>
      </c>
      <c r="D709" s="3629" t="s">
        <v>9024</v>
      </c>
      <c r="E709" s="3629" t="s">
        <v>8073</v>
      </c>
      <c r="F709" s="3629" t="s">
        <v>9493</v>
      </c>
      <c r="G709" s="3643">
        <v>136.94999999999999</v>
      </c>
      <c r="H709" s="3649">
        <v>14800</v>
      </c>
      <c r="I709" s="3649">
        <f t="shared" si="10"/>
        <v>203</v>
      </c>
      <c r="J709" s="3644">
        <f ca="1">典型户型修正!T731</f>
        <v>218</v>
      </c>
    </row>
    <row r="710" spans="1:10" s="3633" customFormat="1">
      <c r="A710" s="3629">
        <v>706</v>
      </c>
      <c r="B710" s="3629" t="s">
        <v>9494</v>
      </c>
      <c r="C710" s="3629">
        <v>30</v>
      </c>
      <c r="D710" s="3629" t="s">
        <v>9024</v>
      </c>
      <c r="E710" s="3629" t="s">
        <v>8073</v>
      </c>
      <c r="F710" s="3629" t="s">
        <v>9495</v>
      </c>
      <c r="G710" s="3643">
        <v>136.94999999999999</v>
      </c>
      <c r="H710" s="3649">
        <v>14900</v>
      </c>
      <c r="I710" s="3649">
        <f t="shared" si="10"/>
        <v>204</v>
      </c>
      <c r="J710" s="3644">
        <f ca="1">典型户型修正!T732</f>
        <v>218</v>
      </c>
    </row>
    <row r="711" spans="1:10" s="3633" customFormat="1">
      <c r="A711" s="3629">
        <v>707</v>
      </c>
      <c r="B711" s="3629" t="s">
        <v>9496</v>
      </c>
      <c r="C711" s="3629">
        <v>30</v>
      </c>
      <c r="D711" s="3629" t="s">
        <v>9024</v>
      </c>
      <c r="E711" s="3629" t="s">
        <v>8073</v>
      </c>
      <c r="F711" s="3629" t="s">
        <v>9497</v>
      </c>
      <c r="G711" s="3643">
        <v>136.94999999999999</v>
      </c>
      <c r="H711" s="3649">
        <v>15000</v>
      </c>
      <c r="I711" s="3649">
        <f t="shared" ref="I711:I774" si="11">ROUND(G711*H711/10000,0)</f>
        <v>205</v>
      </c>
      <c r="J711" s="3644">
        <f ca="1">典型户型修正!T733</f>
        <v>227</v>
      </c>
    </row>
    <row r="712" spans="1:10" s="3633" customFormat="1">
      <c r="A712" s="3629">
        <v>708</v>
      </c>
      <c r="B712" s="3629" t="s">
        <v>9498</v>
      </c>
      <c r="C712" s="3629">
        <v>30</v>
      </c>
      <c r="D712" s="3629" t="s">
        <v>9024</v>
      </c>
      <c r="E712" s="3629" t="s">
        <v>8073</v>
      </c>
      <c r="F712" s="3629" t="s">
        <v>9499</v>
      </c>
      <c r="G712" s="3643">
        <v>136.94999999999999</v>
      </c>
      <c r="H712" s="3649">
        <v>15000</v>
      </c>
      <c r="I712" s="3649">
        <f t="shared" si="11"/>
        <v>205</v>
      </c>
      <c r="J712" s="3644">
        <f ca="1">典型户型修正!T734</f>
        <v>227</v>
      </c>
    </row>
    <row r="713" spans="1:10" s="3633" customFormat="1">
      <c r="A713" s="3629">
        <v>709</v>
      </c>
      <c r="B713" s="3629" t="s">
        <v>9500</v>
      </c>
      <c r="C713" s="3629">
        <v>30</v>
      </c>
      <c r="D713" s="3629" t="s">
        <v>9024</v>
      </c>
      <c r="E713" s="3629" t="s">
        <v>8073</v>
      </c>
      <c r="F713" s="3629" t="s">
        <v>9501</v>
      </c>
      <c r="G713" s="3643">
        <v>136.94999999999999</v>
      </c>
      <c r="H713" s="3649">
        <v>15200</v>
      </c>
      <c r="I713" s="3649">
        <f t="shared" si="11"/>
        <v>208</v>
      </c>
      <c r="J713" s="3644">
        <f ca="1">典型户型修正!T735</f>
        <v>227</v>
      </c>
    </row>
    <row r="714" spans="1:10" s="3633" customFormat="1">
      <c r="A714" s="3629">
        <v>710</v>
      </c>
      <c r="B714" s="3629" t="s">
        <v>9502</v>
      </c>
      <c r="C714" s="3629">
        <v>30</v>
      </c>
      <c r="D714" s="3629" t="s">
        <v>9024</v>
      </c>
      <c r="E714" s="3629" t="s">
        <v>8073</v>
      </c>
      <c r="F714" s="3629" t="s">
        <v>9503</v>
      </c>
      <c r="G714" s="3643">
        <v>136.94999999999999</v>
      </c>
      <c r="H714" s="3649">
        <v>15200</v>
      </c>
      <c r="I714" s="3649">
        <f t="shared" si="11"/>
        <v>208</v>
      </c>
      <c r="J714" s="3644">
        <f ca="1">典型户型修正!T736</f>
        <v>227</v>
      </c>
    </row>
    <row r="715" spans="1:10" s="3633" customFormat="1">
      <c r="A715" s="3629">
        <v>711</v>
      </c>
      <c r="B715" s="3629" t="s">
        <v>9504</v>
      </c>
      <c r="C715" s="3629">
        <v>30</v>
      </c>
      <c r="D715" s="3629" t="s">
        <v>9024</v>
      </c>
      <c r="E715" s="3629" t="s">
        <v>8073</v>
      </c>
      <c r="F715" s="3629" t="s">
        <v>9505</v>
      </c>
      <c r="G715" s="3643">
        <v>136.94999999999999</v>
      </c>
      <c r="H715" s="3649">
        <v>15200</v>
      </c>
      <c r="I715" s="3649">
        <f t="shared" si="11"/>
        <v>208</v>
      </c>
      <c r="J715" s="3644">
        <f ca="1">典型户型修正!T737</f>
        <v>227</v>
      </c>
    </row>
    <row r="716" spans="1:10" s="3633" customFormat="1">
      <c r="A716" s="3629">
        <v>712</v>
      </c>
      <c r="B716" s="3629" t="s">
        <v>9506</v>
      </c>
      <c r="C716" s="3629">
        <v>30</v>
      </c>
      <c r="D716" s="3629" t="s">
        <v>9024</v>
      </c>
      <c r="E716" s="3629" t="s">
        <v>8073</v>
      </c>
      <c r="F716" s="3629" t="s">
        <v>9507</v>
      </c>
      <c r="G716" s="3643">
        <v>136.94999999999999</v>
      </c>
      <c r="H716" s="3649">
        <v>15200</v>
      </c>
      <c r="I716" s="3649">
        <f t="shared" si="11"/>
        <v>208</v>
      </c>
      <c r="J716" s="3644">
        <f ca="1">典型户型修正!T738</f>
        <v>222</v>
      </c>
    </row>
    <row r="717" spans="1:10" s="3633" customFormat="1">
      <c r="A717" s="3629">
        <v>713</v>
      </c>
      <c r="B717" s="3629" t="s">
        <v>9508</v>
      </c>
      <c r="C717" s="3629">
        <v>30</v>
      </c>
      <c r="D717" s="3629" t="s">
        <v>9024</v>
      </c>
      <c r="E717" s="3629" t="s">
        <v>8073</v>
      </c>
      <c r="F717" s="3629" t="s">
        <v>9509</v>
      </c>
      <c r="G717" s="3643">
        <v>136.94999999999999</v>
      </c>
      <c r="H717" s="3649">
        <v>15100</v>
      </c>
      <c r="I717" s="3649">
        <f t="shared" si="11"/>
        <v>207</v>
      </c>
      <c r="J717" s="3644">
        <f ca="1">典型户型修正!T739</f>
        <v>222</v>
      </c>
    </row>
    <row r="718" spans="1:10" s="3633" customFormat="1">
      <c r="A718" s="3629">
        <v>714</v>
      </c>
      <c r="B718" s="3629" t="s">
        <v>9510</v>
      </c>
      <c r="C718" s="3629">
        <v>30</v>
      </c>
      <c r="D718" s="3629" t="s">
        <v>9024</v>
      </c>
      <c r="E718" s="3629" t="s">
        <v>8073</v>
      </c>
      <c r="F718" s="3629" t="s">
        <v>9511</v>
      </c>
      <c r="G718" s="3643">
        <v>136.94999999999999</v>
      </c>
      <c r="H718" s="3649">
        <v>15100</v>
      </c>
      <c r="I718" s="3649">
        <f t="shared" si="11"/>
        <v>207</v>
      </c>
      <c r="J718" s="3644">
        <f ca="1">典型户型修正!T740</f>
        <v>222</v>
      </c>
    </row>
    <row r="719" spans="1:10" s="3633" customFormat="1">
      <c r="A719" s="3629">
        <v>715</v>
      </c>
      <c r="B719" s="3629" t="s">
        <v>9512</v>
      </c>
      <c r="C719" s="3629">
        <v>30</v>
      </c>
      <c r="D719" s="3629" t="s">
        <v>9024</v>
      </c>
      <c r="E719" s="3629" t="s">
        <v>8073</v>
      </c>
      <c r="F719" s="3629" t="s">
        <v>9513</v>
      </c>
      <c r="G719" s="3643">
        <v>136.94999999999999</v>
      </c>
      <c r="H719" s="3649">
        <v>14900</v>
      </c>
      <c r="I719" s="3649">
        <f t="shared" si="11"/>
        <v>204</v>
      </c>
      <c r="J719" s="3644">
        <f ca="1">典型户型修正!T741</f>
        <v>222</v>
      </c>
    </row>
    <row r="720" spans="1:10" s="3633" customFormat="1">
      <c r="A720" s="3629">
        <v>716</v>
      </c>
      <c r="B720" s="3629" t="s">
        <v>9514</v>
      </c>
      <c r="C720" s="3629">
        <v>30</v>
      </c>
      <c r="D720" s="3629" t="s">
        <v>8072</v>
      </c>
      <c r="E720" s="3629" t="s">
        <v>8073</v>
      </c>
      <c r="F720" s="3629" t="s">
        <v>9515</v>
      </c>
      <c r="G720" s="3643">
        <v>68.84</v>
      </c>
      <c r="H720" s="3649">
        <v>12500</v>
      </c>
      <c r="I720" s="3649">
        <f t="shared" si="11"/>
        <v>86</v>
      </c>
      <c r="J720" s="3644">
        <f ca="1">典型户型修正!T742</f>
        <v>111</v>
      </c>
    </row>
    <row r="721" spans="1:10" s="3633" customFormat="1">
      <c r="A721" s="3629">
        <v>717</v>
      </c>
      <c r="B721" s="3629" t="s">
        <v>9516</v>
      </c>
      <c r="C721" s="3629">
        <v>30</v>
      </c>
      <c r="D721" s="3629" t="s">
        <v>9024</v>
      </c>
      <c r="E721" s="3629" t="s">
        <v>8073</v>
      </c>
      <c r="F721" s="3629" t="s">
        <v>9517</v>
      </c>
      <c r="G721" s="3643">
        <v>136.94999999999999</v>
      </c>
      <c r="H721" s="3649">
        <v>14100</v>
      </c>
      <c r="I721" s="3649">
        <f t="shared" si="11"/>
        <v>193</v>
      </c>
      <c r="J721" s="3644">
        <f ca="1">典型户型修正!T743</f>
        <v>218</v>
      </c>
    </row>
    <row r="722" spans="1:10" s="3633" customFormat="1">
      <c r="A722" s="3629">
        <v>718</v>
      </c>
      <c r="B722" s="3629" t="s">
        <v>9518</v>
      </c>
      <c r="C722" s="3629">
        <v>30</v>
      </c>
      <c r="D722" s="3629" t="s">
        <v>9024</v>
      </c>
      <c r="E722" s="3629" t="s">
        <v>8073</v>
      </c>
      <c r="F722" s="3629" t="s">
        <v>9519</v>
      </c>
      <c r="G722" s="3643">
        <v>136.94999999999999</v>
      </c>
      <c r="H722" s="3649">
        <v>14300</v>
      </c>
      <c r="I722" s="3649">
        <f t="shared" si="11"/>
        <v>196</v>
      </c>
      <c r="J722" s="3644">
        <f ca="1">典型户型修正!T744</f>
        <v>218</v>
      </c>
    </row>
    <row r="723" spans="1:10" s="3633" customFormat="1">
      <c r="A723" s="3629">
        <v>719</v>
      </c>
      <c r="B723" s="3629" t="s">
        <v>9520</v>
      </c>
      <c r="C723" s="3629">
        <v>30</v>
      </c>
      <c r="D723" s="3629" t="s">
        <v>9024</v>
      </c>
      <c r="E723" s="3629" t="s">
        <v>8073</v>
      </c>
      <c r="F723" s="3629" t="s">
        <v>9521</v>
      </c>
      <c r="G723" s="3643">
        <v>136.94999999999999</v>
      </c>
      <c r="H723" s="3649">
        <v>14600</v>
      </c>
      <c r="I723" s="3649">
        <f t="shared" si="11"/>
        <v>200</v>
      </c>
      <c r="J723" s="3644">
        <f ca="1">典型户型修正!T745</f>
        <v>218</v>
      </c>
    </row>
    <row r="724" spans="1:10" s="3633" customFormat="1">
      <c r="A724" s="3629">
        <v>720</v>
      </c>
      <c r="B724" s="3629" t="s">
        <v>9522</v>
      </c>
      <c r="C724" s="3629">
        <v>30</v>
      </c>
      <c r="D724" s="3629" t="s">
        <v>9024</v>
      </c>
      <c r="E724" s="3629" t="s">
        <v>8073</v>
      </c>
      <c r="F724" s="3629" t="s">
        <v>9523</v>
      </c>
      <c r="G724" s="3643">
        <v>136.94999999999999</v>
      </c>
      <c r="H724" s="3649">
        <v>14800</v>
      </c>
      <c r="I724" s="3649">
        <f t="shared" si="11"/>
        <v>203</v>
      </c>
      <c r="J724" s="3644">
        <f ca="1">典型户型修正!T746</f>
        <v>218</v>
      </c>
    </row>
    <row r="725" spans="1:10" s="3633" customFormat="1">
      <c r="A725" s="3629">
        <v>721</v>
      </c>
      <c r="B725" s="3629" t="s">
        <v>9524</v>
      </c>
      <c r="C725" s="3629">
        <v>30</v>
      </c>
      <c r="D725" s="3629" t="s">
        <v>9024</v>
      </c>
      <c r="E725" s="3629" t="s">
        <v>8073</v>
      </c>
      <c r="F725" s="3629" t="s">
        <v>9525</v>
      </c>
      <c r="G725" s="3643">
        <v>136.94999999999999</v>
      </c>
      <c r="H725" s="3649">
        <v>14900</v>
      </c>
      <c r="I725" s="3649">
        <f t="shared" si="11"/>
        <v>204</v>
      </c>
      <c r="J725" s="3644">
        <f ca="1">典型户型修正!T747</f>
        <v>218</v>
      </c>
    </row>
    <row r="726" spans="1:10" s="3633" customFormat="1">
      <c r="A726" s="3629">
        <v>722</v>
      </c>
      <c r="B726" s="3629" t="s">
        <v>9526</v>
      </c>
      <c r="C726" s="3629">
        <v>30</v>
      </c>
      <c r="D726" s="3629" t="s">
        <v>9024</v>
      </c>
      <c r="E726" s="3629" t="s">
        <v>8073</v>
      </c>
      <c r="F726" s="3629" t="s">
        <v>9527</v>
      </c>
      <c r="G726" s="3643">
        <v>136.94999999999999</v>
      </c>
      <c r="H726" s="3649">
        <v>15000</v>
      </c>
      <c r="I726" s="3649">
        <f t="shared" si="11"/>
        <v>205</v>
      </c>
      <c r="J726" s="3644">
        <f ca="1">典型户型修正!T748</f>
        <v>227</v>
      </c>
    </row>
    <row r="727" spans="1:10" s="3633" customFormat="1">
      <c r="A727" s="3629">
        <v>723</v>
      </c>
      <c r="B727" s="3629" t="s">
        <v>9528</v>
      </c>
      <c r="C727" s="3629">
        <v>30</v>
      </c>
      <c r="D727" s="3629" t="s">
        <v>9024</v>
      </c>
      <c r="E727" s="3629" t="s">
        <v>8073</v>
      </c>
      <c r="F727" s="3629" t="s">
        <v>9529</v>
      </c>
      <c r="G727" s="3643">
        <v>136.94999999999999</v>
      </c>
      <c r="H727" s="3649">
        <v>15000</v>
      </c>
      <c r="I727" s="3649">
        <f t="shared" si="11"/>
        <v>205</v>
      </c>
      <c r="J727" s="3644">
        <f ca="1">典型户型修正!T749</f>
        <v>227</v>
      </c>
    </row>
    <row r="728" spans="1:10" s="3633" customFormat="1">
      <c r="A728" s="3629">
        <v>724</v>
      </c>
      <c r="B728" s="3629" t="s">
        <v>9530</v>
      </c>
      <c r="C728" s="3629">
        <v>30</v>
      </c>
      <c r="D728" s="3629" t="s">
        <v>9024</v>
      </c>
      <c r="E728" s="3629" t="s">
        <v>8073</v>
      </c>
      <c r="F728" s="3629" t="s">
        <v>9531</v>
      </c>
      <c r="G728" s="3643">
        <v>136.94999999999999</v>
      </c>
      <c r="H728" s="3649">
        <v>15200</v>
      </c>
      <c r="I728" s="3649">
        <f t="shared" si="11"/>
        <v>208</v>
      </c>
      <c r="J728" s="3644">
        <f ca="1">典型户型修正!T750</f>
        <v>227</v>
      </c>
    </row>
    <row r="729" spans="1:10" s="3633" customFormat="1">
      <c r="A729" s="3629">
        <v>725</v>
      </c>
      <c r="B729" s="3629" t="s">
        <v>9532</v>
      </c>
      <c r="C729" s="3629">
        <v>30</v>
      </c>
      <c r="D729" s="3629" t="s">
        <v>9024</v>
      </c>
      <c r="E729" s="3629" t="s">
        <v>8073</v>
      </c>
      <c r="F729" s="3629" t="s">
        <v>9533</v>
      </c>
      <c r="G729" s="3643">
        <v>136.94999999999999</v>
      </c>
      <c r="H729" s="3649">
        <v>15200</v>
      </c>
      <c r="I729" s="3649">
        <f t="shared" si="11"/>
        <v>208</v>
      </c>
      <c r="J729" s="3644">
        <f ca="1">典型户型修正!T751</f>
        <v>227</v>
      </c>
    </row>
    <row r="730" spans="1:10" s="3633" customFormat="1">
      <c r="A730" s="3629">
        <v>726</v>
      </c>
      <c r="B730" s="3629" t="s">
        <v>9534</v>
      </c>
      <c r="C730" s="3629">
        <v>30</v>
      </c>
      <c r="D730" s="3629" t="s">
        <v>9024</v>
      </c>
      <c r="E730" s="3629" t="s">
        <v>8073</v>
      </c>
      <c r="F730" s="3629" t="s">
        <v>9535</v>
      </c>
      <c r="G730" s="3643">
        <v>136.94999999999999</v>
      </c>
      <c r="H730" s="3649">
        <v>15200</v>
      </c>
      <c r="I730" s="3649">
        <f t="shared" si="11"/>
        <v>208</v>
      </c>
      <c r="J730" s="3644">
        <f ca="1">典型户型修正!T752</f>
        <v>227</v>
      </c>
    </row>
    <row r="731" spans="1:10" s="3633" customFormat="1">
      <c r="A731" s="3629">
        <v>727</v>
      </c>
      <c r="B731" s="3629" t="s">
        <v>9536</v>
      </c>
      <c r="C731" s="3629">
        <v>30</v>
      </c>
      <c r="D731" s="3629" t="s">
        <v>9024</v>
      </c>
      <c r="E731" s="3629" t="s">
        <v>8073</v>
      </c>
      <c r="F731" s="3629" t="s">
        <v>9537</v>
      </c>
      <c r="G731" s="3643">
        <v>136.94999999999999</v>
      </c>
      <c r="H731" s="3649">
        <v>15200</v>
      </c>
      <c r="I731" s="3649">
        <f t="shared" si="11"/>
        <v>208</v>
      </c>
      <c r="J731" s="3644">
        <f ca="1">典型户型修正!T753</f>
        <v>222</v>
      </c>
    </row>
    <row r="732" spans="1:10" s="3633" customFormat="1">
      <c r="A732" s="3629">
        <v>728</v>
      </c>
      <c r="B732" s="3629" t="s">
        <v>9538</v>
      </c>
      <c r="C732" s="3629">
        <v>30</v>
      </c>
      <c r="D732" s="3629" t="s">
        <v>9024</v>
      </c>
      <c r="E732" s="3629" t="s">
        <v>8073</v>
      </c>
      <c r="F732" s="3629" t="s">
        <v>9539</v>
      </c>
      <c r="G732" s="3643">
        <v>136.94999999999999</v>
      </c>
      <c r="H732" s="3649">
        <v>15100</v>
      </c>
      <c r="I732" s="3649">
        <f t="shared" si="11"/>
        <v>207</v>
      </c>
      <c r="J732" s="3644">
        <f ca="1">典型户型修正!T754</f>
        <v>222</v>
      </c>
    </row>
    <row r="733" spans="1:10" s="3633" customFormat="1">
      <c r="A733" s="3629">
        <v>729</v>
      </c>
      <c r="B733" s="3629" t="s">
        <v>9540</v>
      </c>
      <c r="C733" s="3629">
        <v>30</v>
      </c>
      <c r="D733" s="3629" t="s">
        <v>9024</v>
      </c>
      <c r="E733" s="3629" t="s">
        <v>8073</v>
      </c>
      <c r="F733" s="3629" t="s">
        <v>9541</v>
      </c>
      <c r="G733" s="3643">
        <v>136.94999999999999</v>
      </c>
      <c r="H733" s="3649">
        <v>15100</v>
      </c>
      <c r="I733" s="3649">
        <f t="shared" si="11"/>
        <v>207</v>
      </c>
      <c r="J733" s="3644">
        <f ca="1">典型户型修正!T755</f>
        <v>222</v>
      </c>
    </row>
    <row r="734" spans="1:10" s="3633" customFormat="1">
      <c r="A734" s="3629">
        <v>730</v>
      </c>
      <c r="B734" s="3629" t="s">
        <v>9542</v>
      </c>
      <c r="C734" s="3629">
        <v>30</v>
      </c>
      <c r="D734" s="3629" t="s">
        <v>9024</v>
      </c>
      <c r="E734" s="3629" t="s">
        <v>8073</v>
      </c>
      <c r="F734" s="3629" t="s">
        <v>9543</v>
      </c>
      <c r="G734" s="3643">
        <v>136.94999999999999</v>
      </c>
      <c r="H734" s="3649">
        <v>14900</v>
      </c>
      <c r="I734" s="3649">
        <f t="shared" si="11"/>
        <v>204</v>
      </c>
      <c r="J734" s="3644">
        <f ca="1">典型户型修正!T756</f>
        <v>222</v>
      </c>
    </row>
    <row r="735" spans="1:10" s="3633" customFormat="1">
      <c r="A735" s="3629">
        <v>731</v>
      </c>
      <c r="B735" s="3629" t="s">
        <v>9544</v>
      </c>
      <c r="C735" s="3629">
        <v>30</v>
      </c>
      <c r="D735" s="3629" t="s">
        <v>8072</v>
      </c>
      <c r="E735" s="3629" t="s">
        <v>8073</v>
      </c>
      <c r="F735" s="3629" t="s">
        <v>9545</v>
      </c>
      <c r="G735" s="3643">
        <v>68.84</v>
      </c>
      <c r="H735" s="3649">
        <v>12500</v>
      </c>
      <c r="I735" s="3649">
        <f t="shared" si="11"/>
        <v>86</v>
      </c>
      <c r="J735" s="3644">
        <f ca="1">典型户型修正!T757</f>
        <v>111</v>
      </c>
    </row>
    <row r="736" spans="1:10" s="3633" customFormat="1">
      <c r="A736" s="3629">
        <v>732</v>
      </c>
      <c r="B736" s="3629" t="s">
        <v>9546</v>
      </c>
      <c r="C736" s="3629">
        <v>30</v>
      </c>
      <c r="D736" s="3629" t="s">
        <v>8072</v>
      </c>
      <c r="E736" s="3629" t="s">
        <v>8073</v>
      </c>
      <c r="F736" s="3629" t="s">
        <v>9547</v>
      </c>
      <c r="G736" s="3629">
        <v>88.31</v>
      </c>
      <c r="H736" s="3649">
        <v>11250</v>
      </c>
      <c r="I736" s="3649">
        <f t="shared" si="11"/>
        <v>99</v>
      </c>
      <c r="J736" s="3644">
        <f ca="1">典型户型修正!T758</f>
        <v>141</v>
      </c>
    </row>
    <row r="737" spans="1:10" s="3633" customFormat="1">
      <c r="A737" s="3629">
        <v>733</v>
      </c>
      <c r="B737" s="3629" t="s">
        <v>9548</v>
      </c>
      <c r="C737" s="3629">
        <v>30</v>
      </c>
      <c r="D737" s="3629" t="s">
        <v>8072</v>
      </c>
      <c r="E737" s="3629" t="s">
        <v>8073</v>
      </c>
      <c r="F737" s="3629" t="s">
        <v>9549</v>
      </c>
      <c r="G737" s="3629">
        <v>88.31</v>
      </c>
      <c r="H737" s="3649">
        <v>11450</v>
      </c>
      <c r="I737" s="3649">
        <f t="shared" si="11"/>
        <v>101</v>
      </c>
      <c r="J737" s="3644">
        <f ca="1">典型户型修正!T759</f>
        <v>141</v>
      </c>
    </row>
    <row r="738" spans="1:10" s="3633" customFormat="1">
      <c r="A738" s="3629">
        <v>734</v>
      </c>
      <c r="B738" s="3629" t="s">
        <v>9550</v>
      </c>
      <c r="C738" s="3629">
        <v>30</v>
      </c>
      <c r="D738" s="3629" t="s">
        <v>8072</v>
      </c>
      <c r="E738" s="3629" t="s">
        <v>8073</v>
      </c>
      <c r="F738" s="3629" t="s">
        <v>9551</v>
      </c>
      <c r="G738" s="3629">
        <v>88.31</v>
      </c>
      <c r="H738" s="3649">
        <v>11900</v>
      </c>
      <c r="I738" s="3649">
        <f t="shared" si="11"/>
        <v>105</v>
      </c>
      <c r="J738" s="3644">
        <f ca="1">典型户型修正!T760</f>
        <v>141</v>
      </c>
    </row>
    <row r="739" spans="1:10" s="3633" customFormat="1">
      <c r="A739" s="3629">
        <v>735</v>
      </c>
      <c r="B739" s="3629" t="s">
        <v>9552</v>
      </c>
      <c r="C739" s="3629">
        <v>30</v>
      </c>
      <c r="D739" s="3629" t="s">
        <v>8072</v>
      </c>
      <c r="E739" s="3629" t="s">
        <v>8073</v>
      </c>
      <c r="F739" s="3629" t="s">
        <v>9553</v>
      </c>
      <c r="G739" s="3629">
        <v>88.31</v>
      </c>
      <c r="H739" s="3649">
        <v>12250</v>
      </c>
      <c r="I739" s="3649">
        <f t="shared" si="11"/>
        <v>108</v>
      </c>
      <c r="J739" s="3644">
        <f ca="1">典型户型修正!T761</f>
        <v>141</v>
      </c>
    </row>
    <row r="740" spans="1:10" s="3633" customFormat="1">
      <c r="A740" s="3629">
        <v>736</v>
      </c>
      <c r="B740" s="3629" t="s">
        <v>9554</v>
      </c>
      <c r="C740" s="3629">
        <v>30</v>
      </c>
      <c r="D740" s="3629" t="s">
        <v>8072</v>
      </c>
      <c r="E740" s="3629" t="s">
        <v>8073</v>
      </c>
      <c r="F740" s="3629" t="s">
        <v>9555</v>
      </c>
      <c r="G740" s="3629">
        <v>88.31</v>
      </c>
      <c r="H740" s="3649">
        <v>12300</v>
      </c>
      <c r="I740" s="3649">
        <f t="shared" si="11"/>
        <v>109</v>
      </c>
      <c r="J740" s="3644">
        <f ca="1">典型户型修正!T762</f>
        <v>141</v>
      </c>
    </row>
    <row r="741" spans="1:10" s="3633" customFormat="1">
      <c r="A741" s="3629">
        <v>737</v>
      </c>
      <c r="B741" s="3629" t="s">
        <v>9556</v>
      </c>
      <c r="C741" s="3629">
        <v>30</v>
      </c>
      <c r="D741" s="3629" t="s">
        <v>8072</v>
      </c>
      <c r="E741" s="3629" t="s">
        <v>8073</v>
      </c>
      <c r="F741" s="3629" t="s">
        <v>9557</v>
      </c>
      <c r="G741" s="3629">
        <v>88.31</v>
      </c>
      <c r="H741" s="3649">
        <v>12350</v>
      </c>
      <c r="I741" s="3649">
        <f t="shared" si="11"/>
        <v>109</v>
      </c>
      <c r="J741" s="3644">
        <f ca="1">典型户型修正!T763</f>
        <v>141</v>
      </c>
    </row>
    <row r="742" spans="1:10" s="3633" customFormat="1">
      <c r="A742" s="3629">
        <v>738</v>
      </c>
      <c r="B742" s="3629" t="s">
        <v>9558</v>
      </c>
      <c r="C742" s="3629">
        <v>30</v>
      </c>
      <c r="D742" s="3629" t="s">
        <v>8072</v>
      </c>
      <c r="E742" s="3629" t="s">
        <v>8073</v>
      </c>
      <c r="F742" s="3629" t="s">
        <v>9559</v>
      </c>
      <c r="G742" s="3643">
        <v>88.31</v>
      </c>
      <c r="H742" s="3649">
        <v>12400</v>
      </c>
      <c r="I742" s="3649">
        <f t="shared" si="11"/>
        <v>110</v>
      </c>
      <c r="J742" s="3644">
        <f ca="1">典型户型修正!T764</f>
        <v>141</v>
      </c>
    </row>
    <row r="743" spans="1:10" s="3633" customFormat="1">
      <c r="A743" s="3629">
        <v>739</v>
      </c>
      <c r="B743" s="3629" t="s">
        <v>9560</v>
      </c>
      <c r="C743" s="3629">
        <v>30</v>
      </c>
      <c r="D743" s="3629" t="s">
        <v>8072</v>
      </c>
      <c r="E743" s="3629" t="s">
        <v>8073</v>
      </c>
      <c r="F743" s="3629" t="s">
        <v>9561</v>
      </c>
      <c r="G743" s="3643">
        <v>88.31</v>
      </c>
      <c r="H743" s="3649">
        <v>12450</v>
      </c>
      <c r="I743" s="3649">
        <f t="shared" si="11"/>
        <v>110</v>
      </c>
      <c r="J743" s="3644">
        <f ca="1">典型户型修正!T765</f>
        <v>141</v>
      </c>
    </row>
    <row r="744" spans="1:10" s="3633" customFormat="1">
      <c r="A744" s="3629">
        <v>740</v>
      </c>
      <c r="B744" s="3629" t="s">
        <v>9562</v>
      </c>
      <c r="C744" s="3629">
        <v>30</v>
      </c>
      <c r="D744" s="3629" t="s">
        <v>8072</v>
      </c>
      <c r="E744" s="3629" t="s">
        <v>8073</v>
      </c>
      <c r="F744" s="3629" t="s">
        <v>9563</v>
      </c>
      <c r="G744" s="3643">
        <v>88.31</v>
      </c>
      <c r="H744" s="3649">
        <v>12500</v>
      </c>
      <c r="I744" s="3649">
        <f t="shared" si="11"/>
        <v>110</v>
      </c>
      <c r="J744" s="3644">
        <f ca="1">典型户型修正!T766</f>
        <v>141</v>
      </c>
    </row>
    <row r="745" spans="1:10" s="3633" customFormat="1">
      <c r="A745" s="3629">
        <v>741</v>
      </c>
      <c r="B745" s="3629" t="s">
        <v>9564</v>
      </c>
      <c r="C745" s="3629">
        <v>30</v>
      </c>
      <c r="D745" s="3629" t="s">
        <v>8072</v>
      </c>
      <c r="E745" s="3629" t="s">
        <v>8073</v>
      </c>
      <c r="F745" s="3629" t="s">
        <v>9565</v>
      </c>
      <c r="G745" s="3643">
        <v>88.31</v>
      </c>
      <c r="H745" s="3649">
        <v>12550</v>
      </c>
      <c r="I745" s="3649">
        <f t="shared" si="11"/>
        <v>111</v>
      </c>
      <c r="J745" s="3644">
        <f ca="1">典型户型修正!T767</f>
        <v>146</v>
      </c>
    </row>
    <row r="746" spans="1:10" s="3633" customFormat="1">
      <c r="A746" s="3629">
        <v>742</v>
      </c>
      <c r="B746" s="3629" t="s">
        <v>9566</v>
      </c>
      <c r="C746" s="3629">
        <v>30</v>
      </c>
      <c r="D746" s="3629" t="s">
        <v>8072</v>
      </c>
      <c r="E746" s="3629" t="s">
        <v>8073</v>
      </c>
      <c r="F746" s="3629" t="s">
        <v>9567</v>
      </c>
      <c r="G746" s="3643">
        <v>88.31</v>
      </c>
      <c r="H746" s="3649">
        <v>12600</v>
      </c>
      <c r="I746" s="3649">
        <f t="shared" si="11"/>
        <v>111</v>
      </c>
      <c r="J746" s="3644">
        <f ca="1">典型户型修正!T768</f>
        <v>146</v>
      </c>
    </row>
    <row r="747" spans="1:10" s="3633" customFormat="1">
      <c r="A747" s="3629">
        <v>743</v>
      </c>
      <c r="B747" s="3629" t="s">
        <v>9568</v>
      </c>
      <c r="C747" s="3629">
        <v>30</v>
      </c>
      <c r="D747" s="3629" t="s">
        <v>8072</v>
      </c>
      <c r="E747" s="3629" t="s">
        <v>8073</v>
      </c>
      <c r="F747" s="3629" t="s">
        <v>9569</v>
      </c>
      <c r="G747" s="3643">
        <v>88.31</v>
      </c>
      <c r="H747" s="3649">
        <v>12600</v>
      </c>
      <c r="I747" s="3649">
        <f t="shared" si="11"/>
        <v>111</v>
      </c>
      <c r="J747" s="3644">
        <f ca="1">典型户型修正!T769</f>
        <v>146</v>
      </c>
    </row>
    <row r="748" spans="1:10" s="3633" customFormat="1">
      <c r="A748" s="3629">
        <v>744</v>
      </c>
      <c r="B748" s="3629" t="s">
        <v>9570</v>
      </c>
      <c r="C748" s="3629">
        <v>30</v>
      </c>
      <c r="D748" s="3629" t="s">
        <v>8072</v>
      </c>
      <c r="E748" s="3629" t="s">
        <v>8073</v>
      </c>
      <c r="F748" s="3629" t="s">
        <v>9571</v>
      </c>
      <c r="G748" s="3643">
        <v>88.31</v>
      </c>
      <c r="H748" s="3649">
        <v>12600</v>
      </c>
      <c r="I748" s="3649">
        <f t="shared" si="11"/>
        <v>111</v>
      </c>
      <c r="J748" s="3644">
        <f ca="1">典型户型修正!T770</f>
        <v>146</v>
      </c>
    </row>
    <row r="749" spans="1:10" s="3633" customFormat="1">
      <c r="A749" s="3629">
        <v>745</v>
      </c>
      <c r="B749" s="3629" t="s">
        <v>9572</v>
      </c>
      <c r="C749" s="3629">
        <v>30</v>
      </c>
      <c r="D749" s="3629" t="s">
        <v>8072</v>
      </c>
      <c r="E749" s="3629" t="s">
        <v>8073</v>
      </c>
      <c r="F749" s="3629" t="s">
        <v>9573</v>
      </c>
      <c r="G749" s="3643">
        <v>88.31</v>
      </c>
      <c r="H749" s="3649">
        <v>12630</v>
      </c>
      <c r="I749" s="3649">
        <f t="shared" si="11"/>
        <v>112</v>
      </c>
      <c r="J749" s="3644">
        <f ca="1">典型户型修正!T771</f>
        <v>146</v>
      </c>
    </row>
    <row r="750" spans="1:10" s="3633" customFormat="1">
      <c r="A750" s="3629">
        <v>746</v>
      </c>
      <c r="B750" s="3629" t="s">
        <v>9574</v>
      </c>
      <c r="C750" s="3629">
        <v>30</v>
      </c>
      <c r="D750" s="3629" t="s">
        <v>8072</v>
      </c>
      <c r="E750" s="3629" t="s">
        <v>8073</v>
      </c>
      <c r="F750" s="3629" t="s">
        <v>9575</v>
      </c>
      <c r="G750" s="3643">
        <v>88.31</v>
      </c>
      <c r="H750" s="3649">
        <v>12630</v>
      </c>
      <c r="I750" s="3649">
        <f t="shared" si="11"/>
        <v>112</v>
      </c>
      <c r="J750" s="3644">
        <f ca="1">典型户型修正!T772</f>
        <v>146</v>
      </c>
    </row>
    <row r="751" spans="1:10" s="3633" customFormat="1">
      <c r="A751" s="3629">
        <v>747</v>
      </c>
      <c r="B751" s="3629" t="s">
        <v>9576</v>
      </c>
      <c r="C751" s="3629">
        <v>30</v>
      </c>
      <c r="D751" s="3629" t="s">
        <v>8072</v>
      </c>
      <c r="E751" s="3629" t="s">
        <v>8073</v>
      </c>
      <c r="F751" s="3629" t="s">
        <v>9577</v>
      </c>
      <c r="G751" s="3643">
        <v>88.31</v>
      </c>
      <c r="H751" s="3649">
        <v>12660</v>
      </c>
      <c r="I751" s="3649">
        <f t="shared" si="11"/>
        <v>112</v>
      </c>
      <c r="J751" s="3644">
        <f ca="1">典型户型修正!T773</f>
        <v>146</v>
      </c>
    </row>
    <row r="752" spans="1:10" s="3633" customFormat="1">
      <c r="A752" s="3629">
        <v>748</v>
      </c>
      <c r="B752" s="3629" t="s">
        <v>9578</v>
      </c>
      <c r="C752" s="3629">
        <v>30</v>
      </c>
      <c r="D752" s="3629" t="s">
        <v>8072</v>
      </c>
      <c r="E752" s="3629" t="s">
        <v>8073</v>
      </c>
      <c r="F752" s="3629" t="s">
        <v>9579</v>
      </c>
      <c r="G752" s="3643">
        <v>88.31</v>
      </c>
      <c r="H752" s="3649">
        <v>12660</v>
      </c>
      <c r="I752" s="3649">
        <f t="shared" si="11"/>
        <v>112</v>
      </c>
      <c r="J752" s="3644">
        <f ca="1">典型户型修正!T774</f>
        <v>146</v>
      </c>
    </row>
    <row r="753" spans="1:10" s="3633" customFormat="1">
      <c r="A753" s="3629">
        <v>749</v>
      </c>
      <c r="B753" s="3629" t="s">
        <v>9580</v>
      </c>
      <c r="C753" s="3629">
        <v>30</v>
      </c>
      <c r="D753" s="3629" t="s">
        <v>8072</v>
      </c>
      <c r="E753" s="3629" t="s">
        <v>8073</v>
      </c>
      <c r="F753" s="3629" t="s">
        <v>9581</v>
      </c>
      <c r="G753" s="3643">
        <v>88.31</v>
      </c>
      <c r="H753" s="3649">
        <v>12660</v>
      </c>
      <c r="I753" s="3649">
        <f t="shared" si="11"/>
        <v>112</v>
      </c>
      <c r="J753" s="3644">
        <f ca="1">典型户型修正!T775</f>
        <v>146</v>
      </c>
    </row>
    <row r="754" spans="1:10" s="3633" customFormat="1">
      <c r="A754" s="3629">
        <v>750</v>
      </c>
      <c r="B754" s="3629" t="s">
        <v>9582</v>
      </c>
      <c r="C754" s="3629">
        <v>30</v>
      </c>
      <c r="D754" s="3629" t="s">
        <v>8072</v>
      </c>
      <c r="E754" s="3629" t="s">
        <v>8073</v>
      </c>
      <c r="F754" s="3629" t="s">
        <v>9583</v>
      </c>
      <c r="G754" s="3643">
        <v>88.31</v>
      </c>
      <c r="H754" s="3649">
        <v>12660</v>
      </c>
      <c r="I754" s="3649">
        <f t="shared" si="11"/>
        <v>112</v>
      </c>
      <c r="J754" s="3644">
        <f ca="1">典型户型修正!T776</f>
        <v>146</v>
      </c>
    </row>
    <row r="755" spans="1:10" s="3633" customFormat="1">
      <c r="A755" s="3629">
        <v>751</v>
      </c>
      <c r="B755" s="3629" t="s">
        <v>9584</v>
      </c>
      <c r="C755" s="3629">
        <v>30</v>
      </c>
      <c r="D755" s="3629" t="s">
        <v>8072</v>
      </c>
      <c r="E755" s="3629" t="s">
        <v>8073</v>
      </c>
      <c r="F755" s="3629" t="s">
        <v>9585</v>
      </c>
      <c r="G755" s="3643">
        <v>88.31</v>
      </c>
      <c r="H755" s="3649">
        <v>12690</v>
      </c>
      <c r="I755" s="3649">
        <f t="shared" si="11"/>
        <v>112</v>
      </c>
      <c r="J755" s="3644">
        <f ca="1">典型户型修正!T777</f>
        <v>144</v>
      </c>
    </row>
    <row r="756" spans="1:10" s="3633" customFormat="1">
      <c r="A756" s="3629">
        <v>752</v>
      </c>
      <c r="B756" s="3629" t="s">
        <v>9586</v>
      </c>
      <c r="C756" s="3629">
        <v>30</v>
      </c>
      <c r="D756" s="3629" t="s">
        <v>8072</v>
      </c>
      <c r="E756" s="3629" t="s">
        <v>8073</v>
      </c>
      <c r="F756" s="3629" t="s">
        <v>9587</v>
      </c>
      <c r="G756" s="3643">
        <v>88.31</v>
      </c>
      <c r="H756" s="3649">
        <v>12690</v>
      </c>
      <c r="I756" s="3649">
        <f t="shared" si="11"/>
        <v>112</v>
      </c>
      <c r="J756" s="3644">
        <f ca="1">典型户型修正!T778</f>
        <v>144</v>
      </c>
    </row>
    <row r="757" spans="1:10" s="3633" customFormat="1">
      <c r="A757" s="3629">
        <v>753</v>
      </c>
      <c r="B757" s="3629" t="s">
        <v>9588</v>
      </c>
      <c r="C757" s="3629">
        <v>30</v>
      </c>
      <c r="D757" s="3629" t="s">
        <v>8072</v>
      </c>
      <c r="E757" s="3629" t="s">
        <v>8073</v>
      </c>
      <c r="F757" s="3629" t="s">
        <v>9589</v>
      </c>
      <c r="G757" s="3643">
        <v>88.31</v>
      </c>
      <c r="H757" s="3649">
        <v>12660</v>
      </c>
      <c r="I757" s="3649">
        <f t="shared" si="11"/>
        <v>112</v>
      </c>
      <c r="J757" s="3644">
        <f ca="1">典型户型修正!T779</f>
        <v>144</v>
      </c>
    </row>
    <row r="758" spans="1:10" s="3633" customFormat="1">
      <c r="A758" s="3629">
        <v>754</v>
      </c>
      <c r="B758" s="3629" t="s">
        <v>9590</v>
      </c>
      <c r="C758" s="3629">
        <v>30</v>
      </c>
      <c r="D758" s="3629" t="s">
        <v>8072</v>
      </c>
      <c r="E758" s="3629" t="s">
        <v>8073</v>
      </c>
      <c r="F758" s="3629" t="s">
        <v>9591</v>
      </c>
      <c r="G758" s="3643">
        <v>88.31</v>
      </c>
      <c r="H758" s="3649">
        <v>12660</v>
      </c>
      <c r="I758" s="3649">
        <f t="shared" si="11"/>
        <v>112</v>
      </c>
      <c r="J758" s="3644">
        <f ca="1">典型户型修正!T780</f>
        <v>144</v>
      </c>
    </row>
    <row r="759" spans="1:10" s="3633" customFormat="1">
      <c r="A759" s="3629">
        <v>755</v>
      </c>
      <c r="B759" s="3629" t="s">
        <v>9592</v>
      </c>
      <c r="C759" s="3629">
        <v>30</v>
      </c>
      <c r="D759" s="3629" t="s">
        <v>8072</v>
      </c>
      <c r="E759" s="3629" t="s">
        <v>8073</v>
      </c>
      <c r="F759" s="3629" t="s">
        <v>9593</v>
      </c>
      <c r="G759" s="3643">
        <v>88.31</v>
      </c>
      <c r="H759" s="3649">
        <v>12660</v>
      </c>
      <c r="I759" s="3649">
        <f t="shared" si="11"/>
        <v>112</v>
      </c>
      <c r="J759" s="3644">
        <f ca="1">典型户型修正!T781</f>
        <v>144</v>
      </c>
    </row>
    <row r="760" spans="1:10" s="3633" customFormat="1">
      <c r="A760" s="3629">
        <v>756</v>
      </c>
      <c r="B760" s="3629" t="s">
        <v>9594</v>
      </c>
      <c r="C760" s="3629">
        <v>30</v>
      </c>
      <c r="D760" s="3629" t="s">
        <v>8072</v>
      </c>
      <c r="E760" s="3629" t="s">
        <v>8073</v>
      </c>
      <c r="F760" s="3629" t="s">
        <v>9595</v>
      </c>
      <c r="G760" s="3643">
        <v>88.31</v>
      </c>
      <c r="H760" s="3649">
        <v>12660</v>
      </c>
      <c r="I760" s="3649">
        <f t="shared" si="11"/>
        <v>112</v>
      </c>
      <c r="J760" s="3644">
        <f ca="1">典型户型修正!T782</f>
        <v>144</v>
      </c>
    </row>
    <row r="761" spans="1:10" s="3633" customFormat="1">
      <c r="A761" s="3629">
        <v>757</v>
      </c>
      <c r="B761" s="3629" t="s">
        <v>9596</v>
      </c>
      <c r="C761" s="3629">
        <v>30</v>
      </c>
      <c r="D761" s="3629" t="s">
        <v>8072</v>
      </c>
      <c r="E761" s="3629" t="s">
        <v>8073</v>
      </c>
      <c r="F761" s="3629" t="s">
        <v>9597</v>
      </c>
      <c r="G761" s="3643">
        <v>88.31</v>
      </c>
      <c r="H761" s="3649">
        <v>12660</v>
      </c>
      <c r="I761" s="3649">
        <f t="shared" si="11"/>
        <v>112</v>
      </c>
      <c r="J761" s="3644">
        <f ca="1">典型户型修正!T783</f>
        <v>144</v>
      </c>
    </row>
    <row r="762" spans="1:10" s="3633" customFormat="1">
      <c r="A762" s="3629">
        <v>758</v>
      </c>
      <c r="B762" s="3629" t="s">
        <v>9598</v>
      </c>
      <c r="C762" s="3629">
        <v>30</v>
      </c>
      <c r="D762" s="3629" t="s">
        <v>8072</v>
      </c>
      <c r="E762" s="3629" t="s">
        <v>8073</v>
      </c>
      <c r="F762" s="3629" t="s">
        <v>9599</v>
      </c>
      <c r="G762" s="3643">
        <v>88.31</v>
      </c>
      <c r="H762" s="3649">
        <v>12660</v>
      </c>
      <c r="I762" s="3649">
        <f t="shared" si="11"/>
        <v>112</v>
      </c>
      <c r="J762" s="3644">
        <f ca="1">典型户型修正!T784</f>
        <v>144</v>
      </c>
    </row>
    <row r="763" spans="1:10" s="3633" customFormat="1">
      <c r="A763" s="3629">
        <v>759</v>
      </c>
      <c r="B763" s="3629" t="s">
        <v>9600</v>
      </c>
      <c r="C763" s="3629">
        <v>30</v>
      </c>
      <c r="D763" s="3629" t="s">
        <v>8072</v>
      </c>
      <c r="E763" s="3629" t="s">
        <v>8073</v>
      </c>
      <c r="F763" s="3629" t="s">
        <v>9601</v>
      </c>
      <c r="G763" s="3643">
        <v>88.31</v>
      </c>
      <c r="H763" s="3649">
        <v>12660</v>
      </c>
      <c r="I763" s="3649">
        <f t="shared" si="11"/>
        <v>112</v>
      </c>
      <c r="J763" s="3644">
        <f ca="1">典型户型修正!T785</f>
        <v>144</v>
      </c>
    </row>
    <row r="764" spans="1:10" s="3633" customFormat="1">
      <c r="A764" s="3629">
        <v>760</v>
      </c>
      <c r="B764" s="3629" t="s">
        <v>9602</v>
      </c>
      <c r="C764" s="3629">
        <v>30</v>
      </c>
      <c r="D764" s="3629" t="s">
        <v>8072</v>
      </c>
      <c r="E764" s="3629" t="s">
        <v>8073</v>
      </c>
      <c r="F764" s="3629" t="s">
        <v>9603</v>
      </c>
      <c r="G764" s="3643">
        <v>88.31</v>
      </c>
      <c r="H764" s="3649">
        <v>12160</v>
      </c>
      <c r="I764" s="3649">
        <f t="shared" si="11"/>
        <v>107</v>
      </c>
      <c r="J764" s="3644">
        <f ca="1">典型户型修正!T786</f>
        <v>144</v>
      </c>
    </row>
    <row r="765" spans="1:10" s="3633" customFormat="1">
      <c r="A765" s="3629">
        <v>761</v>
      </c>
      <c r="B765" s="3629" t="s">
        <v>9604</v>
      </c>
      <c r="C765" s="3629">
        <v>30</v>
      </c>
      <c r="D765" s="3629" t="s">
        <v>8072</v>
      </c>
      <c r="E765" s="3629" t="s">
        <v>8073</v>
      </c>
      <c r="F765" s="3629" t="s">
        <v>9605</v>
      </c>
      <c r="G765" s="3643">
        <v>88.18</v>
      </c>
      <c r="H765" s="3649">
        <v>11250</v>
      </c>
      <c r="I765" s="3649">
        <f t="shared" si="11"/>
        <v>99</v>
      </c>
      <c r="J765" s="3644">
        <f ca="1">典型户型修正!T787</f>
        <v>140</v>
      </c>
    </row>
    <row r="766" spans="1:10" s="3633" customFormat="1">
      <c r="A766" s="3629">
        <v>762</v>
      </c>
      <c r="B766" s="3629" t="s">
        <v>9606</v>
      </c>
      <c r="C766" s="3629">
        <v>30</v>
      </c>
      <c r="D766" s="3629" t="s">
        <v>8072</v>
      </c>
      <c r="E766" s="3629" t="s">
        <v>8073</v>
      </c>
      <c r="F766" s="3629" t="s">
        <v>9607</v>
      </c>
      <c r="G766" s="3643">
        <v>88.18</v>
      </c>
      <c r="H766" s="3649">
        <v>11450</v>
      </c>
      <c r="I766" s="3649">
        <f t="shared" si="11"/>
        <v>101</v>
      </c>
      <c r="J766" s="3644">
        <f ca="1">典型户型修正!T788</f>
        <v>140</v>
      </c>
    </row>
    <row r="767" spans="1:10" s="3633" customFormat="1">
      <c r="A767" s="3629">
        <v>763</v>
      </c>
      <c r="B767" s="3629" t="s">
        <v>9608</v>
      </c>
      <c r="C767" s="3629">
        <v>30</v>
      </c>
      <c r="D767" s="3629" t="s">
        <v>8072</v>
      </c>
      <c r="E767" s="3629" t="s">
        <v>8073</v>
      </c>
      <c r="F767" s="3629" t="s">
        <v>9609</v>
      </c>
      <c r="G767" s="3643">
        <v>88.18</v>
      </c>
      <c r="H767" s="3649">
        <v>11900</v>
      </c>
      <c r="I767" s="3649">
        <f t="shared" si="11"/>
        <v>105</v>
      </c>
      <c r="J767" s="3644">
        <f ca="1">典型户型修正!T789</f>
        <v>140</v>
      </c>
    </row>
    <row r="768" spans="1:10" s="3633" customFormat="1">
      <c r="A768" s="3629">
        <v>764</v>
      </c>
      <c r="B768" s="3629" t="s">
        <v>9610</v>
      </c>
      <c r="C768" s="3629">
        <v>30</v>
      </c>
      <c r="D768" s="3629" t="s">
        <v>8072</v>
      </c>
      <c r="E768" s="3629" t="s">
        <v>8073</v>
      </c>
      <c r="F768" s="3629" t="s">
        <v>9611</v>
      </c>
      <c r="G768" s="3643">
        <v>88.18</v>
      </c>
      <c r="H768" s="3649">
        <v>12250</v>
      </c>
      <c r="I768" s="3649">
        <f t="shared" si="11"/>
        <v>108</v>
      </c>
      <c r="J768" s="3644">
        <f ca="1">典型户型修正!T790</f>
        <v>140</v>
      </c>
    </row>
    <row r="769" spans="1:10" s="3633" customFormat="1">
      <c r="A769" s="3629">
        <v>765</v>
      </c>
      <c r="B769" s="3629" t="s">
        <v>9612</v>
      </c>
      <c r="C769" s="3629">
        <v>30</v>
      </c>
      <c r="D769" s="3629" t="s">
        <v>8072</v>
      </c>
      <c r="E769" s="3629" t="s">
        <v>8073</v>
      </c>
      <c r="F769" s="3629" t="s">
        <v>9613</v>
      </c>
      <c r="G769" s="3643">
        <v>88.18</v>
      </c>
      <c r="H769" s="3649">
        <v>12300</v>
      </c>
      <c r="I769" s="3649">
        <f t="shared" si="11"/>
        <v>108</v>
      </c>
      <c r="J769" s="3644">
        <f ca="1">典型户型修正!T791</f>
        <v>140</v>
      </c>
    </row>
    <row r="770" spans="1:10" s="3633" customFormat="1">
      <c r="A770" s="3629">
        <v>766</v>
      </c>
      <c r="B770" s="3629" t="s">
        <v>9614</v>
      </c>
      <c r="C770" s="3629">
        <v>30</v>
      </c>
      <c r="D770" s="3629" t="s">
        <v>8072</v>
      </c>
      <c r="E770" s="3629" t="s">
        <v>8073</v>
      </c>
      <c r="F770" s="3629" t="s">
        <v>9615</v>
      </c>
      <c r="G770" s="3643">
        <v>88.18</v>
      </c>
      <c r="H770" s="3649">
        <v>12350</v>
      </c>
      <c r="I770" s="3649">
        <f t="shared" si="11"/>
        <v>109</v>
      </c>
      <c r="J770" s="3644">
        <f ca="1">典型户型修正!T792</f>
        <v>140</v>
      </c>
    </row>
    <row r="771" spans="1:10" s="3633" customFormat="1">
      <c r="A771" s="3629">
        <v>767</v>
      </c>
      <c r="B771" s="3629" t="s">
        <v>9616</v>
      </c>
      <c r="C771" s="3629">
        <v>30</v>
      </c>
      <c r="D771" s="3629" t="s">
        <v>8072</v>
      </c>
      <c r="E771" s="3629" t="s">
        <v>8073</v>
      </c>
      <c r="F771" s="3629" t="s">
        <v>9617</v>
      </c>
      <c r="G771" s="3643">
        <v>88.18</v>
      </c>
      <c r="H771" s="3649">
        <v>12400</v>
      </c>
      <c r="I771" s="3649">
        <f t="shared" si="11"/>
        <v>109</v>
      </c>
      <c r="J771" s="3644">
        <f ca="1">典型户型修正!T793</f>
        <v>140</v>
      </c>
    </row>
    <row r="772" spans="1:10" s="3633" customFormat="1">
      <c r="A772" s="3629">
        <v>768</v>
      </c>
      <c r="B772" s="3629" t="s">
        <v>9618</v>
      </c>
      <c r="C772" s="3629">
        <v>30</v>
      </c>
      <c r="D772" s="3629" t="s">
        <v>8072</v>
      </c>
      <c r="E772" s="3629" t="s">
        <v>8073</v>
      </c>
      <c r="F772" s="3629" t="s">
        <v>9619</v>
      </c>
      <c r="G772" s="3643">
        <v>88.18</v>
      </c>
      <c r="H772" s="3649">
        <v>12450</v>
      </c>
      <c r="I772" s="3649">
        <f t="shared" si="11"/>
        <v>110</v>
      </c>
      <c r="J772" s="3644">
        <f ca="1">典型户型修正!T794</f>
        <v>140</v>
      </c>
    </row>
    <row r="773" spans="1:10" s="3633" customFormat="1">
      <c r="A773" s="3629">
        <v>769</v>
      </c>
      <c r="B773" s="3629" t="s">
        <v>9620</v>
      </c>
      <c r="C773" s="3629">
        <v>30</v>
      </c>
      <c r="D773" s="3629" t="s">
        <v>8072</v>
      </c>
      <c r="E773" s="3629" t="s">
        <v>8073</v>
      </c>
      <c r="F773" s="3629" t="s">
        <v>9621</v>
      </c>
      <c r="G773" s="3643">
        <v>88.18</v>
      </c>
      <c r="H773" s="3649">
        <v>12500</v>
      </c>
      <c r="I773" s="3649">
        <f t="shared" si="11"/>
        <v>110</v>
      </c>
      <c r="J773" s="3644">
        <f ca="1">典型户型修正!T795</f>
        <v>140</v>
      </c>
    </row>
    <row r="774" spans="1:10" s="3633" customFormat="1">
      <c r="A774" s="3629">
        <v>770</v>
      </c>
      <c r="B774" s="3629" t="s">
        <v>9622</v>
      </c>
      <c r="C774" s="3629">
        <v>30</v>
      </c>
      <c r="D774" s="3629" t="s">
        <v>8072</v>
      </c>
      <c r="E774" s="3629" t="s">
        <v>8073</v>
      </c>
      <c r="F774" s="3629" t="s">
        <v>9623</v>
      </c>
      <c r="G774" s="3643">
        <v>88.18</v>
      </c>
      <c r="H774" s="3649">
        <v>12550</v>
      </c>
      <c r="I774" s="3649">
        <f t="shared" si="11"/>
        <v>111</v>
      </c>
      <c r="J774" s="3644">
        <f ca="1">典型户型修正!T796</f>
        <v>146</v>
      </c>
    </row>
    <row r="775" spans="1:10" s="3633" customFormat="1">
      <c r="A775" s="3629">
        <v>771</v>
      </c>
      <c r="B775" s="3629" t="s">
        <v>9624</v>
      </c>
      <c r="C775" s="3629">
        <v>30</v>
      </c>
      <c r="D775" s="3629" t="s">
        <v>8072</v>
      </c>
      <c r="E775" s="3629" t="s">
        <v>8073</v>
      </c>
      <c r="F775" s="3629" t="s">
        <v>9625</v>
      </c>
      <c r="G775" s="3643">
        <v>88.18</v>
      </c>
      <c r="H775" s="3649">
        <v>12600</v>
      </c>
      <c r="I775" s="3649">
        <f t="shared" ref="I775:I822" si="12">ROUND(G775*H775/10000,0)</f>
        <v>111</v>
      </c>
      <c r="J775" s="3644">
        <f ca="1">典型户型修正!T797</f>
        <v>146</v>
      </c>
    </row>
    <row r="776" spans="1:10" s="3633" customFormat="1">
      <c r="A776" s="3629">
        <v>772</v>
      </c>
      <c r="B776" s="3629" t="s">
        <v>9626</v>
      </c>
      <c r="C776" s="3629">
        <v>30</v>
      </c>
      <c r="D776" s="3629" t="s">
        <v>8072</v>
      </c>
      <c r="E776" s="3629" t="s">
        <v>8073</v>
      </c>
      <c r="F776" s="3629" t="s">
        <v>9627</v>
      </c>
      <c r="G776" s="3643">
        <v>88.18</v>
      </c>
      <c r="H776" s="3649">
        <v>12600</v>
      </c>
      <c r="I776" s="3649">
        <f t="shared" si="12"/>
        <v>111</v>
      </c>
      <c r="J776" s="3644">
        <f ca="1">典型户型修正!T798</f>
        <v>146</v>
      </c>
    </row>
    <row r="777" spans="1:10" s="3633" customFormat="1">
      <c r="A777" s="3629">
        <v>773</v>
      </c>
      <c r="B777" s="3629" t="s">
        <v>9628</v>
      </c>
      <c r="C777" s="3629">
        <v>30</v>
      </c>
      <c r="D777" s="3629" t="s">
        <v>8072</v>
      </c>
      <c r="E777" s="3629" t="s">
        <v>8073</v>
      </c>
      <c r="F777" s="3629" t="s">
        <v>9629</v>
      </c>
      <c r="G777" s="3643">
        <v>88.18</v>
      </c>
      <c r="H777" s="3649">
        <v>12600</v>
      </c>
      <c r="I777" s="3649">
        <f t="shared" si="12"/>
        <v>111</v>
      </c>
      <c r="J777" s="3644">
        <f ca="1">典型户型修正!T799</f>
        <v>146</v>
      </c>
    </row>
    <row r="778" spans="1:10" s="3633" customFormat="1">
      <c r="A778" s="3629">
        <v>774</v>
      </c>
      <c r="B778" s="3629" t="s">
        <v>9630</v>
      </c>
      <c r="C778" s="3629">
        <v>30</v>
      </c>
      <c r="D778" s="3629" t="s">
        <v>8072</v>
      </c>
      <c r="E778" s="3629" t="s">
        <v>8073</v>
      </c>
      <c r="F778" s="3629" t="s">
        <v>9631</v>
      </c>
      <c r="G778" s="3643">
        <v>88.18</v>
      </c>
      <c r="H778" s="3649">
        <v>12630</v>
      </c>
      <c r="I778" s="3649">
        <f t="shared" si="12"/>
        <v>111</v>
      </c>
      <c r="J778" s="3644">
        <f ca="1">典型户型修正!T800</f>
        <v>146</v>
      </c>
    </row>
    <row r="779" spans="1:10" s="3633" customFormat="1">
      <c r="A779" s="3629">
        <v>775</v>
      </c>
      <c r="B779" s="3629" t="s">
        <v>9632</v>
      </c>
      <c r="C779" s="3629">
        <v>30</v>
      </c>
      <c r="D779" s="3629" t="s">
        <v>8072</v>
      </c>
      <c r="E779" s="3629" t="s">
        <v>8073</v>
      </c>
      <c r="F779" s="3629" t="s">
        <v>9633</v>
      </c>
      <c r="G779" s="3643">
        <v>88.18</v>
      </c>
      <c r="H779" s="3649">
        <v>12630</v>
      </c>
      <c r="I779" s="3649">
        <f t="shared" si="12"/>
        <v>111</v>
      </c>
      <c r="J779" s="3644">
        <f ca="1">典型户型修正!T801</f>
        <v>146</v>
      </c>
    </row>
    <row r="780" spans="1:10" s="3633" customFormat="1">
      <c r="A780" s="3629">
        <v>776</v>
      </c>
      <c r="B780" s="3629" t="s">
        <v>9634</v>
      </c>
      <c r="C780" s="3629">
        <v>30</v>
      </c>
      <c r="D780" s="3629" t="s">
        <v>8072</v>
      </c>
      <c r="E780" s="3629" t="s">
        <v>8073</v>
      </c>
      <c r="F780" s="3629" t="s">
        <v>9635</v>
      </c>
      <c r="G780" s="3643">
        <v>88.18</v>
      </c>
      <c r="H780" s="3649">
        <v>12660</v>
      </c>
      <c r="I780" s="3649">
        <f t="shared" si="12"/>
        <v>112</v>
      </c>
      <c r="J780" s="3644">
        <f ca="1">典型户型修正!T802</f>
        <v>146</v>
      </c>
    </row>
    <row r="781" spans="1:10" s="3633" customFormat="1">
      <c r="A781" s="3629">
        <v>777</v>
      </c>
      <c r="B781" s="3629" t="s">
        <v>9636</v>
      </c>
      <c r="C781" s="3629">
        <v>30</v>
      </c>
      <c r="D781" s="3629" t="s">
        <v>8072</v>
      </c>
      <c r="E781" s="3629" t="s">
        <v>8073</v>
      </c>
      <c r="F781" s="3629" t="s">
        <v>9637</v>
      </c>
      <c r="G781" s="3643">
        <v>88.18</v>
      </c>
      <c r="H781" s="3649">
        <v>12660</v>
      </c>
      <c r="I781" s="3649">
        <f t="shared" si="12"/>
        <v>112</v>
      </c>
      <c r="J781" s="3644">
        <f ca="1">典型户型修正!T803</f>
        <v>146</v>
      </c>
    </row>
    <row r="782" spans="1:10" s="3633" customFormat="1">
      <c r="A782" s="3629">
        <v>778</v>
      </c>
      <c r="B782" s="3629" t="s">
        <v>9638</v>
      </c>
      <c r="C782" s="3629">
        <v>30</v>
      </c>
      <c r="D782" s="3629" t="s">
        <v>8072</v>
      </c>
      <c r="E782" s="3629" t="s">
        <v>8073</v>
      </c>
      <c r="F782" s="3629" t="s">
        <v>9639</v>
      </c>
      <c r="G782" s="3643">
        <v>88.18</v>
      </c>
      <c r="H782" s="3649">
        <v>12660</v>
      </c>
      <c r="I782" s="3649">
        <f t="shared" si="12"/>
        <v>112</v>
      </c>
      <c r="J782" s="3644">
        <f ca="1">典型户型修正!T804</f>
        <v>146</v>
      </c>
    </row>
    <row r="783" spans="1:10" s="3633" customFormat="1">
      <c r="A783" s="3629">
        <v>779</v>
      </c>
      <c r="B783" s="3629" t="s">
        <v>9640</v>
      </c>
      <c r="C783" s="3629">
        <v>30</v>
      </c>
      <c r="D783" s="3629" t="s">
        <v>8072</v>
      </c>
      <c r="E783" s="3629" t="s">
        <v>8073</v>
      </c>
      <c r="F783" s="3629" t="s">
        <v>9641</v>
      </c>
      <c r="G783" s="3643">
        <v>88.18</v>
      </c>
      <c r="H783" s="3649">
        <v>12660</v>
      </c>
      <c r="I783" s="3649">
        <f t="shared" si="12"/>
        <v>112</v>
      </c>
      <c r="J783" s="3644">
        <f ca="1">典型户型修正!T805</f>
        <v>146</v>
      </c>
    </row>
    <row r="784" spans="1:10" s="3633" customFormat="1">
      <c r="A784" s="3629">
        <v>780</v>
      </c>
      <c r="B784" s="3629" t="s">
        <v>9642</v>
      </c>
      <c r="C784" s="3629">
        <v>30</v>
      </c>
      <c r="D784" s="3629" t="s">
        <v>8072</v>
      </c>
      <c r="E784" s="3629" t="s">
        <v>8073</v>
      </c>
      <c r="F784" s="3629" t="s">
        <v>9643</v>
      </c>
      <c r="G784" s="3643">
        <v>88.18</v>
      </c>
      <c r="H784" s="3649">
        <v>12690</v>
      </c>
      <c r="I784" s="3649">
        <f t="shared" si="12"/>
        <v>112</v>
      </c>
      <c r="J784" s="3644">
        <f ca="1">典型户型修正!T806</f>
        <v>143</v>
      </c>
    </row>
    <row r="785" spans="1:10" s="3633" customFormat="1">
      <c r="A785" s="3629">
        <v>781</v>
      </c>
      <c r="B785" s="3629" t="s">
        <v>9644</v>
      </c>
      <c r="C785" s="3629">
        <v>30</v>
      </c>
      <c r="D785" s="3629" t="s">
        <v>8072</v>
      </c>
      <c r="E785" s="3629" t="s">
        <v>8073</v>
      </c>
      <c r="F785" s="3629" t="s">
        <v>9645</v>
      </c>
      <c r="G785" s="3643">
        <v>88.18</v>
      </c>
      <c r="H785" s="3649">
        <v>12690</v>
      </c>
      <c r="I785" s="3649">
        <f t="shared" si="12"/>
        <v>112</v>
      </c>
      <c r="J785" s="3644">
        <f ca="1">典型户型修正!T807</f>
        <v>143</v>
      </c>
    </row>
    <row r="786" spans="1:10" s="3633" customFormat="1">
      <c r="A786" s="3629">
        <v>782</v>
      </c>
      <c r="B786" s="3629" t="s">
        <v>9646</v>
      </c>
      <c r="C786" s="3629">
        <v>30</v>
      </c>
      <c r="D786" s="3629" t="s">
        <v>8072</v>
      </c>
      <c r="E786" s="3629" t="s">
        <v>8073</v>
      </c>
      <c r="F786" s="3629" t="s">
        <v>9647</v>
      </c>
      <c r="G786" s="3643">
        <v>88.18</v>
      </c>
      <c r="H786" s="3649">
        <v>12660</v>
      </c>
      <c r="I786" s="3649">
        <f t="shared" si="12"/>
        <v>112</v>
      </c>
      <c r="J786" s="3644">
        <f ca="1">典型户型修正!T808</f>
        <v>143</v>
      </c>
    </row>
    <row r="787" spans="1:10" s="3633" customFormat="1">
      <c r="A787" s="3629">
        <v>783</v>
      </c>
      <c r="B787" s="3629" t="s">
        <v>9648</v>
      </c>
      <c r="C787" s="3629">
        <v>30</v>
      </c>
      <c r="D787" s="3629" t="s">
        <v>8072</v>
      </c>
      <c r="E787" s="3629" t="s">
        <v>8073</v>
      </c>
      <c r="F787" s="3629" t="s">
        <v>9649</v>
      </c>
      <c r="G787" s="3643">
        <v>88.18</v>
      </c>
      <c r="H787" s="3649">
        <v>12660</v>
      </c>
      <c r="I787" s="3649">
        <f t="shared" si="12"/>
        <v>112</v>
      </c>
      <c r="J787" s="3644">
        <f ca="1">典型户型修正!T809</f>
        <v>143</v>
      </c>
    </row>
    <row r="788" spans="1:10" s="3633" customFormat="1">
      <c r="A788" s="3629">
        <v>784</v>
      </c>
      <c r="B788" s="3629" t="s">
        <v>9650</v>
      </c>
      <c r="C788" s="3629">
        <v>30</v>
      </c>
      <c r="D788" s="3629" t="s">
        <v>8072</v>
      </c>
      <c r="E788" s="3629" t="s">
        <v>8073</v>
      </c>
      <c r="F788" s="3629" t="s">
        <v>9651</v>
      </c>
      <c r="G788" s="3643">
        <v>88.18</v>
      </c>
      <c r="H788" s="3649">
        <v>12660</v>
      </c>
      <c r="I788" s="3649">
        <f t="shared" si="12"/>
        <v>112</v>
      </c>
      <c r="J788" s="3644">
        <f ca="1">典型户型修正!T810</f>
        <v>143</v>
      </c>
    </row>
    <row r="789" spans="1:10" s="3633" customFormat="1">
      <c r="A789" s="3629">
        <v>785</v>
      </c>
      <c r="B789" s="3629" t="s">
        <v>9652</v>
      </c>
      <c r="C789" s="3629">
        <v>30</v>
      </c>
      <c r="D789" s="3629" t="s">
        <v>8072</v>
      </c>
      <c r="E789" s="3629" t="s">
        <v>8073</v>
      </c>
      <c r="F789" s="3629" t="s">
        <v>9653</v>
      </c>
      <c r="G789" s="3643">
        <v>88.18</v>
      </c>
      <c r="H789" s="3649">
        <v>12660</v>
      </c>
      <c r="I789" s="3649">
        <f t="shared" si="12"/>
        <v>112</v>
      </c>
      <c r="J789" s="3644">
        <f ca="1">典型户型修正!T811</f>
        <v>143</v>
      </c>
    </row>
    <row r="790" spans="1:10" s="3633" customFormat="1">
      <c r="A790" s="3629">
        <v>786</v>
      </c>
      <c r="B790" s="3629" t="s">
        <v>9654</v>
      </c>
      <c r="C790" s="3629">
        <v>30</v>
      </c>
      <c r="D790" s="3629" t="s">
        <v>8072</v>
      </c>
      <c r="E790" s="3629" t="s">
        <v>8073</v>
      </c>
      <c r="F790" s="3629" t="s">
        <v>9655</v>
      </c>
      <c r="G790" s="3643">
        <v>88.18</v>
      </c>
      <c r="H790" s="3649">
        <v>12660</v>
      </c>
      <c r="I790" s="3649">
        <f t="shared" si="12"/>
        <v>112</v>
      </c>
      <c r="J790" s="3644">
        <f ca="1">典型户型修正!T812</f>
        <v>143</v>
      </c>
    </row>
    <row r="791" spans="1:10" s="3633" customFormat="1">
      <c r="A791" s="3629">
        <v>787</v>
      </c>
      <c r="B791" s="3629" t="s">
        <v>9656</v>
      </c>
      <c r="C791" s="3629">
        <v>30</v>
      </c>
      <c r="D791" s="3629" t="s">
        <v>8072</v>
      </c>
      <c r="E791" s="3629" t="s">
        <v>8073</v>
      </c>
      <c r="F791" s="3629" t="s">
        <v>9657</v>
      </c>
      <c r="G791" s="3643">
        <v>88.18</v>
      </c>
      <c r="H791" s="3649">
        <v>12660</v>
      </c>
      <c r="I791" s="3649">
        <f t="shared" si="12"/>
        <v>112</v>
      </c>
      <c r="J791" s="3644">
        <f ca="1">典型户型修正!T813</f>
        <v>143</v>
      </c>
    </row>
    <row r="792" spans="1:10" s="3633" customFormat="1">
      <c r="A792" s="3629">
        <v>788</v>
      </c>
      <c r="B792" s="3629" t="s">
        <v>9658</v>
      </c>
      <c r="C792" s="3629">
        <v>30</v>
      </c>
      <c r="D792" s="3629" t="s">
        <v>8072</v>
      </c>
      <c r="E792" s="3629" t="s">
        <v>8073</v>
      </c>
      <c r="F792" s="3629" t="s">
        <v>9659</v>
      </c>
      <c r="G792" s="3643">
        <v>88.18</v>
      </c>
      <c r="H792" s="3649">
        <v>12660</v>
      </c>
      <c r="I792" s="3649">
        <f t="shared" si="12"/>
        <v>112</v>
      </c>
      <c r="J792" s="3644">
        <f ca="1">典型户型修正!T814</f>
        <v>143</v>
      </c>
    </row>
    <row r="793" spans="1:10" s="3633" customFormat="1">
      <c r="A793" s="3629">
        <v>789</v>
      </c>
      <c r="B793" s="3629" t="s">
        <v>9660</v>
      </c>
      <c r="C793" s="3629">
        <v>30</v>
      </c>
      <c r="D793" s="3629" t="s">
        <v>8072</v>
      </c>
      <c r="E793" s="3629" t="s">
        <v>8073</v>
      </c>
      <c r="F793" s="3629" t="s">
        <v>9661</v>
      </c>
      <c r="G793" s="3643">
        <v>88.18</v>
      </c>
      <c r="H793" s="3649">
        <v>12160</v>
      </c>
      <c r="I793" s="3649">
        <f t="shared" si="12"/>
        <v>107</v>
      </c>
      <c r="J793" s="3644">
        <f ca="1">典型户型修正!T815</f>
        <v>143</v>
      </c>
    </row>
    <row r="794" spans="1:10" s="3633" customFormat="1">
      <c r="A794" s="3629">
        <v>790</v>
      </c>
      <c r="B794" s="3629" t="s">
        <v>9662</v>
      </c>
      <c r="C794" s="3629">
        <v>30</v>
      </c>
      <c r="D794" s="3629" t="s">
        <v>8072</v>
      </c>
      <c r="E794" s="3629" t="s">
        <v>8087</v>
      </c>
      <c r="F794" s="3629" t="s">
        <v>9663</v>
      </c>
      <c r="G794" s="3643">
        <v>138.16999999999999</v>
      </c>
      <c r="H794" s="3649">
        <v>11050</v>
      </c>
      <c r="I794" s="3649">
        <f t="shared" si="12"/>
        <v>153</v>
      </c>
      <c r="J794" s="3644">
        <f ca="1">典型户型修正!T816</f>
        <v>218</v>
      </c>
    </row>
    <row r="795" spans="1:10" s="3633" customFormat="1">
      <c r="A795" s="3629">
        <v>791</v>
      </c>
      <c r="B795" s="3629" t="s">
        <v>9664</v>
      </c>
      <c r="C795" s="3629">
        <v>30</v>
      </c>
      <c r="D795" s="3629" t="s">
        <v>8072</v>
      </c>
      <c r="E795" s="3629" t="s">
        <v>8087</v>
      </c>
      <c r="F795" s="3629" t="s">
        <v>9665</v>
      </c>
      <c r="G795" s="3643">
        <v>138.16999999999999</v>
      </c>
      <c r="H795" s="3649">
        <v>11250</v>
      </c>
      <c r="I795" s="3649">
        <f t="shared" si="12"/>
        <v>155</v>
      </c>
      <c r="J795" s="3644">
        <f ca="1">典型户型修正!T817</f>
        <v>218</v>
      </c>
    </row>
    <row r="796" spans="1:10" s="3633" customFormat="1">
      <c r="A796" s="3629">
        <v>792</v>
      </c>
      <c r="B796" s="3629" t="s">
        <v>9666</v>
      </c>
      <c r="C796" s="3629">
        <v>30</v>
      </c>
      <c r="D796" s="3629" t="s">
        <v>8072</v>
      </c>
      <c r="E796" s="3629" t="s">
        <v>8087</v>
      </c>
      <c r="F796" s="3629" t="s">
        <v>9667</v>
      </c>
      <c r="G796" s="3643">
        <v>138.16999999999999</v>
      </c>
      <c r="H796" s="3649">
        <v>11700</v>
      </c>
      <c r="I796" s="3649">
        <f t="shared" si="12"/>
        <v>162</v>
      </c>
      <c r="J796" s="3644">
        <f ca="1">典型户型修正!T818</f>
        <v>218</v>
      </c>
    </row>
    <row r="797" spans="1:10" s="3633" customFormat="1">
      <c r="A797" s="3629">
        <v>793</v>
      </c>
      <c r="B797" s="3629" t="s">
        <v>9668</v>
      </c>
      <c r="C797" s="3629">
        <v>30</v>
      </c>
      <c r="D797" s="3629" t="s">
        <v>8072</v>
      </c>
      <c r="E797" s="3629" t="s">
        <v>8087</v>
      </c>
      <c r="F797" s="3629" t="s">
        <v>9669</v>
      </c>
      <c r="G797" s="3643">
        <v>138.16999999999999</v>
      </c>
      <c r="H797" s="3649">
        <v>12050</v>
      </c>
      <c r="I797" s="3649">
        <f t="shared" si="12"/>
        <v>166</v>
      </c>
      <c r="J797" s="3644">
        <f ca="1">典型户型修正!T819</f>
        <v>218</v>
      </c>
    </row>
    <row r="798" spans="1:10" s="3633" customFormat="1">
      <c r="A798" s="3629">
        <v>794</v>
      </c>
      <c r="B798" s="3629" t="s">
        <v>9670</v>
      </c>
      <c r="C798" s="3629">
        <v>30</v>
      </c>
      <c r="D798" s="3629" t="s">
        <v>8072</v>
      </c>
      <c r="E798" s="3629" t="s">
        <v>8087</v>
      </c>
      <c r="F798" s="3629" t="s">
        <v>9671</v>
      </c>
      <c r="G798" s="3643">
        <v>138.16999999999999</v>
      </c>
      <c r="H798" s="3649">
        <v>12100</v>
      </c>
      <c r="I798" s="3649">
        <f t="shared" si="12"/>
        <v>167</v>
      </c>
      <c r="J798" s="3644">
        <f ca="1">典型户型修正!T820</f>
        <v>218</v>
      </c>
    </row>
    <row r="799" spans="1:10" s="3633" customFormat="1">
      <c r="A799" s="3629">
        <v>795</v>
      </c>
      <c r="B799" s="3629" t="s">
        <v>9672</v>
      </c>
      <c r="C799" s="3629">
        <v>30</v>
      </c>
      <c r="D799" s="3629" t="s">
        <v>8072</v>
      </c>
      <c r="E799" s="3629" t="s">
        <v>8087</v>
      </c>
      <c r="F799" s="3629" t="s">
        <v>9673</v>
      </c>
      <c r="G799" s="3643">
        <v>138.16999999999999</v>
      </c>
      <c r="H799" s="3649">
        <v>12150</v>
      </c>
      <c r="I799" s="3649">
        <f t="shared" si="12"/>
        <v>168</v>
      </c>
      <c r="J799" s="3644">
        <f ca="1">典型户型修正!T821</f>
        <v>218</v>
      </c>
    </row>
    <row r="800" spans="1:10" s="3633" customFormat="1">
      <c r="A800" s="3629">
        <v>796</v>
      </c>
      <c r="B800" s="3629" t="s">
        <v>9674</v>
      </c>
      <c r="C800" s="3629">
        <v>30</v>
      </c>
      <c r="D800" s="3629" t="s">
        <v>8072</v>
      </c>
      <c r="E800" s="3629" t="s">
        <v>8087</v>
      </c>
      <c r="F800" s="3629" t="s">
        <v>9675</v>
      </c>
      <c r="G800" s="3643">
        <v>138.16999999999999</v>
      </c>
      <c r="H800" s="3649">
        <v>12200</v>
      </c>
      <c r="I800" s="3649">
        <f t="shared" si="12"/>
        <v>169</v>
      </c>
      <c r="J800" s="3644">
        <f ca="1">典型户型修正!T822</f>
        <v>218</v>
      </c>
    </row>
    <row r="801" spans="1:10" s="3633" customFormat="1">
      <c r="A801" s="3629">
        <v>797</v>
      </c>
      <c r="B801" s="3629" t="s">
        <v>9676</v>
      </c>
      <c r="C801" s="3629">
        <v>30</v>
      </c>
      <c r="D801" s="3629" t="s">
        <v>8072</v>
      </c>
      <c r="E801" s="3629" t="s">
        <v>8087</v>
      </c>
      <c r="F801" s="3629" t="s">
        <v>9677</v>
      </c>
      <c r="G801" s="3643">
        <v>138.16999999999999</v>
      </c>
      <c r="H801" s="3649">
        <v>12250</v>
      </c>
      <c r="I801" s="3649">
        <f t="shared" si="12"/>
        <v>169</v>
      </c>
      <c r="J801" s="3644">
        <f ca="1">典型户型修正!T823</f>
        <v>218</v>
      </c>
    </row>
    <row r="802" spans="1:10" s="3633" customFormat="1">
      <c r="A802" s="3629">
        <v>798</v>
      </c>
      <c r="B802" s="3629" t="s">
        <v>9678</v>
      </c>
      <c r="C802" s="3629">
        <v>30</v>
      </c>
      <c r="D802" s="3629" t="s">
        <v>8072</v>
      </c>
      <c r="E802" s="3629" t="s">
        <v>8087</v>
      </c>
      <c r="F802" s="3629" t="s">
        <v>9679</v>
      </c>
      <c r="G802" s="3643">
        <v>138.16999999999999</v>
      </c>
      <c r="H802" s="3649">
        <v>12300</v>
      </c>
      <c r="I802" s="3649">
        <f t="shared" si="12"/>
        <v>170</v>
      </c>
      <c r="J802" s="3644">
        <f ca="1">典型户型修正!T824</f>
        <v>218</v>
      </c>
    </row>
    <row r="803" spans="1:10" s="3633" customFormat="1">
      <c r="A803" s="3629">
        <v>799</v>
      </c>
      <c r="B803" s="3629" t="s">
        <v>9680</v>
      </c>
      <c r="C803" s="3629">
        <v>30</v>
      </c>
      <c r="D803" s="3629" t="s">
        <v>8072</v>
      </c>
      <c r="E803" s="3629" t="s">
        <v>8087</v>
      </c>
      <c r="F803" s="3629" t="s">
        <v>9681</v>
      </c>
      <c r="G803" s="3643">
        <v>138.16999999999999</v>
      </c>
      <c r="H803" s="3649">
        <v>12350</v>
      </c>
      <c r="I803" s="3649">
        <f t="shared" si="12"/>
        <v>171</v>
      </c>
      <c r="J803" s="3644">
        <f ca="1">典型户型修正!T825</f>
        <v>227</v>
      </c>
    </row>
    <row r="804" spans="1:10" s="3633" customFormat="1">
      <c r="A804" s="3629">
        <v>800</v>
      </c>
      <c r="B804" s="3629" t="s">
        <v>9682</v>
      </c>
      <c r="C804" s="3629">
        <v>30</v>
      </c>
      <c r="D804" s="3629" t="s">
        <v>8072</v>
      </c>
      <c r="E804" s="3629" t="s">
        <v>8087</v>
      </c>
      <c r="F804" s="3629" t="s">
        <v>9683</v>
      </c>
      <c r="G804" s="3643">
        <v>138.16999999999999</v>
      </c>
      <c r="H804" s="3649">
        <v>12400</v>
      </c>
      <c r="I804" s="3649">
        <f t="shared" si="12"/>
        <v>171</v>
      </c>
      <c r="J804" s="3644">
        <f ca="1">典型户型修正!T826</f>
        <v>227</v>
      </c>
    </row>
    <row r="805" spans="1:10" s="3633" customFormat="1">
      <c r="A805" s="3629">
        <v>801</v>
      </c>
      <c r="B805" s="3629" t="s">
        <v>9684</v>
      </c>
      <c r="C805" s="3629">
        <v>30</v>
      </c>
      <c r="D805" s="3629" t="s">
        <v>8072</v>
      </c>
      <c r="E805" s="3629" t="s">
        <v>8087</v>
      </c>
      <c r="F805" s="3629" t="s">
        <v>9685</v>
      </c>
      <c r="G805" s="3643">
        <v>138.16999999999999</v>
      </c>
      <c r="H805" s="3649">
        <v>12400</v>
      </c>
      <c r="I805" s="3649">
        <f t="shared" si="12"/>
        <v>171</v>
      </c>
      <c r="J805" s="3644">
        <f ca="1">典型户型修正!T827</f>
        <v>227</v>
      </c>
    </row>
    <row r="806" spans="1:10" s="3633" customFormat="1">
      <c r="A806" s="3629">
        <v>802</v>
      </c>
      <c r="B806" s="3629" t="s">
        <v>9686</v>
      </c>
      <c r="C806" s="3629">
        <v>30</v>
      </c>
      <c r="D806" s="3629" t="s">
        <v>8072</v>
      </c>
      <c r="E806" s="3629" t="s">
        <v>8087</v>
      </c>
      <c r="F806" s="3629" t="s">
        <v>9687</v>
      </c>
      <c r="G806" s="3643">
        <v>138.16999999999999</v>
      </c>
      <c r="H806" s="3649">
        <v>12400</v>
      </c>
      <c r="I806" s="3649">
        <f t="shared" si="12"/>
        <v>171</v>
      </c>
      <c r="J806" s="3644">
        <f ca="1">典型户型修正!T828</f>
        <v>227</v>
      </c>
    </row>
    <row r="807" spans="1:10" s="3633" customFormat="1">
      <c r="A807" s="3629">
        <v>803</v>
      </c>
      <c r="B807" s="3629" t="s">
        <v>9688</v>
      </c>
      <c r="C807" s="3629">
        <v>30</v>
      </c>
      <c r="D807" s="3629" t="s">
        <v>8072</v>
      </c>
      <c r="E807" s="3629" t="s">
        <v>8087</v>
      </c>
      <c r="F807" s="3629" t="s">
        <v>9689</v>
      </c>
      <c r="G807" s="3643">
        <v>138.16999999999999</v>
      </c>
      <c r="H807" s="3649">
        <v>12430</v>
      </c>
      <c r="I807" s="3649">
        <f t="shared" si="12"/>
        <v>172</v>
      </c>
      <c r="J807" s="3644">
        <f ca="1">典型户型修正!T829</f>
        <v>227</v>
      </c>
    </row>
    <row r="808" spans="1:10" s="3633" customFormat="1">
      <c r="A808" s="3629">
        <v>804</v>
      </c>
      <c r="B808" s="3629" t="s">
        <v>9690</v>
      </c>
      <c r="C808" s="3629">
        <v>30</v>
      </c>
      <c r="D808" s="3629" t="s">
        <v>8072</v>
      </c>
      <c r="E808" s="3629" t="s">
        <v>8087</v>
      </c>
      <c r="F808" s="3629" t="s">
        <v>9691</v>
      </c>
      <c r="G808" s="3643">
        <v>138.16999999999999</v>
      </c>
      <c r="H808" s="3649">
        <v>12430</v>
      </c>
      <c r="I808" s="3649">
        <f t="shared" si="12"/>
        <v>172</v>
      </c>
      <c r="J808" s="3644">
        <f ca="1">典型户型修正!T830</f>
        <v>227</v>
      </c>
    </row>
    <row r="809" spans="1:10" s="3633" customFormat="1">
      <c r="A809" s="3629">
        <v>805</v>
      </c>
      <c r="B809" s="3629" t="s">
        <v>9692</v>
      </c>
      <c r="C809" s="3629">
        <v>30</v>
      </c>
      <c r="D809" s="3629" t="s">
        <v>8072</v>
      </c>
      <c r="E809" s="3629" t="s">
        <v>8087</v>
      </c>
      <c r="F809" s="3629" t="s">
        <v>9693</v>
      </c>
      <c r="G809" s="3643">
        <v>138.16999999999999</v>
      </c>
      <c r="H809" s="3649">
        <v>12460</v>
      </c>
      <c r="I809" s="3649">
        <f t="shared" si="12"/>
        <v>172</v>
      </c>
      <c r="J809" s="3644">
        <f ca="1">典型户型修正!T831</f>
        <v>227</v>
      </c>
    </row>
    <row r="810" spans="1:10" s="3633" customFormat="1">
      <c r="A810" s="3629">
        <v>806</v>
      </c>
      <c r="B810" s="3629" t="s">
        <v>9694</v>
      </c>
      <c r="C810" s="3629">
        <v>30</v>
      </c>
      <c r="D810" s="3629" t="s">
        <v>8072</v>
      </c>
      <c r="E810" s="3629" t="s">
        <v>8087</v>
      </c>
      <c r="F810" s="3629" t="s">
        <v>9695</v>
      </c>
      <c r="G810" s="3643">
        <v>138.16999999999999</v>
      </c>
      <c r="H810" s="3649">
        <v>12460</v>
      </c>
      <c r="I810" s="3649">
        <f t="shared" si="12"/>
        <v>172</v>
      </c>
      <c r="J810" s="3644">
        <f ca="1">典型户型修正!T832</f>
        <v>227</v>
      </c>
    </row>
    <row r="811" spans="1:10" s="3633" customFormat="1">
      <c r="A811" s="3629">
        <v>807</v>
      </c>
      <c r="B811" s="3629" t="s">
        <v>9696</v>
      </c>
      <c r="C811" s="3629">
        <v>30</v>
      </c>
      <c r="D811" s="3629" t="s">
        <v>8072</v>
      </c>
      <c r="E811" s="3629" t="s">
        <v>8087</v>
      </c>
      <c r="F811" s="3629" t="s">
        <v>9697</v>
      </c>
      <c r="G811" s="3643">
        <v>138.16999999999999</v>
      </c>
      <c r="H811" s="3649">
        <v>12460</v>
      </c>
      <c r="I811" s="3649">
        <f t="shared" si="12"/>
        <v>172</v>
      </c>
      <c r="J811" s="3644">
        <f ca="1">典型户型修正!T833</f>
        <v>227</v>
      </c>
    </row>
    <row r="812" spans="1:10" s="3633" customFormat="1">
      <c r="A812" s="3629">
        <v>808</v>
      </c>
      <c r="B812" s="3629" t="s">
        <v>9698</v>
      </c>
      <c r="C812" s="3629">
        <v>30</v>
      </c>
      <c r="D812" s="3629" t="s">
        <v>8072</v>
      </c>
      <c r="E812" s="3629" t="s">
        <v>8087</v>
      </c>
      <c r="F812" s="3629" t="s">
        <v>9699</v>
      </c>
      <c r="G812" s="3643">
        <v>138.16999999999999</v>
      </c>
      <c r="H812" s="3649">
        <v>12460</v>
      </c>
      <c r="I812" s="3649">
        <f t="shared" si="12"/>
        <v>172</v>
      </c>
      <c r="J812" s="3644">
        <f ca="1">典型户型修正!T834</f>
        <v>227</v>
      </c>
    </row>
    <row r="813" spans="1:10" s="3633" customFormat="1">
      <c r="A813" s="3629">
        <v>809</v>
      </c>
      <c r="B813" s="3629" t="s">
        <v>9700</v>
      </c>
      <c r="C813" s="3629">
        <v>30</v>
      </c>
      <c r="D813" s="3629" t="s">
        <v>8072</v>
      </c>
      <c r="E813" s="3629" t="s">
        <v>8087</v>
      </c>
      <c r="F813" s="3629" t="s">
        <v>9701</v>
      </c>
      <c r="G813" s="3643">
        <v>138.16999999999999</v>
      </c>
      <c r="H813" s="3649">
        <v>12490</v>
      </c>
      <c r="I813" s="3649">
        <f t="shared" si="12"/>
        <v>173</v>
      </c>
      <c r="J813" s="3644">
        <f ca="1">典型户型修正!T835</f>
        <v>222</v>
      </c>
    </row>
    <row r="814" spans="1:10" s="3633" customFormat="1">
      <c r="A814" s="3629">
        <v>810</v>
      </c>
      <c r="B814" s="3629" t="s">
        <v>9702</v>
      </c>
      <c r="C814" s="3629">
        <v>30</v>
      </c>
      <c r="D814" s="3629" t="s">
        <v>8072</v>
      </c>
      <c r="E814" s="3629" t="s">
        <v>8087</v>
      </c>
      <c r="F814" s="3629" t="s">
        <v>9703</v>
      </c>
      <c r="G814" s="3643">
        <v>138.16999999999999</v>
      </c>
      <c r="H814" s="3649">
        <v>12490</v>
      </c>
      <c r="I814" s="3649">
        <f t="shared" si="12"/>
        <v>173</v>
      </c>
      <c r="J814" s="3644">
        <f ca="1">典型户型修正!T836</f>
        <v>222</v>
      </c>
    </row>
    <row r="815" spans="1:10" s="3633" customFormat="1">
      <c r="A815" s="3629">
        <v>811</v>
      </c>
      <c r="B815" s="3629" t="s">
        <v>9704</v>
      </c>
      <c r="C815" s="3629">
        <v>30</v>
      </c>
      <c r="D815" s="3629" t="s">
        <v>8072</v>
      </c>
      <c r="E815" s="3629" t="s">
        <v>8087</v>
      </c>
      <c r="F815" s="3629" t="s">
        <v>9705</v>
      </c>
      <c r="G815" s="3643">
        <v>138.16999999999999</v>
      </c>
      <c r="H815" s="3649">
        <v>12460</v>
      </c>
      <c r="I815" s="3649">
        <f t="shared" si="12"/>
        <v>172</v>
      </c>
      <c r="J815" s="3644">
        <f ca="1">典型户型修正!T837</f>
        <v>222</v>
      </c>
    </row>
    <row r="816" spans="1:10" s="3633" customFormat="1">
      <c r="A816" s="3629">
        <v>812</v>
      </c>
      <c r="B816" s="3629" t="s">
        <v>9706</v>
      </c>
      <c r="C816" s="3629">
        <v>30</v>
      </c>
      <c r="D816" s="3629" t="s">
        <v>8072</v>
      </c>
      <c r="E816" s="3629" t="s">
        <v>8087</v>
      </c>
      <c r="F816" s="3629" t="s">
        <v>9707</v>
      </c>
      <c r="G816" s="3643">
        <v>138.16999999999999</v>
      </c>
      <c r="H816" s="3649">
        <v>12460</v>
      </c>
      <c r="I816" s="3649">
        <f t="shared" si="12"/>
        <v>172</v>
      </c>
      <c r="J816" s="3644">
        <f ca="1">典型户型修正!T838</f>
        <v>222</v>
      </c>
    </row>
    <row r="817" spans="1:10" s="3633" customFormat="1">
      <c r="A817" s="3629">
        <v>813</v>
      </c>
      <c r="B817" s="3629" t="s">
        <v>9708</v>
      </c>
      <c r="C817" s="3629">
        <v>30</v>
      </c>
      <c r="D817" s="3629" t="s">
        <v>8072</v>
      </c>
      <c r="E817" s="3629" t="s">
        <v>8087</v>
      </c>
      <c r="F817" s="3629" t="s">
        <v>9709</v>
      </c>
      <c r="G817" s="3643">
        <v>138.16999999999999</v>
      </c>
      <c r="H817" s="3649">
        <v>12460</v>
      </c>
      <c r="I817" s="3649">
        <f t="shared" si="12"/>
        <v>172</v>
      </c>
      <c r="J817" s="3644">
        <f ca="1">典型户型修正!T839</f>
        <v>222</v>
      </c>
    </row>
    <row r="818" spans="1:10" s="3633" customFormat="1">
      <c r="A818" s="3629">
        <v>814</v>
      </c>
      <c r="B818" s="3629" t="s">
        <v>9710</v>
      </c>
      <c r="C818" s="3629">
        <v>30</v>
      </c>
      <c r="D818" s="3629" t="s">
        <v>8072</v>
      </c>
      <c r="E818" s="3629" t="s">
        <v>8087</v>
      </c>
      <c r="F818" s="3629" t="s">
        <v>9711</v>
      </c>
      <c r="G818" s="3643">
        <v>138.16999999999999</v>
      </c>
      <c r="H818" s="3649">
        <v>12460</v>
      </c>
      <c r="I818" s="3649">
        <f t="shared" si="12"/>
        <v>172</v>
      </c>
      <c r="J818" s="3644">
        <f ca="1">典型户型修正!T840</f>
        <v>222</v>
      </c>
    </row>
    <row r="819" spans="1:10" s="3633" customFormat="1">
      <c r="A819" s="3629">
        <v>815</v>
      </c>
      <c r="B819" s="3629" t="s">
        <v>9712</v>
      </c>
      <c r="C819" s="3629">
        <v>30</v>
      </c>
      <c r="D819" s="3629" t="s">
        <v>8072</v>
      </c>
      <c r="E819" s="3629" t="s">
        <v>8087</v>
      </c>
      <c r="F819" s="3629" t="s">
        <v>9713</v>
      </c>
      <c r="G819" s="3643">
        <v>138.16999999999999</v>
      </c>
      <c r="H819" s="3649">
        <v>12460</v>
      </c>
      <c r="I819" s="3649">
        <f t="shared" si="12"/>
        <v>172</v>
      </c>
      <c r="J819" s="3644">
        <f ca="1">典型户型修正!T841</f>
        <v>222</v>
      </c>
    </row>
    <row r="820" spans="1:10" s="3633" customFormat="1">
      <c r="A820" s="3629">
        <v>816</v>
      </c>
      <c r="B820" s="3629" t="s">
        <v>9714</v>
      </c>
      <c r="C820" s="3629">
        <v>30</v>
      </c>
      <c r="D820" s="3629" t="s">
        <v>8072</v>
      </c>
      <c r="E820" s="3629" t="s">
        <v>8087</v>
      </c>
      <c r="F820" s="3629" t="s">
        <v>9715</v>
      </c>
      <c r="G820" s="3643">
        <v>138.16999999999999</v>
      </c>
      <c r="H820" s="3649">
        <v>12460</v>
      </c>
      <c r="I820" s="3649">
        <f t="shared" si="12"/>
        <v>172</v>
      </c>
      <c r="J820" s="3644">
        <f ca="1">典型户型修正!T842</f>
        <v>222</v>
      </c>
    </row>
    <row r="821" spans="1:10" s="3633" customFormat="1">
      <c r="A821" s="3629">
        <v>817</v>
      </c>
      <c r="B821" s="3629" t="s">
        <v>9716</v>
      </c>
      <c r="C821" s="3629">
        <v>30</v>
      </c>
      <c r="D821" s="3629" t="s">
        <v>8072</v>
      </c>
      <c r="E821" s="3629" t="s">
        <v>8087</v>
      </c>
      <c r="F821" s="3629" t="s">
        <v>9717</v>
      </c>
      <c r="G821" s="3643">
        <v>138.16999999999999</v>
      </c>
      <c r="H821" s="3649">
        <v>12460</v>
      </c>
      <c r="I821" s="3649">
        <f t="shared" si="12"/>
        <v>172</v>
      </c>
      <c r="J821" s="3644">
        <f ca="1">典型户型修正!T843</f>
        <v>222</v>
      </c>
    </row>
    <row r="822" spans="1:10" s="3633" customFormat="1">
      <c r="A822" s="3629">
        <v>818</v>
      </c>
      <c r="B822" s="3629" t="s">
        <v>9718</v>
      </c>
      <c r="C822" s="3629">
        <v>30</v>
      </c>
      <c r="D822" s="3629" t="s">
        <v>8072</v>
      </c>
      <c r="E822" s="3629" t="s">
        <v>8087</v>
      </c>
      <c r="F822" s="3629" t="s">
        <v>9719</v>
      </c>
      <c r="G822" s="3643">
        <v>123.9</v>
      </c>
      <c r="H822" s="3649">
        <v>11960</v>
      </c>
      <c r="I822" s="3649">
        <f t="shared" si="12"/>
        <v>148</v>
      </c>
      <c r="J822" s="3644">
        <f ca="1">典型户型修正!T844</f>
        <v>199</v>
      </c>
    </row>
    <row r="823" spans="1:10">
      <c r="A823" s="3629" t="s">
        <v>9720</v>
      </c>
      <c r="B823" s="3629"/>
      <c r="C823" s="3646"/>
      <c r="D823" s="3646"/>
      <c r="E823" s="3646"/>
      <c r="F823" s="3629"/>
      <c r="G823" s="3643">
        <f>SUM(G5:G822)</f>
        <v>88039.929999999338</v>
      </c>
      <c r="H823" s="3650">
        <f>SUM(H5:H822)</f>
        <v>9724720</v>
      </c>
      <c r="I823" s="3650">
        <f>SUM(I5:I822)</f>
        <v>105219</v>
      </c>
      <c r="J823" s="3644">
        <f ca="1">SUM(J5:J822)</f>
        <v>143304</v>
      </c>
    </row>
  </sheetData>
  <mergeCells count="2">
    <mergeCell ref="A1:J2"/>
    <mergeCell ref="A3:J3"/>
  </mergeCells>
  <phoneticPr fontId="208" type="noConversion"/>
  <pageMargins left="0.7" right="0.7" top="0.75" bottom="0.75" header="0.3" footer="0.3"/>
  <pageSetup paperSize="9"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39" sqref="B39"/>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542</v>
      </c>
      <c r="B1" s="186" t="s">
        <v>266</v>
      </c>
      <c r="C1" s="1602" t="s">
        <v>1791</v>
      </c>
      <c r="D1" s="187" t="s">
        <v>267</v>
      </c>
      <c r="E1" s="187" t="s">
        <v>268</v>
      </c>
      <c r="F1" s="187" t="s">
        <v>269</v>
      </c>
      <c r="G1" s="187" t="s">
        <v>270</v>
      </c>
      <c r="H1" s="187" t="s">
        <v>271</v>
      </c>
      <c r="I1" s="187" t="s">
        <v>272</v>
      </c>
      <c r="J1" s="187" t="s">
        <v>273</v>
      </c>
      <c r="K1" s="187" t="s">
        <v>274</v>
      </c>
      <c r="L1" s="187" t="s">
        <v>275</v>
      </c>
      <c r="M1" s="187" t="s">
        <v>276</v>
      </c>
      <c r="N1" s="187" t="s">
        <v>277</v>
      </c>
      <c r="O1" s="187" t="s">
        <v>278</v>
      </c>
      <c r="P1" s="3" t="s">
        <v>1761</v>
      </c>
      <c r="Q1" s="3" t="s">
        <v>2524</v>
      </c>
      <c r="R1" s="3" t="s">
        <v>2525</v>
      </c>
      <c r="S1" s="187" t="s">
        <v>279</v>
      </c>
      <c r="T1" s="188" t="s">
        <v>280</v>
      </c>
      <c r="U1" s="187" t="s">
        <v>281</v>
      </c>
      <c r="V1" s="187" t="s">
        <v>282</v>
      </c>
      <c r="W1" s="1292" t="s">
        <v>1764</v>
      </c>
      <c r="X1" s="1292" t="s">
        <v>2291</v>
      </c>
      <c r="Y1" s="1292" t="s">
        <v>2297</v>
      </c>
    </row>
    <row r="2" spans="1:25">
      <c r="A2" s="2592" t="s">
        <v>115</v>
      </c>
      <c r="B2" s="2592" t="s">
        <v>2549</v>
      </c>
      <c r="C2" s="1603" t="s">
        <v>1792</v>
      </c>
      <c r="D2" s="189" t="s">
        <v>240</v>
      </c>
      <c r="E2" s="189" t="s">
        <v>283</v>
      </c>
      <c r="F2" s="189" t="s">
        <v>284</v>
      </c>
      <c r="G2" s="189">
        <v>40</v>
      </c>
      <c r="H2" s="189" t="s">
        <v>285</v>
      </c>
      <c r="I2" s="189" t="s">
        <v>286</v>
      </c>
      <c r="J2" s="189" t="s">
        <v>287</v>
      </c>
      <c r="K2" s="189" t="s">
        <v>241</v>
      </c>
      <c r="L2" s="189" t="s">
        <v>241</v>
      </c>
      <c r="M2" s="189" t="s">
        <v>241</v>
      </c>
      <c r="N2" s="189" t="s">
        <v>241</v>
      </c>
      <c r="O2" s="189" t="s">
        <v>241</v>
      </c>
      <c r="P2" s="189" t="s">
        <v>241</v>
      </c>
      <c r="Q2" s="189" t="s">
        <v>241</v>
      </c>
      <c r="R2" s="2347" t="s">
        <v>2519</v>
      </c>
      <c r="S2" s="189" t="s">
        <v>241</v>
      </c>
      <c r="T2" s="189" t="s">
        <v>242</v>
      </c>
      <c r="U2" s="189" t="s">
        <v>241</v>
      </c>
      <c r="V2" s="189" t="s">
        <v>243</v>
      </c>
      <c r="W2" s="189" t="s">
        <v>241</v>
      </c>
      <c r="X2" s="2347" t="s">
        <v>2298</v>
      </c>
      <c r="Y2" s="2347" t="s">
        <v>2293</v>
      </c>
    </row>
    <row r="3" spans="1:25">
      <c r="A3" s="2592" t="s">
        <v>573</v>
      </c>
      <c r="B3" s="2593" t="s">
        <v>2550</v>
      </c>
      <c r="C3" s="1604" t="s">
        <v>1793</v>
      </c>
      <c r="D3" s="189" t="s">
        <v>244</v>
      </c>
      <c r="E3" s="189" t="s">
        <v>35</v>
      </c>
      <c r="F3" s="189" t="s">
        <v>245</v>
      </c>
      <c r="G3" s="189">
        <v>50</v>
      </c>
      <c r="H3" s="189" t="s">
        <v>246</v>
      </c>
      <c r="I3" s="189" t="s">
        <v>247</v>
      </c>
      <c r="J3" s="189" t="s">
        <v>248</v>
      </c>
      <c r="K3" s="189" t="s">
        <v>249</v>
      </c>
      <c r="L3" s="189" t="s">
        <v>249</v>
      </c>
      <c r="M3" s="189" t="s">
        <v>249</v>
      </c>
      <c r="N3" s="189" t="s">
        <v>249</v>
      </c>
      <c r="O3" s="189" t="s">
        <v>249</v>
      </c>
      <c r="P3" s="189" t="s">
        <v>249</v>
      </c>
      <c r="Q3" s="189" t="s">
        <v>249</v>
      </c>
      <c r="R3" s="2347" t="s">
        <v>2520</v>
      </c>
      <c r="S3" s="189" t="s">
        <v>249</v>
      </c>
      <c r="T3" s="189" t="s">
        <v>250</v>
      </c>
      <c r="U3" s="189" t="s">
        <v>249</v>
      </c>
      <c r="V3" s="189" t="s">
        <v>251</v>
      </c>
      <c r="W3" s="189" t="s">
        <v>249</v>
      </c>
      <c r="X3" s="2347" t="s">
        <v>2299</v>
      </c>
      <c r="Y3" s="2347" t="s">
        <v>2295</v>
      </c>
    </row>
    <row r="4" spans="1:25">
      <c r="A4" s="2592" t="s">
        <v>574</v>
      </c>
      <c r="B4" s="2593" t="s">
        <v>2551</v>
      </c>
      <c r="C4" s="1603" t="s">
        <v>1794</v>
      </c>
      <c r="D4" s="189" t="s">
        <v>35</v>
      </c>
      <c r="E4" s="189" t="s">
        <v>288</v>
      </c>
      <c r="F4" s="189" t="s">
        <v>289</v>
      </c>
      <c r="G4" s="189">
        <v>70</v>
      </c>
      <c r="H4" s="189" t="s">
        <v>290</v>
      </c>
      <c r="I4" s="189" t="s">
        <v>291</v>
      </c>
      <c r="K4" s="189" t="s">
        <v>252</v>
      </c>
      <c r="L4" s="189" t="s">
        <v>252</v>
      </c>
      <c r="M4" s="189" t="s">
        <v>252</v>
      </c>
      <c r="N4" s="189" t="s">
        <v>252</v>
      </c>
      <c r="O4" s="189" t="s">
        <v>252</v>
      </c>
      <c r="P4" s="189" t="s">
        <v>252</v>
      </c>
      <c r="Q4" s="189" t="s">
        <v>252</v>
      </c>
      <c r="R4" s="2347" t="s">
        <v>2521</v>
      </c>
      <c r="S4" s="189" t="s">
        <v>252</v>
      </c>
      <c r="T4" s="189" t="s">
        <v>253</v>
      </c>
      <c r="U4" s="189" t="s">
        <v>252</v>
      </c>
      <c r="W4" s="189" t="s">
        <v>252</v>
      </c>
      <c r="X4" s="2347" t="s">
        <v>2300</v>
      </c>
      <c r="Y4" s="2347" t="s">
        <v>2301</v>
      </c>
    </row>
    <row r="5" spans="1:25">
      <c r="A5" s="2592" t="s">
        <v>575</v>
      </c>
      <c r="B5" s="2592" t="s">
        <v>2552</v>
      </c>
      <c r="C5" s="1603" t="s">
        <v>1795</v>
      </c>
      <c r="F5" s="189" t="s">
        <v>254</v>
      </c>
      <c r="H5" s="189" t="s">
        <v>255</v>
      </c>
      <c r="I5" s="189" t="s">
        <v>256</v>
      </c>
      <c r="K5" s="189" t="s">
        <v>257</v>
      </c>
      <c r="L5" s="189" t="s">
        <v>257</v>
      </c>
      <c r="M5" s="189" t="s">
        <v>257</v>
      </c>
      <c r="N5" s="189" t="s">
        <v>257</v>
      </c>
      <c r="O5" s="189" t="s">
        <v>257</v>
      </c>
      <c r="P5" s="189" t="s">
        <v>257</v>
      </c>
      <c r="Q5" s="189" t="s">
        <v>257</v>
      </c>
      <c r="R5" s="2347" t="s">
        <v>2522</v>
      </c>
      <c r="S5" s="189" t="s">
        <v>257</v>
      </c>
      <c r="T5" s="189" t="s">
        <v>258</v>
      </c>
      <c r="U5" s="189" t="s">
        <v>257</v>
      </c>
      <c r="W5" s="189" t="s">
        <v>257</v>
      </c>
      <c r="X5" s="1762"/>
      <c r="Y5" s="1024"/>
    </row>
    <row r="6" spans="1:25">
      <c r="A6" s="2592" t="s">
        <v>576</v>
      </c>
      <c r="B6" s="2592" t="s">
        <v>2553</v>
      </c>
      <c r="C6" s="1605" t="s">
        <v>163</v>
      </c>
      <c r="F6" s="189" t="s">
        <v>259</v>
      </c>
      <c r="H6" s="189" t="s">
        <v>260</v>
      </c>
      <c r="I6" s="189" t="s">
        <v>261</v>
      </c>
      <c r="K6" s="189" t="s">
        <v>262</v>
      </c>
      <c r="L6" s="189" t="s">
        <v>262</v>
      </c>
      <c r="M6" s="189" t="s">
        <v>262</v>
      </c>
      <c r="N6" s="189" t="s">
        <v>262</v>
      </c>
      <c r="O6" s="189" t="s">
        <v>262</v>
      </c>
      <c r="P6" s="189" t="s">
        <v>262</v>
      </c>
      <c r="Q6" s="189" t="s">
        <v>262</v>
      </c>
      <c r="R6" s="2347" t="s">
        <v>2523</v>
      </c>
      <c r="S6" s="189" t="s">
        <v>262</v>
      </c>
      <c r="T6" s="189"/>
      <c r="U6" s="189" t="s">
        <v>262</v>
      </c>
      <c r="W6" s="189" t="s">
        <v>262</v>
      </c>
      <c r="X6" s="1762"/>
      <c r="Y6" s="1024"/>
    </row>
    <row r="7" spans="1:25">
      <c r="A7" s="2592" t="s">
        <v>577</v>
      </c>
      <c r="B7" s="2593" t="s">
        <v>2554</v>
      </c>
      <c r="C7" s="1603" t="s">
        <v>164</v>
      </c>
      <c r="F7" s="189" t="s">
        <v>263</v>
      </c>
      <c r="H7" s="189" t="s">
        <v>264</v>
      </c>
      <c r="I7" s="189" t="s">
        <v>265</v>
      </c>
      <c r="R7" s="2347"/>
      <c r="X7" s="2346"/>
    </row>
    <row r="8" spans="1:25">
      <c r="A8" s="2592" t="s">
        <v>578</v>
      </c>
      <c r="B8" s="2593" t="s">
        <v>2555</v>
      </c>
      <c r="C8" s="1603" t="s">
        <v>1796</v>
      </c>
      <c r="F8" s="189" t="s">
        <v>292</v>
      </c>
      <c r="H8" s="189" t="s">
        <v>293</v>
      </c>
      <c r="I8" s="189" t="s">
        <v>294</v>
      </c>
      <c r="X8" s="2346"/>
    </row>
    <row r="9" spans="1:25">
      <c r="A9" s="2592" t="s">
        <v>579</v>
      </c>
      <c r="B9" s="2592" t="s">
        <v>2556</v>
      </c>
      <c r="C9" s="1603" t="s">
        <v>1797</v>
      </c>
      <c r="F9" s="189" t="s">
        <v>295</v>
      </c>
      <c r="H9" s="189" t="s">
        <v>296</v>
      </c>
    </row>
    <row r="10" spans="1:25">
      <c r="A10" s="2592" t="s">
        <v>580</v>
      </c>
      <c r="B10" s="2592" t="s">
        <v>2557</v>
      </c>
      <c r="C10" s="1603" t="s">
        <v>1798</v>
      </c>
      <c r="F10" s="189" t="s">
        <v>35</v>
      </c>
    </row>
    <row r="11" spans="1:25">
      <c r="A11" s="2592" t="s">
        <v>581</v>
      </c>
      <c r="B11" s="2592" t="s">
        <v>2558</v>
      </c>
      <c r="C11" s="1603" t="s">
        <v>1799</v>
      </c>
    </row>
    <row r="12" spans="1:25">
      <c r="A12" s="2592" t="s">
        <v>582</v>
      </c>
      <c r="B12" s="2592" t="s">
        <v>2559</v>
      </c>
      <c r="C12" s="1603" t="s">
        <v>1800</v>
      </c>
    </row>
    <row r="13" spans="1:25">
      <c r="A13" s="2592" t="s">
        <v>583</v>
      </c>
      <c r="B13" s="2592" t="s">
        <v>2560</v>
      </c>
      <c r="C13" s="1603" t="s">
        <v>1801</v>
      </c>
    </row>
    <row r="14" spans="1:25">
      <c r="A14" s="2592" t="s">
        <v>584</v>
      </c>
      <c r="B14" s="2592" t="s">
        <v>2561</v>
      </c>
      <c r="C14" s="1606"/>
    </row>
    <row r="15" spans="1:25">
      <c r="A15" s="2592" t="s">
        <v>585</v>
      </c>
      <c r="B15" s="2592" t="s">
        <v>2562</v>
      </c>
      <c r="C15" s="1606"/>
    </row>
    <row r="16" spans="1:25">
      <c r="A16" s="2592" t="s">
        <v>586</v>
      </c>
      <c r="B16" s="2592" t="s">
        <v>2563</v>
      </c>
      <c r="C16" s="1606"/>
    </row>
    <row r="17" spans="1:3">
      <c r="A17" s="2592" t="s">
        <v>587</v>
      </c>
      <c r="B17" s="2592" t="s">
        <v>2564</v>
      </c>
      <c r="C17" s="1606"/>
    </row>
    <row r="18" spans="1:3">
      <c r="A18" s="2592" t="s">
        <v>588</v>
      </c>
      <c r="B18" s="2592" t="s">
        <v>2752</v>
      </c>
      <c r="C18" s="1606"/>
    </row>
    <row r="19" spans="1:3">
      <c r="A19" s="2592" t="s">
        <v>589</v>
      </c>
      <c r="B19" s="2592" t="s">
        <v>2753</v>
      </c>
      <c r="C19" s="1606"/>
    </row>
    <row r="20" spans="1:3">
      <c r="A20" s="2592" t="s">
        <v>590</v>
      </c>
      <c r="B20" s="2592" t="s">
        <v>1786</v>
      </c>
      <c r="C20" s="1606"/>
    </row>
    <row r="21" spans="1:3">
      <c r="A21" s="2592" t="s">
        <v>591</v>
      </c>
      <c r="B21" s="2592" t="s">
        <v>1786</v>
      </c>
      <c r="C21" s="1606"/>
    </row>
    <row r="22" spans="1:3">
      <c r="A22" s="2592" t="s">
        <v>592</v>
      </c>
      <c r="B22" s="2592" t="s">
        <v>1786</v>
      </c>
      <c r="C22" s="1606"/>
    </row>
    <row r="23" spans="1:3">
      <c r="A23" s="2592" t="s">
        <v>593</v>
      </c>
      <c r="B23" s="2592" t="s">
        <v>1786</v>
      </c>
      <c r="C23" s="1606"/>
    </row>
    <row r="24" spans="1:3">
      <c r="A24" s="2592" t="s">
        <v>594</v>
      </c>
      <c r="B24" s="2592" t="s">
        <v>1786</v>
      </c>
      <c r="C24" s="1606"/>
    </row>
    <row r="25" spans="1:3">
      <c r="A25" s="2592" t="s">
        <v>595</v>
      </c>
      <c r="B25" s="2592" t="s">
        <v>1786</v>
      </c>
      <c r="C25" s="1606"/>
    </row>
    <row r="26" spans="1:3">
      <c r="A26" s="2592" t="s">
        <v>596</v>
      </c>
      <c r="B26" s="2592" t="s">
        <v>1786</v>
      </c>
      <c r="C26" s="1606"/>
    </row>
    <row r="27" spans="1:3">
      <c r="A27" s="2592" t="s">
        <v>1786</v>
      </c>
      <c r="B27" s="2592" t="s">
        <v>1786</v>
      </c>
      <c r="C27" s="1606"/>
    </row>
    <row r="28" spans="1:3">
      <c r="A28" s="2592" t="s">
        <v>1786</v>
      </c>
      <c r="B28" s="2592" t="s">
        <v>1786</v>
      </c>
      <c r="C28" s="1606"/>
    </row>
    <row r="29" spans="1:3">
      <c r="A29" s="2592" t="s">
        <v>1786</v>
      </c>
      <c r="B29" s="2592" t="s">
        <v>1786</v>
      </c>
      <c r="C29" s="1606"/>
    </row>
    <row r="30" spans="1:3">
      <c r="A30" s="2592" t="s">
        <v>1786</v>
      </c>
      <c r="B30" s="2592" t="s">
        <v>1786</v>
      </c>
      <c r="C30" s="1606"/>
    </row>
    <row r="31" spans="1:3">
      <c r="A31" s="2592" t="s">
        <v>1786</v>
      </c>
      <c r="B31" s="2592" t="s">
        <v>1786</v>
      </c>
      <c r="C31" s="1606"/>
    </row>
    <row r="32" spans="1:3">
      <c r="A32" s="2592" t="s">
        <v>1786</v>
      </c>
      <c r="B32" s="2592" t="s">
        <v>1786</v>
      </c>
      <c r="C32" s="1606"/>
    </row>
    <row r="33" spans="1:3">
      <c r="A33" s="2592" t="s">
        <v>1786</v>
      </c>
      <c r="B33" s="2592" t="s">
        <v>1786</v>
      </c>
      <c r="C33" s="1606"/>
    </row>
    <row r="34" spans="1:3">
      <c r="A34" s="2592" t="s">
        <v>1786</v>
      </c>
      <c r="B34" s="2592" t="s">
        <v>1786</v>
      </c>
      <c r="C34" s="1606"/>
    </row>
    <row r="35" spans="1:3">
      <c r="A35" s="2592" t="s">
        <v>1786</v>
      </c>
      <c r="B35" s="2592" t="s">
        <v>1786</v>
      </c>
      <c r="C35" s="1606"/>
    </row>
    <row r="36" spans="1:3">
      <c r="A36" s="2592" t="s">
        <v>1786</v>
      </c>
      <c r="B36" s="2592" t="s">
        <v>1786</v>
      </c>
      <c r="C36" s="1606"/>
    </row>
    <row r="37" spans="1:3">
      <c r="A37" s="2592" t="s">
        <v>1786</v>
      </c>
      <c r="B37" s="2592" t="s">
        <v>1786</v>
      </c>
      <c r="C37" s="1606"/>
    </row>
    <row r="38" spans="1:3">
      <c r="A38" s="2592" t="s">
        <v>1786</v>
      </c>
      <c r="B38" s="2592" t="s">
        <v>1786</v>
      </c>
      <c r="C38" s="1606"/>
    </row>
    <row r="39" spans="1:3">
      <c r="A39" s="2592" t="s">
        <v>1786</v>
      </c>
      <c r="B39" s="2592" t="s">
        <v>1786</v>
      </c>
      <c r="C39" s="1606"/>
    </row>
    <row r="40" spans="1:3">
      <c r="A40" s="2592" t="s">
        <v>1786</v>
      </c>
      <c r="B40" s="2592" t="s">
        <v>1786</v>
      </c>
      <c r="C40" s="1606"/>
    </row>
    <row r="41" spans="1:3">
      <c r="A41" s="2592" t="s">
        <v>1786</v>
      </c>
      <c r="B41" s="2592" t="s">
        <v>1786</v>
      </c>
      <c r="C41" s="1606"/>
    </row>
    <row r="42" spans="1:3">
      <c r="A42" s="2592" t="s">
        <v>1786</v>
      </c>
      <c r="B42" s="2592" t="s">
        <v>1786</v>
      </c>
      <c r="C42" s="1606"/>
    </row>
    <row r="43" spans="1:3">
      <c r="A43" s="2592" t="s">
        <v>1786</v>
      </c>
      <c r="B43" s="2592" t="s">
        <v>1786</v>
      </c>
      <c r="C43" s="1606"/>
    </row>
    <row r="44" spans="1:3">
      <c r="A44" s="2592" t="s">
        <v>1786</v>
      </c>
      <c r="B44" s="2592" t="s">
        <v>1786</v>
      </c>
      <c r="C44" s="1606"/>
    </row>
    <row r="45" spans="1:3">
      <c r="A45" s="2592" t="s">
        <v>1786</v>
      </c>
      <c r="B45" s="2592" t="s">
        <v>1786</v>
      </c>
      <c r="C45" s="1606"/>
    </row>
    <row r="46" spans="1:3">
      <c r="A46" s="2592" t="s">
        <v>1786</v>
      </c>
      <c r="B46" s="2592" t="s">
        <v>1786</v>
      </c>
      <c r="C46" s="1606"/>
    </row>
    <row r="47" spans="1:3">
      <c r="A47" s="2592" t="s">
        <v>1786</v>
      </c>
      <c r="B47" s="2592" t="s">
        <v>1786</v>
      </c>
      <c r="C47" s="1606"/>
    </row>
    <row r="48" spans="1:3">
      <c r="A48" s="2592" t="s">
        <v>1786</v>
      </c>
      <c r="B48" s="2592" t="s">
        <v>1786</v>
      </c>
      <c r="C48" s="1606"/>
    </row>
    <row r="49" spans="1:4">
      <c r="A49" s="2592" t="s">
        <v>1786</v>
      </c>
      <c r="B49" s="2592" t="s">
        <v>1786</v>
      </c>
      <c r="C49" s="1606"/>
    </row>
    <row r="50" spans="1:4">
      <c r="A50" s="2592" t="s">
        <v>1786</v>
      </c>
      <c r="B50" s="2592" t="s">
        <v>1786</v>
      </c>
      <c r="C50" s="1606"/>
    </row>
    <row r="51" spans="1:4">
      <c r="A51" s="1761" t="s">
        <v>1946</v>
      </c>
      <c r="B51" s="1024" t="str">
        <f>"为估价委托人在向"&amp;项目基本情况!B5&amp;"办理贷款手续过程中，确定房地产抵押贷款额度提供参考依据而评估房地产抵押价值。"</f>
        <v>为估价委托人在向五矿信托办理贷款手续过程中，确定房地产抵押贷款额度提供参考依据而评估房地产抵押价值。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杭州名城博园置业有限公司拟使用浙江省杭州市房地产作为抵押担保物，向五矿信托办理贷款手续。五矿信托特委托北京康正宏基房地产评估有限公司对上述抵押物进行评估。本次评估为确定房地产抵押贷款额度提供参考依据而评估房地产抵押价值。</v>
      </c>
      <c r="D51" s="1897" t="s">
        <v>2719</v>
      </c>
    </row>
    <row r="52" spans="1:4">
      <c r="A52" s="1761" t="s">
        <v>1962</v>
      </c>
      <c r="B52" s="1761" t="s">
        <v>1961</v>
      </c>
      <c r="C52" s="1024" t="s">
        <v>1960</v>
      </c>
      <c r="D52" s="1024" t="s">
        <v>2008</v>
      </c>
    </row>
    <row r="53" spans="1:4" ht="14.25" customHeight="1">
      <c r="A53" s="3273" t="s">
        <v>1952</v>
      </c>
      <c r="B53" s="1024" t="s">
        <v>1951</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本次估价的“房地产价值”是指在正常市场情况下，在价值时点2017年6月30日，估价对象规划用途为，假定未设立法定优先受偿款下的房地产市场价值。</v>
      </c>
    </row>
    <row r="54" spans="1:4">
      <c r="A54" s="3273"/>
      <c r="B54" s="1024" t="s">
        <v>1958</v>
      </c>
      <c r="C54" s="1024" t="s">
        <v>2716</v>
      </c>
    </row>
    <row r="55" spans="1:4">
      <c r="A55" s="3273"/>
      <c r="B55" s="1024" t="s">
        <v>1953</v>
      </c>
      <c r="C55" s="1024" t="s">
        <v>2717</v>
      </c>
    </row>
    <row r="56" spans="1:4">
      <c r="A56" s="3273"/>
      <c r="B56" s="1024" t="s">
        <v>1954</v>
      </c>
      <c r="C56" s="1024" t="s">
        <v>2741</v>
      </c>
    </row>
    <row r="57" spans="1:4">
      <c r="A57" s="3273"/>
      <c r="B57" s="1024" t="s">
        <v>1955</v>
      </c>
      <c r="C57" s="1024" t="s">
        <v>2718</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5" sqref="A5"/>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9"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3" t="s">
        <v>1854</v>
      </c>
      <c r="B1" s="1824" t="str">
        <f>IF(B6="北京市","北京市",C6)&amp;IF(E12="房屋所有权证",B28,E28)&amp;D5&amp;"预评估"</f>
        <v>浙江省杭州市房地产抵押价值预评估</v>
      </c>
      <c r="C1" s="1825"/>
      <c r="D1" s="1826"/>
      <c r="E1" s="1827"/>
      <c r="F1" s="2816" t="s">
        <v>1902</v>
      </c>
      <c r="G1" s="2817"/>
      <c r="I1" s="1026" t="str">
        <f>IF(B6="北京市","北京市",C6)&amp;IF(E12="房屋所有权证",B28,E28)&amp;"房地产"</f>
        <v>浙江省杭州市房地产</v>
      </c>
    </row>
    <row r="2" spans="1:15" ht="13.5" thickTop="1">
      <c r="A2" s="2818" t="s">
        <v>1980</v>
      </c>
      <c r="B2" s="1874">
        <v>42916</v>
      </c>
      <c r="C2" s="1828" t="s">
        <v>1981</v>
      </c>
      <c r="D2" s="1874">
        <v>42916</v>
      </c>
      <c r="E2" s="1829"/>
      <c r="F2" s="1829"/>
      <c r="G2" s="2819"/>
      <c r="H2" s="1722"/>
    </row>
    <row r="3" spans="1:15" ht="13.5" thickBot="1">
      <c r="A3" s="2820" t="s">
        <v>1993</v>
      </c>
      <c r="B3" s="1831" t="s">
        <v>2901</v>
      </c>
      <c r="C3" s="1832">
        <f ca="1">SUMIF(注册房地产估价师,B3,估价师及机构信息!B3:B24)</f>
        <v>1119970066</v>
      </c>
      <c r="D3" s="1831" t="s">
        <v>2902</v>
      </c>
      <c r="E3" s="1833">
        <f ca="1">SUMIF(注册房地产估价师,D3,估价师及机构信息!B3:B24)</f>
        <v>1120050019</v>
      </c>
      <c r="F3" s="1834"/>
      <c r="G3" s="2821"/>
      <c r="H3" s="1722"/>
    </row>
    <row r="4" spans="1:15" ht="13.5" customHeight="1" thickTop="1">
      <c r="A4" s="2822" t="s">
        <v>1884</v>
      </c>
      <c r="B4" s="3107" t="s">
        <v>2909</v>
      </c>
      <c r="C4" s="1835" t="s">
        <v>1886</v>
      </c>
      <c r="D4" s="1836" t="s">
        <v>2904</v>
      </c>
      <c r="E4" s="1829"/>
      <c r="F4" s="1829"/>
      <c r="G4" s="2819"/>
    </row>
    <row r="5" spans="1:15">
      <c r="A5" s="2823" t="s">
        <v>1885</v>
      </c>
      <c r="B5" s="1716" t="s">
        <v>2903</v>
      </c>
      <c r="C5" s="1659" t="s">
        <v>1887</v>
      </c>
      <c r="D5" s="1844" t="s">
        <v>2905</v>
      </c>
      <c r="E5" s="1857" t="s">
        <v>2003</v>
      </c>
      <c r="F5" s="1703" t="s">
        <v>2905</v>
      </c>
      <c r="G5" s="1815"/>
      <c r="I5" s="1026" t="str">
        <f>IF(C16="否","截至估价时点，估价对象抵押权未见登记。","截至价值时点，估价对象已设定抵押。")</f>
        <v>截至估价时点，估价对象抵押权未见登记。</v>
      </c>
    </row>
    <row r="6" spans="1:15">
      <c r="A6" s="2824" t="s">
        <v>1817</v>
      </c>
      <c r="B6" s="1091" t="s">
        <v>2906</v>
      </c>
      <c r="C6" s="1667" t="s">
        <v>2907</v>
      </c>
      <c r="D6" s="1668" t="s">
        <v>1889</v>
      </c>
      <c r="E6" s="1724"/>
      <c r="F6" s="1723"/>
      <c r="G6" s="1852"/>
      <c r="I6" s="1866" t="str">
        <f>IF(COUNTIF(B5,"*上海银行*"),"上海银行","")</f>
        <v/>
      </c>
    </row>
    <row r="7" spans="1:15" ht="13.5" thickBot="1">
      <c r="A7" s="2820" t="s">
        <v>1818</v>
      </c>
      <c r="B7" s="1837" t="s">
        <v>2908</v>
      </c>
      <c r="C7" s="1838" t="str">
        <f>IF(B7="自然人","姓名","名称")</f>
        <v>名称</v>
      </c>
      <c r="D7" s="3108" t="s">
        <v>2909</v>
      </c>
      <c r="E7" s="1839"/>
      <c r="F7" s="1834"/>
      <c r="G7" s="2821"/>
    </row>
    <row r="8" spans="1:15" ht="13.5" thickTop="1">
      <c r="A8" s="3284" t="s">
        <v>1890</v>
      </c>
      <c r="B8" s="1795" t="s">
        <v>1891</v>
      </c>
      <c r="C8" s="3296"/>
      <c r="D8" s="3297"/>
      <c r="E8" s="1701" t="s">
        <v>1895</v>
      </c>
      <c r="F8" s="1695" t="s">
        <v>1888</v>
      </c>
      <c r="G8" s="978" t="str">
        <f>C6</f>
        <v>浙江省杭州市</v>
      </c>
    </row>
    <row r="9" spans="1:15" ht="24">
      <c r="A9" s="3284"/>
      <c r="B9" s="1643" t="s">
        <v>1900</v>
      </c>
      <c r="C9" s="1716"/>
      <c r="D9" s="1718" t="s">
        <v>2910</v>
      </c>
      <c r="E9" s="1696" t="s">
        <v>1789</v>
      </c>
      <c r="F9" s="1670"/>
      <c r="G9" s="1697"/>
    </row>
    <row r="10" spans="1:15" ht="13.5" thickBot="1">
      <c r="A10" s="3284"/>
      <c r="B10" s="1643" t="s">
        <v>1815</v>
      </c>
      <c r="C10" s="3298"/>
      <c r="D10" s="3299"/>
      <c r="E10" s="1698" t="s">
        <v>1790</v>
      </c>
      <c r="F10" s="1699"/>
      <c r="G10" s="1700"/>
    </row>
    <row r="11" spans="1:15" ht="13.5" thickBot="1">
      <c r="A11" s="3284"/>
      <c r="B11" s="1814" t="s">
        <v>1816</v>
      </c>
      <c r="C11" s="3300"/>
      <c r="D11" s="3301"/>
      <c r="E11" s="1724"/>
      <c r="F11" s="1723"/>
      <c r="G11" s="1852"/>
    </row>
    <row r="12" spans="1:15" ht="24.75" thickBot="1">
      <c r="A12" s="3287" t="s">
        <v>2285</v>
      </c>
      <c r="B12" s="1693" t="s">
        <v>2288</v>
      </c>
      <c r="C12" s="1704">
        <f>'7.15'!H823</f>
        <v>88039.929999999338</v>
      </c>
      <c r="D12" s="1693" t="s">
        <v>1883</v>
      </c>
      <c r="E12" s="1719" t="s">
        <v>2890</v>
      </c>
      <c r="F12" s="2656" t="s">
        <v>2891</v>
      </c>
      <c r="G12" s="1852"/>
    </row>
    <row r="13" spans="1:15" ht="21" customHeight="1" thickBot="1">
      <c r="A13" s="3288"/>
      <c r="B13" s="1694" t="s">
        <v>2289</v>
      </c>
      <c r="C13" s="1705">
        <f>'7.15'!G823</f>
        <v>4968.7000000000498</v>
      </c>
      <c r="D13" s="1694" t="s">
        <v>1883</v>
      </c>
      <c r="E13" s="1706" t="s">
        <v>2890</v>
      </c>
      <c r="F13" s="1723"/>
      <c r="G13" s="1852"/>
      <c r="I13" s="3274" t="s">
        <v>2000</v>
      </c>
      <c r="J13" s="1895"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5" ht="13.5" thickBot="1">
      <c r="A14" s="1816"/>
      <c r="B14" s="2654" t="s">
        <v>1901</v>
      </c>
      <c r="C14" s="2655"/>
      <c r="D14" s="1720"/>
      <c r="E14" s="1720"/>
      <c r="F14" s="1723"/>
      <c r="G14" s="1852"/>
      <c r="I14" s="3274"/>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0"/>
      <c r="B15" s="1841" t="s">
        <v>1881</v>
      </c>
      <c r="C15" s="1842"/>
      <c r="D15" s="1843"/>
      <c r="E15" s="1843"/>
      <c r="F15" s="1834"/>
      <c r="G15" s="2821"/>
      <c r="I15" s="3274"/>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1975</v>
      </c>
      <c r="B16" s="1819" t="s">
        <v>1997</v>
      </c>
      <c r="C16" s="1820" t="s">
        <v>2892</v>
      </c>
      <c r="D16" s="1821" t="s">
        <v>1999</v>
      </c>
      <c r="E16" s="1822" t="s">
        <v>2892</v>
      </c>
      <c r="F16" s="1846" t="str">
        <f>IF(AND(C16="是",E16="否"),"是否提供他项权证或相关说明","")</f>
        <v/>
      </c>
      <c r="G16" s="1822"/>
      <c r="J16" s="1026"/>
      <c r="K16" s="1865"/>
      <c r="L16" s="1865"/>
      <c r="M16" s="1865"/>
      <c r="O16" s="1866"/>
    </row>
    <row r="17" spans="1:15" ht="13.5" customHeight="1">
      <c r="A17" s="1813" t="s">
        <v>1976</v>
      </c>
      <c r="B17" s="3302" t="s">
        <v>1994</v>
      </c>
      <c r="C17" s="3303"/>
      <c r="D17" s="3304" t="s">
        <v>1995</v>
      </c>
      <c r="E17" s="3305"/>
      <c r="F17" s="3093" t="s">
        <v>1996</v>
      </c>
      <c r="G17" s="3095"/>
      <c r="J17" s="1026"/>
    </row>
    <row r="18" spans="1:15" ht="24">
      <c r="A18" s="1813"/>
      <c r="B18" s="1875" t="s">
        <v>2893</v>
      </c>
      <c r="C18" s="1815" t="s">
        <v>1971</v>
      </c>
      <c r="D18" s="1817" t="s">
        <v>2001</v>
      </c>
      <c r="E18" s="1818" t="s">
        <v>1971</v>
      </c>
      <c r="F18" s="3094"/>
      <c r="G18" s="3096"/>
      <c r="H18" s="1722"/>
      <c r="J18" s="1026"/>
    </row>
    <row r="19" spans="1:15" ht="21.75" customHeight="1" thickBot="1">
      <c r="A19" s="1813"/>
      <c r="B19" s="1876"/>
      <c r="C19" s="1706"/>
      <c r="D19" s="1851"/>
      <c r="E19" s="1720"/>
      <c r="F19" s="1720"/>
      <c r="G19" s="3096"/>
    </row>
    <row r="20" spans="1:15">
      <c r="A20" s="3090" t="s">
        <v>1998</v>
      </c>
      <c r="B20" s="3089" t="s">
        <v>1967</v>
      </c>
      <c r="C20" s="1845"/>
      <c r="D20" s="1812" t="s">
        <v>1967</v>
      </c>
      <c r="E20" s="1845"/>
      <c r="F20" s="1720"/>
      <c r="G20" s="3096"/>
    </row>
    <row r="21" spans="1:15">
      <c r="A21" s="3091"/>
      <c r="B21" s="1786" t="s">
        <v>1968</v>
      </c>
      <c r="C21" s="3064"/>
      <c r="D21" s="1813" t="s">
        <v>1968</v>
      </c>
      <c r="E21" s="3086"/>
      <c r="F21" s="1723"/>
      <c r="G21" s="3097"/>
    </row>
    <row r="22" spans="1:15">
      <c r="A22" s="3091"/>
      <c r="B22" s="3078" t="s">
        <v>1969</v>
      </c>
      <c r="C22" s="3085"/>
      <c r="D22" s="3078" t="s">
        <v>1969</v>
      </c>
      <c r="E22" s="3086"/>
      <c r="F22" s="1723"/>
      <c r="G22" s="3097"/>
    </row>
    <row r="23" spans="1:15" s="3082" customFormat="1" ht="21" thickBot="1">
      <c r="A23" s="3092"/>
      <c r="B23" s="3084" t="s">
        <v>1970</v>
      </c>
      <c r="C23" s="3087"/>
      <c r="D23" s="3084" t="s">
        <v>1970</v>
      </c>
      <c r="E23" s="3088"/>
      <c r="F23" s="1723"/>
      <c r="G23" s="3097"/>
      <c r="H23" s="3079"/>
      <c r="I23" s="3065"/>
      <c r="J23" s="3080"/>
      <c r="K23" s="3081"/>
      <c r="L23" s="3081"/>
      <c r="M23" s="3081"/>
      <c r="O23" s="3083"/>
    </row>
    <row r="24" spans="1:15" ht="13.5" thickBot="1">
      <c r="A24" s="1849" t="s">
        <v>1860</v>
      </c>
      <c r="B24" s="1723"/>
      <c r="C24" s="1723"/>
      <c r="D24" s="1723"/>
      <c r="E24" s="1723"/>
      <c r="F24" s="1723"/>
      <c r="G24" s="3098"/>
      <c r="I24" s="1029"/>
      <c r="K24" s="1848"/>
    </row>
    <row r="25" spans="1:15" s="1867" customFormat="1" ht="13.5" thickBot="1">
      <c r="A25" s="1669"/>
      <c r="B25" s="1787" t="s">
        <v>1972</v>
      </c>
      <c r="C25" s="1669"/>
      <c r="D25" s="1702"/>
      <c r="E25" s="1709" t="s">
        <v>1892</v>
      </c>
      <c r="F25" s="1669"/>
      <c r="G25" s="1788" t="s">
        <v>1973</v>
      </c>
      <c r="I25" s="1893"/>
      <c r="J25" s="1893"/>
      <c r="L25" s="1868"/>
      <c r="M25" s="1868"/>
      <c r="O25" s="1869"/>
    </row>
    <row r="26" spans="1:15" s="1867" customFormat="1" ht="13.5" thickBot="1">
      <c r="A26" s="1669"/>
      <c r="B26" s="1877" t="s">
        <v>6288</v>
      </c>
      <c r="C26" s="1669"/>
      <c r="D26" s="1702"/>
      <c r="E26" s="1877"/>
      <c r="F26" s="1669"/>
      <c r="G26" s="2825"/>
      <c r="I26" s="1893"/>
      <c r="J26" s="1893"/>
      <c r="L26" s="1868"/>
      <c r="M26" s="1868"/>
      <c r="O26" s="1869"/>
    </row>
    <row r="27" spans="1:15">
      <c r="A27" s="1684" t="s">
        <v>1861</v>
      </c>
      <c r="B27" s="1681"/>
      <c r="C27" s="3290" t="s">
        <v>1893</v>
      </c>
      <c r="D27" s="3291"/>
      <c r="E27" s="1681"/>
      <c r="F27" s="1692" t="s">
        <v>1861</v>
      </c>
      <c r="G27" s="1681"/>
      <c r="I27" s="1029"/>
      <c r="K27" s="1848"/>
    </row>
    <row r="28" spans="1:15">
      <c r="A28" s="1686" t="s">
        <v>1820</v>
      </c>
      <c r="B28" s="1721"/>
      <c r="C28" s="3292" t="s">
        <v>1808</v>
      </c>
      <c r="D28" s="3293"/>
      <c r="E28" s="1721"/>
      <c r="F28" s="2814" t="s">
        <v>1821</v>
      </c>
      <c r="G28" s="1634"/>
      <c r="I28" s="1029"/>
      <c r="K28" s="1848"/>
    </row>
    <row r="29" spans="1:15">
      <c r="A29" s="1686" t="s">
        <v>1819</v>
      </c>
      <c r="B29" s="1634"/>
      <c r="C29" s="3292" t="s">
        <v>1806</v>
      </c>
      <c r="D29" s="3293"/>
      <c r="E29" s="1634"/>
      <c r="F29" s="2814" t="s">
        <v>1822</v>
      </c>
      <c r="G29" s="1634"/>
      <c r="I29" s="1029"/>
      <c r="K29" s="1848"/>
    </row>
    <row r="30" spans="1:15">
      <c r="A30" s="1685" t="s">
        <v>1834</v>
      </c>
      <c r="B30" s="1634"/>
      <c r="C30" s="3281" t="s">
        <v>1809</v>
      </c>
      <c r="D30" s="1715"/>
      <c r="E30" s="1725" t="str">
        <f>E31&amp;" "&amp;E32&amp;" "&amp;E33&amp;" "&amp;E34</f>
        <v xml:space="preserve">   </v>
      </c>
      <c r="F30" s="2814" t="s">
        <v>1824</v>
      </c>
      <c r="G30" s="1634"/>
    </row>
    <row r="31" spans="1:15">
      <c r="A31" s="1686" t="s">
        <v>1823</v>
      </c>
      <c r="B31" s="1634"/>
      <c r="C31" s="3282"/>
      <c r="D31" s="1691" t="s">
        <v>1835</v>
      </c>
      <c r="E31" s="1634"/>
      <c r="F31" s="2814" t="s">
        <v>1826</v>
      </c>
      <c r="G31" s="1634"/>
    </row>
    <row r="32" spans="1:15" ht="24.75" thickBot="1">
      <c r="A32" s="1687" t="s">
        <v>1825</v>
      </c>
      <c r="B32" s="1682"/>
      <c r="C32" s="3282"/>
      <c r="D32" s="1691" t="s">
        <v>1836</v>
      </c>
      <c r="E32" s="1634"/>
      <c r="F32" s="2814" t="s">
        <v>1827</v>
      </c>
      <c r="G32" s="1634"/>
    </row>
    <row r="33" spans="1:7">
      <c r="A33" s="1708" t="s">
        <v>1833</v>
      </c>
      <c r="B33" s="1681"/>
      <c r="C33" s="3282"/>
      <c r="D33" s="1691" t="s">
        <v>1837</v>
      </c>
      <c r="E33" s="1634"/>
      <c r="F33" s="2814" t="s">
        <v>1829</v>
      </c>
      <c r="G33" s="1634"/>
    </row>
    <row r="34" spans="1:7" ht="13.5" thickBot="1">
      <c r="A34" s="1686" t="s">
        <v>1862</v>
      </c>
      <c r="B34" s="1721"/>
      <c r="C34" s="3283"/>
      <c r="D34" s="1691" t="s">
        <v>1838</v>
      </c>
      <c r="E34" s="1634"/>
      <c r="F34" s="2815" t="s">
        <v>1831</v>
      </c>
      <c r="G34" s="1683"/>
    </row>
    <row r="35" spans="1:7">
      <c r="A35" s="1686" t="s">
        <v>1830</v>
      </c>
      <c r="B35" s="1634"/>
      <c r="C35" s="3292" t="s">
        <v>1810</v>
      </c>
      <c r="D35" s="3293"/>
      <c r="E35" s="1634"/>
      <c r="F35" s="1710" t="s">
        <v>1863</v>
      </c>
      <c r="G35" s="1681"/>
    </row>
    <row r="36" spans="1:7" ht="24.75" thickBot="1">
      <c r="A36" s="1686" t="s">
        <v>1864</v>
      </c>
      <c r="B36" s="1634"/>
      <c r="C36" s="3294" t="s">
        <v>1811</v>
      </c>
      <c r="D36" s="3295"/>
      <c r="E36" s="1682"/>
      <c r="F36" s="2813" t="s">
        <v>1865</v>
      </c>
      <c r="G36" s="1634"/>
    </row>
    <row r="37" spans="1:7" ht="13.5" thickBot="1">
      <c r="A37" s="1686" t="s">
        <v>1866</v>
      </c>
      <c r="B37" s="1634"/>
      <c r="C37" s="3279" t="s">
        <v>1812</v>
      </c>
      <c r="D37" s="2812" t="s">
        <v>1844</v>
      </c>
      <c r="E37" s="1681"/>
      <c r="F37" s="2815" t="s">
        <v>1867</v>
      </c>
      <c r="G37" s="1682"/>
    </row>
    <row r="38" spans="1:7">
      <c r="A38" s="1686" t="s">
        <v>1828</v>
      </c>
      <c r="B38" s="1634"/>
      <c r="C38" s="3285"/>
      <c r="D38" s="1691" t="s">
        <v>1845</v>
      </c>
      <c r="E38" s="1634"/>
      <c r="F38" s="1692" t="s">
        <v>1872</v>
      </c>
      <c r="G38" s="1681"/>
    </row>
    <row r="39" spans="1:7">
      <c r="A39" s="1686" t="s">
        <v>1869</v>
      </c>
      <c r="B39" s="1634"/>
      <c r="C39" s="3285" t="s">
        <v>1894</v>
      </c>
      <c r="D39" s="1691" t="s">
        <v>1842</v>
      </c>
      <c r="E39" s="1634"/>
      <c r="F39" s="2814" t="s">
        <v>1875</v>
      </c>
      <c r="G39" s="1634"/>
    </row>
    <row r="40" spans="1:7" ht="24.75" customHeight="1" thickBot="1">
      <c r="A40" s="1687" t="s">
        <v>1871</v>
      </c>
      <c r="B40" s="1682"/>
      <c r="C40" s="3286"/>
      <c r="D40" s="2811" t="s">
        <v>1843</v>
      </c>
      <c r="E40" s="1682"/>
      <c r="F40" s="2815" t="s">
        <v>1877</v>
      </c>
      <c r="G40" s="1682"/>
    </row>
    <row r="41" spans="1:7">
      <c r="A41" s="1690" t="s">
        <v>1874</v>
      </c>
      <c r="B41" s="1789"/>
      <c r="C41" s="3275" t="s">
        <v>1814</v>
      </c>
      <c r="D41" s="3276"/>
      <c r="E41" s="1789"/>
      <c r="F41" s="1692" t="s">
        <v>1868</v>
      </c>
      <c r="G41" s="1789"/>
    </row>
    <row r="42" spans="1:7">
      <c r="A42" s="1783" t="s">
        <v>1974</v>
      </c>
      <c r="B42" s="1790"/>
      <c r="C42" s="1777"/>
      <c r="D42" s="1781"/>
      <c r="E42" s="1790"/>
      <c r="F42" s="1782"/>
      <c r="G42" s="1790"/>
    </row>
    <row r="43" spans="1:7">
      <c r="A43" s="1784" t="s">
        <v>1967</v>
      </c>
      <c r="B43" s="1780"/>
      <c r="C43" s="1777"/>
      <c r="D43" s="1785" t="s">
        <v>1967</v>
      </c>
      <c r="E43" s="1780"/>
      <c r="F43" s="1784" t="s">
        <v>1967</v>
      </c>
      <c r="G43" s="1780"/>
    </row>
    <row r="44" spans="1:7">
      <c r="A44" s="1784" t="s">
        <v>1968</v>
      </c>
      <c r="B44" s="1780"/>
      <c r="C44" s="1777"/>
      <c r="D44" s="1786" t="s">
        <v>1968</v>
      </c>
      <c r="E44" s="1780"/>
      <c r="F44" s="1784" t="s">
        <v>1968</v>
      </c>
      <c r="G44" s="1780"/>
    </row>
    <row r="45" spans="1:7">
      <c r="A45" s="1784" t="s">
        <v>1969</v>
      </c>
      <c r="B45" s="1780"/>
      <c r="C45" s="1777"/>
      <c r="D45" s="1786" t="s">
        <v>1969</v>
      </c>
      <c r="E45" s="1780"/>
      <c r="F45" s="1784" t="s">
        <v>1969</v>
      </c>
      <c r="G45" s="1780"/>
    </row>
    <row r="46" spans="1:7">
      <c r="A46" s="1784" t="s">
        <v>1970</v>
      </c>
      <c r="B46" s="1780"/>
      <c r="C46" s="1777"/>
      <c r="D46" s="1786" t="s">
        <v>1970</v>
      </c>
      <c r="E46" s="1780"/>
      <c r="F46" s="1784" t="s">
        <v>1970</v>
      </c>
      <c r="G46" s="1780"/>
    </row>
    <row r="47" spans="1:7">
      <c r="A47" s="1779"/>
      <c r="B47" s="1780"/>
      <c r="C47" s="1777"/>
      <c r="D47" s="1781"/>
      <c r="E47" s="1780"/>
      <c r="F47" s="1782"/>
      <c r="G47" s="1780"/>
    </row>
    <row r="48" spans="1:7" ht="13.5" thickBot="1">
      <c r="A48" s="1687" t="s">
        <v>1876</v>
      </c>
      <c r="B48" s="1707"/>
      <c r="C48" s="3277" t="s">
        <v>1807</v>
      </c>
      <c r="D48" s="3278"/>
      <c r="E48" s="1776"/>
      <c r="F48" s="2815" t="s">
        <v>1870</v>
      </c>
      <c r="G48" s="1682"/>
    </row>
    <row r="49" spans="1:15">
      <c r="A49" s="1686" t="s">
        <v>1873</v>
      </c>
      <c r="B49" s="1775"/>
      <c r="C49" s="3279" t="s">
        <v>1839</v>
      </c>
      <c r="D49" s="3280"/>
      <c r="E49" s="1778">
        <v>66583</v>
      </c>
      <c r="F49" s="1870"/>
      <c r="G49" s="1871"/>
    </row>
    <row r="50" spans="1:15" ht="13.5" thickBot="1">
      <c r="A50" s="1688" t="s">
        <v>1832</v>
      </c>
      <c r="B50" s="1775"/>
      <c r="C50" s="3286" t="s">
        <v>1813</v>
      </c>
      <c r="D50" s="3289"/>
      <c r="E50" s="1682"/>
      <c r="F50" s="1723"/>
      <c r="G50" s="1852"/>
    </row>
    <row r="51" spans="1:15">
      <c r="A51" s="1688" t="s">
        <v>1841</v>
      </c>
      <c r="B51" s="1634"/>
      <c r="C51" s="1723"/>
      <c r="D51" s="1723"/>
      <c r="E51" s="1723"/>
      <c r="F51" s="1723"/>
      <c r="G51" s="1852"/>
    </row>
    <row r="52" spans="1:15" ht="24.75" thickBot="1">
      <c r="A52" s="1689" t="s">
        <v>1840</v>
      </c>
      <c r="B52" s="1683"/>
      <c r="C52" s="1850"/>
      <c r="D52" s="1850"/>
      <c r="E52" s="1850"/>
      <c r="F52" s="1850"/>
      <c r="G52" s="1853"/>
    </row>
    <row r="53" spans="1:15">
      <c r="A53" s="1642"/>
      <c r="B53" s="1642"/>
      <c r="C53" s="1642"/>
      <c r="D53" s="1642"/>
      <c r="E53" s="1642"/>
      <c r="F53" s="1642"/>
      <c r="G53" s="1642"/>
    </row>
    <row r="54" spans="1:15">
      <c r="C54" s="1642"/>
      <c r="D54" s="1642"/>
      <c r="E54" s="1642"/>
      <c r="F54" s="1642"/>
      <c r="G54" s="1642"/>
    </row>
    <row r="56" spans="1:15" s="1722" customFormat="1">
      <c r="I56" s="1894"/>
      <c r="J56" s="1026"/>
      <c r="K56" s="1873"/>
      <c r="L56" s="1873"/>
      <c r="M56" s="1873"/>
      <c r="O56" s="1872"/>
    </row>
    <row r="57" spans="1:15" s="1722" customFormat="1">
      <c r="I57" s="1894"/>
      <c r="J57" s="1026"/>
      <c r="K57" s="1873"/>
      <c r="L57" s="1873"/>
      <c r="M57" s="1873"/>
      <c r="O57" s="1872"/>
    </row>
    <row r="58" spans="1:15" s="1722" customFormat="1">
      <c r="I58" s="1894"/>
      <c r="J58" s="1026"/>
      <c r="K58" s="1873"/>
      <c r="L58" s="1873"/>
      <c r="M58" s="1873"/>
      <c r="O58" s="1872"/>
    </row>
    <row r="59" spans="1:15" s="1722" customFormat="1">
      <c r="I59" s="1894"/>
      <c r="J59" s="1026"/>
      <c r="K59" s="1873"/>
      <c r="L59" s="1873"/>
      <c r="M59" s="1873"/>
      <c r="O59" s="1872"/>
    </row>
    <row r="60" spans="1:15" s="1722" customFormat="1">
      <c r="I60" s="1894"/>
      <c r="J60" s="1026"/>
      <c r="K60" s="1873"/>
      <c r="L60" s="1873"/>
      <c r="M60" s="1873"/>
      <c r="O60" s="1872"/>
    </row>
    <row r="61" spans="1:15" s="1722" customFormat="1">
      <c r="I61" s="1894"/>
      <c r="J61" s="1026"/>
      <c r="K61" s="1873"/>
      <c r="L61" s="1873"/>
      <c r="M61" s="1873"/>
      <c r="O61" s="1872"/>
    </row>
    <row r="62" spans="1:15" s="1722" customFormat="1">
      <c r="I62" s="1894"/>
      <c r="J62" s="1026"/>
      <c r="K62" s="1873"/>
      <c r="L62" s="1873"/>
      <c r="M62" s="1873"/>
      <c r="O62" s="187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34" t="s">
        <v>2</v>
      </c>
      <c r="B1" s="3234" t="s">
        <v>22</v>
      </c>
      <c r="C1" s="3234" t="s">
        <v>23</v>
      </c>
      <c r="D1" s="3306" t="s">
        <v>205</v>
      </c>
      <c r="E1" s="3306" t="s">
        <v>206</v>
      </c>
      <c r="F1" s="3306"/>
      <c r="G1" s="3306"/>
      <c r="H1" s="3306"/>
      <c r="I1" s="3306"/>
      <c r="J1" s="3306"/>
      <c r="K1" s="3306"/>
      <c r="L1" s="3306"/>
      <c r="M1" s="3306"/>
    </row>
    <row r="2" spans="1:13" ht="27" customHeight="1">
      <c r="A2" s="3234"/>
      <c r="B2" s="3234"/>
      <c r="C2" s="3234"/>
      <c r="D2" s="3306"/>
      <c r="E2" s="3306" t="s">
        <v>189</v>
      </c>
      <c r="F2" s="3306" t="s">
        <v>190</v>
      </c>
      <c r="G2" s="3306"/>
      <c r="H2" s="3306"/>
      <c r="I2" s="3306"/>
      <c r="J2" s="3306" t="s">
        <v>191</v>
      </c>
      <c r="K2" s="3306"/>
      <c r="L2" s="3306"/>
      <c r="M2" s="3306"/>
    </row>
    <row r="3" spans="1:13" ht="28.5">
      <c r="A3" s="3234"/>
      <c r="B3" s="3234"/>
      <c r="C3" s="3234"/>
      <c r="D3" s="3306"/>
      <c r="E3" s="3306"/>
      <c r="F3" s="170" t="s">
        <v>192</v>
      </c>
      <c r="G3" s="170" t="s">
        <v>187</v>
      </c>
      <c r="H3" s="170" t="s">
        <v>188</v>
      </c>
      <c r="I3" s="170" t="s">
        <v>201</v>
      </c>
      <c r="J3" s="170" t="s">
        <v>192</v>
      </c>
      <c r="K3" s="170" t="s">
        <v>203</v>
      </c>
      <c r="L3" s="170" t="s">
        <v>202</v>
      </c>
      <c r="M3" s="170" t="s">
        <v>204</v>
      </c>
    </row>
    <row r="4" spans="1:13" ht="42.75">
      <c r="A4" s="170" t="s">
        <v>193</v>
      </c>
      <c r="B4" s="170" t="s">
        <v>194</v>
      </c>
      <c r="C4" s="170" t="s">
        <v>195</v>
      </c>
      <c r="D4" s="171">
        <v>3807.94</v>
      </c>
      <c r="E4" s="171">
        <v>20666.91</v>
      </c>
      <c r="F4" s="171">
        <v>19673</v>
      </c>
      <c r="G4" s="171">
        <v>0</v>
      </c>
      <c r="H4" s="171">
        <v>19673</v>
      </c>
      <c r="I4" s="171">
        <v>0</v>
      </c>
      <c r="J4" s="171">
        <v>993.90999999999985</v>
      </c>
      <c r="K4" s="171">
        <v>0</v>
      </c>
      <c r="L4" s="171">
        <v>0</v>
      </c>
      <c r="M4" s="171">
        <v>993.90999999999985</v>
      </c>
    </row>
    <row r="5" spans="1:13" ht="42.75">
      <c r="A5" s="170" t="s">
        <v>193</v>
      </c>
      <c r="B5" s="170" t="s">
        <v>196</v>
      </c>
      <c r="C5" s="170" t="s">
        <v>197</v>
      </c>
      <c r="D5" s="171">
        <v>3667.86</v>
      </c>
      <c r="E5" s="171">
        <v>19906.61</v>
      </c>
      <c r="F5" s="171">
        <v>18792.87</v>
      </c>
      <c r="G5" s="171">
        <v>18792.87</v>
      </c>
      <c r="H5" s="171">
        <v>0</v>
      </c>
      <c r="I5" s="171">
        <v>0</v>
      </c>
      <c r="J5" s="171">
        <v>1113.74</v>
      </c>
      <c r="K5" s="171">
        <v>55.59</v>
      </c>
      <c r="L5" s="171">
        <v>0</v>
      </c>
      <c r="M5" s="171">
        <v>1058.1500000000001</v>
      </c>
    </row>
    <row r="6" spans="1:13" ht="42.75">
      <c r="A6" s="170" t="s">
        <v>193</v>
      </c>
      <c r="B6" s="170" t="s">
        <v>196</v>
      </c>
      <c r="C6" s="170" t="s">
        <v>198</v>
      </c>
      <c r="D6" s="171">
        <v>2067.52</v>
      </c>
      <c r="E6" s="171">
        <v>11221.06</v>
      </c>
      <c r="F6" s="171">
        <v>9934.1299999999992</v>
      </c>
      <c r="G6" s="171">
        <v>9934.1299999999992</v>
      </c>
      <c r="H6" s="171">
        <v>0</v>
      </c>
      <c r="I6" s="171">
        <v>0</v>
      </c>
      <c r="J6" s="171">
        <v>1286.93</v>
      </c>
      <c r="K6" s="171">
        <v>0</v>
      </c>
      <c r="L6" s="171">
        <v>0</v>
      </c>
      <c r="M6" s="171">
        <v>1286.93</v>
      </c>
    </row>
    <row r="7" spans="1:13" ht="42.75">
      <c r="A7" s="170" t="s">
        <v>193</v>
      </c>
      <c r="B7" s="170" t="s">
        <v>196</v>
      </c>
      <c r="C7" s="170" t="s">
        <v>199</v>
      </c>
      <c r="D7" s="171">
        <v>8.18</v>
      </c>
      <c r="E7" s="171">
        <v>44.41</v>
      </c>
      <c r="F7" s="171">
        <v>0</v>
      </c>
      <c r="G7" s="171">
        <v>0</v>
      </c>
      <c r="H7" s="171">
        <v>0</v>
      </c>
      <c r="I7" s="171">
        <v>0</v>
      </c>
      <c r="J7" s="171">
        <v>44.41</v>
      </c>
      <c r="K7" s="171">
        <v>44.41</v>
      </c>
      <c r="L7" s="171">
        <v>0</v>
      </c>
      <c r="M7" s="171">
        <v>0</v>
      </c>
    </row>
    <row r="8" spans="1:13" ht="42.75">
      <c r="A8" s="170" t="s">
        <v>193</v>
      </c>
      <c r="B8" s="170" t="s">
        <v>196</v>
      </c>
      <c r="C8" s="170" t="s">
        <v>200</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06" t="s">
        <v>207</v>
      </c>
      <c r="B9" s="3306"/>
      <c r="C9" s="330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0" customWidth="1"/>
    <col min="2" max="2" width="16.75" style="2074" customWidth="1"/>
    <col min="3" max="3" width="10.75" style="2074" customWidth="1"/>
    <col min="4" max="4" width="31.625" style="2091" customWidth="1"/>
    <col min="5" max="5" width="17.625" style="2091" customWidth="1"/>
    <col min="6" max="8" width="9.125" style="2072" customWidth="1"/>
    <col min="9" max="9" width="15" style="2071" bestFit="1" customWidth="1"/>
    <col min="10" max="14" width="8.875" style="2071" customWidth="1"/>
    <col min="15" max="16" width="12.375" style="2073" customWidth="1"/>
    <col min="17" max="17" width="8.625" style="2071" customWidth="1"/>
    <col min="18" max="18" width="12.5" style="2071" customWidth="1"/>
    <col min="19" max="19" width="8.5" style="2071" customWidth="1"/>
    <col min="20" max="21" width="10.875" style="2071" customWidth="1"/>
    <col min="22" max="23" width="12.5" style="2071" customWidth="1"/>
    <col min="24" max="24" width="12.125" style="2071" customWidth="1"/>
    <col min="25" max="25" width="7.5" style="2071" customWidth="1"/>
    <col min="26" max="26" width="6.375" style="2071" customWidth="1"/>
    <col min="27" max="30" width="6.75" style="2071"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15" t="s">
        <v>597</v>
      </c>
      <c r="B1" s="2071"/>
      <c r="C1" s="2071"/>
      <c r="D1" s="2072"/>
      <c r="E1" s="2072"/>
      <c r="AE1" s="2071"/>
      <c r="AF1" s="2071"/>
      <c r="AG1" s="2071"/>
      <c r="AH1" s="2071"/>
      <c r="AI1" s="2071"/>
      <c r="AJ1" s="2071"/>
      <c r="AK1" s="2071"/>
      <c r="AL1" s="2071"/>
      <c r="AM1" s="2071"/>
      <c r="AN1" s="2071"/>
      <c r="AO1" s="2071"/>
    </row>
    <row r="2" spans="1:41" s="2079" customFormat="1" ht="15" thickBot="1">
      <c r="A2" s="16" t="s">
        <v>598</v>
      </c>
      <c r="B2" s="2092">
        <f>项目基本情况!D2</f>
        <v>42916</v>
      </c>
      <c r="C2" s="2075"/>
      <c r="D2" s="3307" t="s">
        <v>2278</v>
      </c>
      <c r="E2" s="2076"/>
      <c r="F2" s="2077"/>
      <c r="G2" s="2077"/>
      <c r="H2" s="2077"/>
      <c r="I2" s="2075"/>
      <c r="J2" s="2075"/>
      <c r="K2" s="2075"/>
      <c r="L2" s="2075"/>
      <c r="M2" s="2075"/>
      <c r="N2" s="2075"/>
      <c r="O2" s="2078"/>
      <c r="P2" s="2078"/>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row>
    <row r="3" spans="1:41" s="2079" customFormat="1" ht="15" customHeight="1" thickBot="1">
      <c r="A3" s="872" t="s">
        <v>2200</v>
      </c>
      <c r="B3" s="2013" t="s">
        <v>6289</v>
      </c>
      <c r="C3" s="2075"/>
      <c r="D3" s="3308"/>
      <c r="E3" s="2038" t="s">
        <v>8058</v>
      </c>
      <c r="F3" s="2077"/>
      <c r="G3" s="2077"/>
      <c r="H3" s="2077"/>
      <c r="I3" s="2075"/>
      <c r="J3" s="2075"/>
      <c r="K3" s="2075"/>
      <c r="L3" s="2075"/>
      <c r="M3" s="2075"/>
      <c r="N3" s="2075"/>
      <c r="O3" s="2078"/>
      <c r="P3" s="2078"/>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row>
    <row r="4" spans="1:41" s="2079" customFormat="1" ht="15" thickBot="1">
      <c r="A4" s="2012" t="s">
        <v>2201</v>
      </c>
      <c r="B4" s="2013" t="s">
        <v>6290</v>
      </c>
      <c r="C4" s="2075"/>
      <c r="D4" s="3308"/>
      <c r="E4" s="2038"/>
      <c r="F4" s="2077"/>
      <c r="G4" s="2077"/>
      <c r="H4" s="2077"/>
      <c r="I4" s="2075"/>
      <c r="J4" s="2075"/>
      <c r="K4" s="2075"/>
      <c r="L4" s="2075"/>
      <c r="M4" s="2075"/>
      <c r="N4" s="2075"/>
      <c r="O4" s="2078"/>
      <c r="P4" s="2078"/>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75"/>
      <c r="AO4" s="2075"/>
    </row>
    <row r="5" spans="1:41" s="2079" customFormat="1" ht="15" thickBot="1">
      <c r="A5" s="2314" t="s">
        <v>2282</v>
      </c>
      <c r="B5" s="2315">
        <f>项目基本情况!C12</f>
        <v>88039.929999999338</v>
      </c>
      <c r="C5" s="2075"/>
      <c r="D5" s="2039" t="s">
        <v>2279</v>
      </c>
      <c r="E5" s="611">
        <f>Sheet2!E5</f>
        <v>88.29</v>
      </c>
      <c r="F5" s="2077"/>
      <c r="G5" s="2077"/>
      <c r="H5" s="2077"/>
      <c r="I5" s="2075"/>
      <c r="J5" s="2075"/>
      <c r="K5" s="2075"/>
      <c r="L5" s="2075"/>
      <c r="M5" s="2075"/>
      <c r="N5" s="2075"/>
      <c r="O5" s="2078"/>
      <c r="P5" s="2078"/>
      <c r="Q5" s="2075"/>
      <c r="R5" s="2075"/>
      <c r="S5" s="2075"/>
      <c r="T5" s="2075"/>
      <c r="U5" s="2075"/>
      <c r="V5" s="2075"/>
      <c r="W5" s="2075"/>
      <c r="X5" s="2075"/>
      <c r="Y5" s="2075"/>
      <c r="Z5" s="2075"/>
      <c r="AA5" s="2075"/>
      <c r="AB5" s="2075"/>
      <c r="AC5" s="2075"/>
      <c r="AD5" s="2075"/>
      <c r="AE5" s="2075"/>
      <c r="AF5" s="2075"/>
      <c r="AG5" s="2075"/>
      <c r="AH5" s="2075"/>
      <c r="AI5" s="2075"/>
      <c r="AJ5" s="2075"/>
      <c r="AK5" s="2075"/>
      <c r="AL5" s="2075"/>
      <c r="AM5" s="2075"/>
      <c r="AN5" s="2075"/>
      <c r="AO5" s="2075"/>
    </row>
    <row r="6" spans="1:41" s="2079" customFormat="1" ht="15" thickBot="1">
      <c r="A6" s="2313" t="s">
        <v>2281</v>
      </c>
      <c r="B6" s="2316">
        <f>项目基本情况!C13</f>
        <v>4968.7000000000498</v>
      </c>
      <c r="C6" s="2075"/>
      <c r="D6" s="2039" t="s">
        <v>2280</v>
      </c>
      <c r="E6" s="611">
        <f>'7.15'!G5</f>
        <v>9.9</v>
      </c>
      <c r="F6" s="2077"/>
      <c r="G6" s="2077"/>
      <c r="H6" s="2077"/>
      <c r="I6" s="2075"/>
      <c r="J6" s="2075"/>
      <c r="K6" s="2075"/>
      <c r="L6" s="2075"/>
      <c r="M6" s="2075"/>
      <c r="N6" s="2075"/>
      <c r="O6" s="2078"/>
      <c r="P6" s="2078"/>
      <c r="Q6" s="2075"/>
      <c r="R6" s="2075"/>
      <c r="S6" s="2075"/>
      <c r="T6" s="2075"/>
      <c r="U6" s="2075"/>
      <c r="V6" s="2075"/>
      <c r="W6" s="2075"/>
      <c r="X6" s="2075"/>
      <c r="Y6" s="2075"/>
      <c r="Z6" s="2075"/>
      <c r="AA6" s="2075"/>
      <c r="AB6" s="2075"/>
      <c r="AC6" s="2075"/>
      <c r="AD6" s="2075"/>
      <c r="AE6" s="2075"/>
      <c r="AF6" s="2075"/>
      <c r="AG6" s="2075"/>
      <c r="AH6" s="2075"/>
      <c r="AI6" s="2075"/>
      <c r="AJ6" s="2075"/>
      <c r="AK6" s="2075"/>
      <c r="AL6" s="2075"/>
      <c r="AM6" s="2075"/>
      <c r="AN6" s="2075"/>
      <c r="AO6" s="2075"/>
    </row>
    <row r="7" spans="1:41" s="2079" customFormat="1" ht="13.5">
      <c r="A7" s="2080"/>
      <c r="B7" s="2075"/>
      <c r="C7" s="2075"/>
      <c r="D7" s="2312"/>
      <c r="E7" s="2312"/>
      <c r="F7" s="2077"/>
      <c r="G7" s="2077"/>
      <c r="H7" s="2077"/>
      <c r="I7" s="2075"/>
      <c r="J7" s="2075"/>
      <c r="K7" s="2075"/>
      <c r="L7" s="2075"/>
      <c r="M7" s="2075"/>
      <c r="N7" s="2075"/>
      <c r="O7" s="2078"/>
      <c r="P7" s="2078"/>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row>
    <row r="8" spans="1:41" s="2079" customFormat="1" ht="13.5">
      <c r="A8" s="2080"/>
      <c r="B8" s="2075"/>
      <c r="C8" s="2075"/>
      <c r="D8" s="2312"/>
      <c r="E8" s="2312"/>
      <c r="F8" s="2077"/>
      <c r="G8" s="2077"/>
      <c r="H8" s="2077"/>
      <c r="I8" s="2075"/>
      <c r="J8" s="2075"/>
      <c r="K8" s="2075"/>
      <c r="L8" s="2075"/>
      <c r="M8" s="2075"/>
      <c r="N8" s="2075"/>
      <c r="O8" s="2078"/>
      <c r="P8" s="2078"/>
      <c r="Q8" s="2075"/>
      <c r="R8" s="2075"/>
      <c r="S8" s="2075"/>
      <c r="T8" s="2075"/>
      <c r="U8" s="2075"/>
      <c r="V8" s="2075"/>
      <c r="W8" s="2075"/>
      <c r="X8" s="2075"/>
      <c r="Y8" s="2075"/>
      <c r="Z8" s="2075"/>
      <c r="AA8" s="2075"/>
      <c r="AB8" s="2075"/>
      <c r="AC8" s="2075"/>
      <c r="AD8" s="2075"/>
      <c r="AE8" s="2075"/>
      <c r="AF8" s="2075"/>
      <c r="AG8" s="2075"/>
      <c r="AH8" s="2075"/>
      <c r="AI8" s="2075"/>
      <c r="AJ8" s="2075"/>
      <c r="AK8" s="2075"/>
      <c r="AL8" s="2075"/>
      <c r="AM8" s="2075"/>
      <c r="AN8" s="2075"/>
      <c r="AO8" s="2075"/>
    </row>
    <row r="9" spans="1:41" s="2079" customFormat="1" ht="14.25" thickBot="1">
      <c r="A9" s="2075"/>
      <c r="B9" s="2075"/>
      <c r="C9" s="2075"/>
      <c r="D9" s="2077"/>
      <c r="E9" s="2077"/>
      <c r="F9" s="2077"/>
      <c r="G9" s="2077"/>
      <c r="H9" s="2077"/>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2075"/>
      <c r="AN9" s="2075"/>
      <c r="AO9" s="2075"/>
    </row>
    <row r="10" spans="1:41" s="2079" customFormat="1" ht="14.25" thickBot="1">
      <c r="A10" s="1644" t="s">
        <v>600</v>
      </c>
      <c r="B10" s="1651" t="s">
        <v>25</v>
      </c>
      <c r="C10" s="2075"/>
      <c r="D10" s="16" t="s">
        <v>618</v>
      </c>
      <c r="E10" s="24" t="s">
        <v>619</v>
      </c>
      <c r="F10" s="25" t="s">
        <v>620</v>
      </c>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row>
    <row r="11" spans="1:41" s="2083" customFormat="1" ht="13.5">
      <c r="A11" s="1652" t="s">
        <v>601</v>
      </c>
      <c r="B11" s="1653">
        <v>70</v>
      </c>
      <c r="C11" s="2075"/>
      <c r="D11" s="26" t="s">
        <v>621</v>
      </c>
      <c r="E11" s="217">
        <v>90</v>
      </c>
      <c r="F11" s="2081" t="s">
        <v>8054</v>
      </c>
      <c r="G11" s="2075"/>
      <c r="H11" s="2075"/>
      <c r="I11" s="2075"/>
      <c r="J11" s="2075"/>
      <c r="K11" s="2075"/>
      <c r="L11" s="2082"/>
      <c r="M11" s="2082"/>
      <c r="N11" s="2082"/>
      <c r="O11" s="2082"/>
      <c r="P11" s="2082"/>
      <c r="Q11" s="2082"/>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row>
    <row r="12" spans="1:41" s="2079" customFormat="1" ht="14.25">
      <c r="A12" s="1654" t="s">
        <v>602</v>
      </c>
      <c r="B12" s="2996">
        <v>66583</v>
      </c>
      <c r="C12" s="2075"/>
      <c r="D12" s="27" t="s">
        <v>622</v>
      </c>
      <c r="E12" s="220">
        <v>140</v>
      </c>
      <c r="F12" s="3038"/>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row>
    <row r="13" spans="1:41" s="2079" customFormat="1" ht="15" thickBot="1">
      <c r="A13" s="1655" t="s">
        <v>603</v>
      </c>
      <c r="B13" s="1656">
        <f>IF(B12="",B11-(YEAR($B$2)-B26+B23),ROUNDDOWN(MIN((B12-$B$2)/365,B11),2))</f>
        <v>64.84</v>
      </c>
      <c r="C13" s="2084"/>
      <c r="D13" s="176" t="s">
        <v>623</v>
      </c>
      <c r="E13" s="222">
        <v>0</v>
      </c>
      <c r="F13" s="3039" t="s">
        <v>2863</v>
      </c>
      <c r="G13" s="2075"/>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row>
    <row r="14" spans="1:41" s="2079" customFormat="1" ht="14.25">
      <c r="A14" s="1654" t="s">
        <v>604</v>
      </c>
      <c r="B14" s="1657">
        <f>IF(ISERROR(ROUND(POWER(1+B15,B11-B13)*(POWER(1+B15,B13)-1)/(POWER(1+B15,B11)-1),3)),0,ROUND(POWER(1+B15,B11-B13)*(POWER(1+B15,B13)-1)/(POWER(1+B15,B11)-1),3))</f>
        <v>0.98499999999999999</v>
      </c>
      <c r="C14" s="2075"/>
      <c r="D14" s="175" t="s">
        <v>624</v>
      </c>
      <c r="E14" s="998">
        <v>200</v>
      </c>
      <c r="F14" s="3038"/>
      <c r="G14" s="2075"/>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row>
    <row r="15" spans="1:41" s="2079" customFormat="1" ht="14.25">
      <c r="A15" s="1654" t="s">
        <v>605</v>
      </c>
      <c r="B15" s="213">
        <v>0.04</v>
      </c>
      <c r="C15" s="2075"/>
      <c r="D15" s="27" t="s">
        <v>625</v>
      </c>
      <c r="E15" s="221">
        <f>E14-E16</f>
        <v>200</v>
      </c>
      <c r="F15" s="3040"/>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row>
    <row r="16" spans="1:41" s="2079" customFormat="1" ht="15" thickBot="1">
      <c r="A16" s="1654" t="s">
        <v>606</v>
      </c>
      <c r="B16" s="3210">
        <v>4.4999999999999998E-2</v>
      </c>
      <c r="C16" s="2075"/>
      <c r="D16" s="29" t="s">
        <v>626</v>
      </c>
      <c r="E16" s="999">
        <v>0</v>
      </c>
      <c r="F16" s="3041"/>
      <c r="G16" s="2075"/>
      <c r="H16" s="2075"/>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row>
    <row r="17" spans="1:41" s="2079" customFormat="1" ht="15" thickBot="1">
      <c r="A17" s="1658" t="s">
        <v>607</v>
      </c>
      <c r="B17" s="1671">
        <v>0.08</v>
      </c>
      <c r="C17" s="2075"/>
      <c r="D17" s="1644" t="s">
        <v>608</v>
      </c>
      <c r="E17" s="1645">
        <v>2200</v>
      </c>
      <c r="F17" s="2150"/>
      <c r="G17" s="2075"/>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row>
    <row r="18" spans="1:41" s="2079" customFormat="1" ht="15" thickBot="1">
      <c r="A18" s="2075"/>
      <c r="B18" s="2075"/>
      <c r="C18" s="2075"/>
      <c r="D18" s="1646" t="str">
        <f>IF(B25=0,"建安总额","在建建安")</f>
        <v>建安总额</v>
      </c>
      <c r="E18" s="1647">
        <f>ROUND(B5*E17*IF(B25=0,1,E20),0)</f>
        <v>193687846</v>
      </c>
      <c r="F18" s="2317">
        <f>ROUND(E5*E17*IF(B25=0,1,E20),0)</f>
        <v>194238</v>
      </c>
      <c r="G18" s="2075"/>
      <c r="H18" s="2075"/>
      <c r="I18" s="2075"/>
      <c r="J18" s="2075"/>
      <c r="K18" s="2075"/>
      <c r="L18" s="2075"/>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row>
    <row r="19" spans="1:41" s="2079" customFormat="1" ht="15" thickBot="1">
      <c r="A19" s="17" t="s">
        <v>21</v>
      </c>
      <c r="B19" s="2075"/>
      <c r="C19" s="2075"/>
      <c r="D19" s="1646" t="str">
        <f>IF(B25=0,"——","续建建安")</f>
        <v>——</v>
      </c>
      <c r="E19" s="1647" t="str">
        <f>IF(B25=0,"——",ROUND(B5*E17*(1-E20),0))</f>
        <v>——</v>
      </c>
      <c r="F19" s="2317" t="str">
        <f>IF(B25=0,"——",ROUND(E5*E17*(1-E20),0))</f>
        <v>——</v>
      </c>
      <c r="G19" s="2075"/>
      <c r="H19" s="2075"/>
      <c r="I19" s="2075"/>
      <c r="J19" s="2075"/>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5"/>
      <c r="AK19" s="2075"/>
      <c r="AL19" s="2075"/>
      <c r="AM19" s="2075"/>
      <c r="AN19" s="2075"/>
      <c r="AO19" s="2075"/>
    </row>
    <row r="20" spans="1:41" s="2079" customFormat="1" ht="15" thickBot="1">
      <c r="A20" s="21" t="s">
        <v>0</v>
      </c>
      <c r="B20" s="214">
        <v>0</v>
      </c>
      <c r="C20" s="2075"/>
      <c r="D20" s="269" t="str">
        <f>IF(B25=0,"成新率","工程进度")</f>
        <v>成新率</v>
      </c>
      <c r="E20" s="3185">
        <f>ROUND(1-(2017-2015)/60,2)</f>
        <v>0.97</v>
      </c>
      <c r="F20" s="2150"/>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c r="AM20" s="2075"/>
      <c r="AN20" s="2075"/>
      <c r="AO20" s="2075"/>
    </row>
    <row r="21" spans="1:41" s="2079" customFormat="1" ht="14.25">
      <c r="A21" s="22" t="s">
        <v>616</v>
      </c>
      <c r="B21" s="215">
        <v>2</v>
      </c>
      <c r="C21" s="2075"/>
      <c r="D21" s="27" t="s">
        <v>627</v>
      </c>
      <c r="E21" s="1000">
        <v>0.03</v>
      </c>
      <c r="F21" s="3042" t="s">
        <v>2864</v>
      </c>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c r="AM21" s="2075"/>
      <c r="AN21" s="2075"/>
      <c r="AO21" s="2075"/>
    </row>
    <row r="22" spans="1:41" s="2079" customFormat="1" ht="14.25">
      <c r="A22" s="2522" t="s">
        <v>2511</v>
      </c>
      <c r="B22" s="2523">
        <v>2</v>
      </c>
      <c r="C22" s="2075"/>
      <c r="D22" s="27" t="s">
        <v>628</v>
      </c>
      <c r="E22" s="223">
        <v>0.05</v>
      </c>
      <c r="F22" s="3042" t="s">
        <v>2865</v>
      </c>
      <c r="G22" s="2075"/>
      <c r="H22" s="2075"/>
      <c r="I22" s="2075"/>
      <c r="J22" s="2075"/>
      <c r="K22" s="2075"/>
      <c r="L22" s="2075"/>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c r="AL22" s="2075"/>
      <c r="AM22" s="2075"/>
      <c r="AN22" s="2075"/>
      <c r="AO22" s="2075"/>
    </row>
    <row r="23" spans="1:41" s="2079" customFormat="1" ht="15" thickBot="1">
      <c r="A23" s="23" t="s">
        <v>617</v>
      </c>
      <c r="B23" s="216">
        <f>B20+B21</f>
        <v>2</v>
      </c>
      <c r="C23" s="2075"/>
      <c r="D23" s="27" t="s">
        <v>629</v>
      </c>
      <c r="E23" s="220">
        <v>200</v>
      </c>
      <c r="F23" s="3042" t="s">
        <v>2866</v>
      </c>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row>
    <row r="24" spans="1:41" s="2079" customFormat="1" ht="15" thickBot="1">
      <c r="A24" s="2521" t="s">
        <v>2509</v>
      </c>
      <c r="B24" s="2919">
        <f>B20+B22</f>
        <v>2</v>
      </c>
      <c r="C24" s="2075"/>
      <c r="D24" s="29" t="s">
        <v>630</v>
      </c>
      <c r="E24" s="2997">
        <v>1.4999999999999999E-2</v>
      </c>
      <c r="F24" s="3042" t="s">
        <v>2867</v>
      </c>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row>
    <row r="25" spans="1:41" ht="15" thickBot="1">
      <c r="A25" s="23" t="s">
        <v>2510</v>
      </c>
      <c r="B25" s="2520">
        <f>B21-B22</f>
        <v>0</v>
      </c>
      <c r="C25" s="2071"/>
      <c r="D25" s="26" t="s">
        <v>631</v>
      </c>
      <c r="E25" s="3184">
        <v>0.02</v>
      </c>
      <c r="F25" s="3042" t="s">
        <v>2868</v>
      </c>
      <c r="I25" s="2072"/>
      <c r="AE25" s="2071"/>
      <c r="AF25" s="2071"/>
      <c r="AG25" s="2071"/>
      <c r="AH25" s="2071"/>
      <c r="AI25" s="2071"/>
      <c r="AJ25" s="2071"/>
      <c r="AK25" s="2071"/>
      <c r="AL25" s="2071"/>
      <c r="AM25" s="2071"/>
      <c r="AN25" s="2071"/>
      <c r="AO25" s="2071"/>
    </row>
    <row r="26" spans="1:41" ht="15" thickBot="1">
      <c r="A26" s="1902" t="s">
        <v>2012</v>
      </c>
      <c r="B26" s="1901">
        <v>2015</v>
      </c>
      <c r="C26" s="2075"/>
      <c r="D26" s="27" t="s">
        <v>632</v>
      </c>
      <c r="E26" s="223">
        <v>0.02</v>
      </c>
      <c r="F26" s="3042" t="s">
        <v>2868</v>
      </c>
      <c r="G26" s="2077"/>
      <c r="H26" s="2077"/>
      <c r="I26" s="2075"/>
      <c r="J26" s="2075"/>
      <c r="K26" s="2075"/>
      <c r="L26" s="2075"/>
      <c r="M26" s="2075"/>
      <c r="N26" s="2075"/>
      <c r="AE26" s="2071"/>
      <c r="AF26" s="2071"/>
      <c r="AG26" s="2071"/>
      <c r="AH26" s="2071"/>
      <c r="AI26" s="2071"/>
      <c r="AJ26" s="2071"/>
      <c r="AK26" s="2071"/>
      <c r="AL26" s="2071"/>
      <c r="AM26" s="2071"/>
      <c r="AN26" s="2071"/>
      <c r="AO26" s="2071"/>
    </row>
    <row r="27" spans="1:41" ht="14.25" thickBot="1">
      <c r="A27" s="2071"/>
      <c r="B27" s="2071"/>
      <c r="C27" s="2071"/>
      <c r="D27" s="27" t="s">
        <v>633</v>
      </c>
      <c r="E27" s="570">
        <f ca="1">存贷款利率!G1</f>
        <v>4.7500000000000001E-2</v>
      </c>
      <c r="F27" s="3042" t="s">
        <v>2869</v>
      </c>
      <c r="G27" s="2077"/>
      <c r="H27" s="2077"/>
      <c r="K27" s="2075"/>
      <c r="N27" s="2075"/>
      <c r="AE27" s="2071"/>
      <c r="AF27" s="2071"/>
      <c r="AG27" s="2071"/>
      <c r="AH27" s="2071"/>
      <c r="AI27" s="2071"/>
      <c r="AJ27" s="2071"/>
      <c r="AK27" s="2071"/>
      <c r="AL27" s="2071"/>
      <c r="AM27" s="2071"/>
      <c r="AN27" s="2071"/>
      <c r="AO27" s="2071"/>
    </row>
    <row r="28" spans="1:41" ht="14.25" thickBot="1">
      <c r="A28" s="9" t="s">
        <v>1878</v>
      </c>
      <c r="B28" s="3004" t="s">
        <v>6291</v>
      </c>
      <c r="C28" s="2071"/>
      <c r="D28" s="1649" t="s">
        <v>609</v>
      </c>
      <c r="E28" s="1650">
        <v>0.2</v>
      </c>
      <c r="F28" s="3043"/>
      <c r="G28" s="2077"/>
      <c r="H28" s="2077"/>
      <c r="K28" s="2075"/>
      <c r="N28" s="2075"/>
      <c r="AE28" s="2071"/>
      <c r="AF28" s="2071"/>
      <c r="AG28" s="2071"/>
      <c r="AH28" s="2071"/>
      <c r="AI28" s="2071"/>
      <c r="AJ28" s="2071"/>
      <c r="AK28" s="2071"/>
      <c r="AL28" s="2071"/>
      <c r="AM28" s="2071"/>
      <c r="AN28" s="2071"/>
      <c r="AO28" s="2071"/>
    </row>
    <row r="29" spans="1:41" ht="14.25">
      <c r="A29" s="1654" t="str">
        <f>IF(B28="租赁期内按合同租金","合同租金","市场租金")</f>
        <v>市场租金</v>
      </c>
      <c r="B29" s="212">
        <v>3500</v>
      </c>
      <c r="C29" s="2071"/>
      <c r="D29" s="175" t="s">
        <v>634</v>
      </c>
      <c r="E29" s="1648">
        <f>E30+E31</f>
        <v>5.6000000000000001E-2</v>
      </c>
      <c r="F29" s="3039"/>
      <c r="G29" s="2077"/>
      <c r="H29" s="2077"/>
      <c r="K29" s="2075"/>
      <c r="N29" s="2075"/>
      <c r="AE29" s="2071"/>
      <c r="AF29" s="2071"/>
      <c r="AG29" s="2071"/>
      <c r="AH29" s="2071"/>
      <c r="AI29" s="2071"/>
      <c r="AJ29" s="2071"/>
      <c r="AK29" s="2071"/>
      <c r="AL29" s="2071"/>
      <c r="AM29" s="2071"/>
      <c r="AN29" s="2071"/>
      <c r="AO29" s="2071"/>
    </row>
    <row r="30" spans="1:41" ht="14.25">
      <c r="A30" s="1654" t="s">
        <v>2437</v>
      </c>
      <c r="B30" s="2484">
        <f ca="1">存贷款利率!I1</f>
        <v>1.4999999999999999E-2</v>
      </c>
      <c r="C30" s="2071"/>
      <c r="D30" s="1028" t="s">
        <v>635</v>
      </c>
      <c r="E30" s="3186">
        <v>0.05</v>
      </c>
      <c r="F30" s="3059">
        <f>IF(B2&lt;DATE(2016,5,1),0,E30)</f>
        <v>0.05</v>
      </c>
      <c r="G30" s="2077"/>
      <c r="H30" s="2077"/>
      <c r="K30" s="2075"/>
      <c r="N30" s="2075"/>
      <c r="AE30" s="2071"/>
      <c r="AF30" s="2071"/>
      <c r="AG30" s="2071"/>
      <c r="AH30" s="2071"/>
      <c r="AI30" s="2071"/>
      <c r="AJ30" s="2071"/>
      <c r="AK30" s="2071"/>
      <c r="AL30" s="2071"/>
      <c r="AM30" s="2071"/>
      <c r="AN30" s="2071"/>
      <c r="AO30" s="2071"/>
    </row>
    <row r="31" spans="1:41" ht="14.25">
      <c r="A31" s="1654" t="s">
        <v>610</v>
      </c>
      <c r="B31" s="213">
        <v>0.03</v>
      </c>
      <c r="C31" s="2071"/>
      <c r="D31" s="1028" t="s">
        <v>636</v>
      </c>
      <c r="E31" s="225">
        <f>E30*(E32+E33+E34)+E35</f>
        <v>6.000000000000001E-3</v>
      </c>
      <c r="F31" s="3039"/>
      <c r="G31" s="2077"/>
      <c r="H31" s="2077"/>
      <c r="K31" s="2075"/>
      <c r="N31" s="2075"/>
      <c r="AE31" s="2071"/>
      <c r="AF31" s="2071"/>
      <c r="AG31" s="2071"/>
      <c r="AH31" s="2071"/>
      <c r="AI31" s="2071"/>
      <c r="AJ31" s="2071"/>
      <c r="AK31" s="2071"/>
      <c r="AL31" s="2071"/>
      <c r="AM31" s="2071"/>
      <c r="AN31" s="2071"/>
      <c r="AO31" s="2071"/>
    </row>
    <row r="32" spans="1:41" ht="14.25">
      <c r="A32" s="1654" t="s">
        <v>611</v>
      </c>
      <c r="B32" s="213">
        <v>0.2</v>
      </c>
      <c r="C32" s="2071"/>
      <c r="D32" s="28" t="s">
        <v>637</v>
      </c>
      <c r="E32" s="226">
        <v>7.0000000000000007E-2</v>
      </c>
      <c r="F32" s="3037" t="s">
        <v>2870</v>
      </c>
      <c r="G32" s="2077"/>
      <c r="H32" s="2077"/>
      <c r="K32" s="2075"/>
      <c r="L32" s="2075"/>
      <c r="M32" s="2075"/>
      <c r="N32" s="2075"/>
      <c r="AE32" s="2071"/>
      <c r="AF32" s="2071"/>
      <c r="AG32" s="2071"/>
      <c r="AH32" s="2071"/>
      <c r="AI32" s="2071"/>
      <c r="AJ32" s="2071"/>
      <c r="AK32" s="2071"/>
      <c r="AL32" s="2071"/>
      <c r="AM32" s="2071"/>
      <c r="AN32" s="2071"/>
      <c r="AO32" s="2071"/>
    </row>
    <row r="33" spans="1:41" ht="14.25">
      <c r="A33" s="1654" t="s">
        <v>543</v>
      </c>
      <c r="B33" s="2419">
        <f>收益法!J54</f>
        <v>58</v>
      </c>
      <c r="C33" s="2071"/>
      <c r="D33" s="28" t="s">
        <v>638</v>
      </c>
      <c r="E33" s="224">
        <v>0.03</v>
      </c>
      <c r="F33" s="3036" t="s">
        <v>2871</v>
      </c>
      <c r="G33" s="2077"/>
      <c r="H33" s="2077"/>
      <c r="K33" s="2075"/>
      <c r="L33" s="2075"/>
      <c r="M33" s="2075"/>
      <c r="N33" s="2075"/>
      <c r="AE33" s="2071"/>
      <c r="AF33" s="2071"/>
      <c r="AG33" s="2071"/>
      <c r="AH33" s="2071"/>
      <c r="AI33" s="2071"/>
      <c r="AJ33" s="2071"/>
      <c r="AK33" s="2071"/>
      <c r="AL33" s="2071"/>
      <c r="AM33" s="2071"/>
      <c r="AN33" s="2071"/>
      <c r="AO33" s="2071"/>
    </row>
    <row r="34" spans="1:41" s="2086" customFormat="1" ht="15" thickBot="1">
      <c r="A34" s="1028" t="str">
        <f>IF(B28="租赁期内按合同租金","剩余租赁期","——")</f>
        <v>——</v>
      </c>
      <c r="B34" s="1672"/>
      <c r="C34" s="2071"/>
      <c r="D34" s="28" t="s">
        <v>639</v>
      </c>
      <c r="E34" s="224">
        <v>0.02</v>
      </c>
      <c r="F34" s="3036" t="s">
        <v>2872</v>
      </c>
      <c r="G34" s="2085"/>
      <c r="H34" s="2085"/>
      <c r="I34" s="2078"/>
      <c r="J34" s="2078"/>
      <c r="K34" s="2075"/>
      <c r="L34" s="2075"/>
      <c r="M34" s="2075"/>
      <c r="N34" s="2075"/>
      <c r="O34" s="2073"/>
      <c r="P34" s="2073"/>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row>
    <row r="35" spans="1:41" s="2086" customFormat="1" ht="15" thickBot="1">
      <c r="A35" s="1664" t="s">
        <v>599</v>
      </c>
      <c r="B35" s="1661"/>
      <c r="C35" s="2071"/>
      <c r="D35" s="178" t="s">
        <v>640</v>
      </c>
      <c r="E35" s="227"/>
      <c r="F35" s="3044" t="s">
        <v>2873</v>
      </c>
      <c r="G35" s="2085"/>
      <c r="H35" s="2085"/>
      <c r="I35" s="2078"/>
      <c r="J35" s="2078"/>
      <c r="K35" s="2075"/>
      <c r="L35" s="2075"/>
      <c r="M35" s="2075"/>
      <c r="N35" s="2075"/>
      <c r="O35" s="2073"/>
      <c r="P35" s="2073"/>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row>
    <row r="36" spans="1:41" s="2086" customFormat="1" ht="14.25">
      <c r="A36" s="1662" t="str">
        <f>IF(B28="租赁期内按合同租金","租金","——")</f>
        <v>——</v>
      </c>
      <c r="B36" s="1673"/>
      <c r="C36" s="2071"/>
      <c r="D36" s="177" t="s">
        <v>641</v>
      </c>
      <c r="E36" s="228">
        <v>0.03</v>
      </c>
      <c r="F36" s="3040" t="s">
        <v>2875</v>
      </c>
      <c r="G36" s="2085"/>
      <c r="H36" s="2085"/>
      <c r="I36" s="2078"/>
      <c r="J36" s="2078"/>
      <c r="K36" s="2075"/>
      <c r="L36" s="2075"/>
      <c r="M36" s="2075"/>
      <c r="N36" s="2075"/>
      <c r="O36" s="2073"/>
      <c r="P36" s="2073"/>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row>
    <row r="37" spans="1:41" s="2086" customFormat="1" ht="15" thickBot="1">
      <c r="A37" s="1654" t="str">
        <f>IF(B28="租赁期内按合同租金","年租金增长率","——")</f>
        <v>——</v>
      </c>
      <c r="B37" s="213"/>
      <c r="C37" s="2071"/>
      <c r="D37" s="29" t="s">
        <v>642</v>
      </c>
      <c r="E37" s="224">
        <v>5.0000000000000001E-4</v>
      </c>
      <c r="F37" s="3040" t="s">
        <v>2876</v>
      </c>
      <c r="G37" s="2077"/>
      <c r="H37" s="2077"/>
      <c r="I37" s="2075"/>
      <c r="J37" s="2075"/>
      <c r="K37" s="2075"/>
      <c r="L37" s="2075"/>
      <c r="M37" s="2075"/>
      <c r="N37" s="2075"/>
      <c r="O37" s="2073"/>
      <c r="P37" s="2073"/>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row>
    <row r="38" spans="1:41" s="2086" customFormat="1" ht="14.25">
      <c r="A38" s="1654" t="str">
        <f>IF(B28="租赁期内按合同租金","空置率","——")</f>
        <v>——</v>
      </c>
      <c r="B38" s="213"/>
      <c r="C38" s="2071"/>
      <c r="D38" s="174" t="s">
        <v>643</v>
      </c>
      <c r="E38" s="229">
        <v>1.2E-2</v>
      </c>
      <c r="F38" s="3038"/>
      <c r="G38" s="2072"/>
      <c r="H38" s="2072"/>
      <c r="I38" s="2077"/>
      <c r="J38" s="2075"/>
      <c r="K38" s="2075"/>
      <c r="L38" s="2075"/>
      <c r="M38" s="2075"/>
      <c r="N38" s="2075"/>
      <c r="O38" s="2073"/>
      <c r="P38" s="2073"/>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row>
    <row r="39" spans="1:41" s="2086" customFormat="1" ht="15" thickBot="1">
      <c r="A39" s="1654" t="str">
        <f>IF(B28="租赁期内按合同租金","成新率","——")</f>
        <v>——</v>
      </c>
      <c r="B39" s="213"/>
      <c r="C39" s="2071"/>
      <c r="D39" s="176" t="s">
        <v>644</v>
      </c>
      <c r="E39" s="230">
        <v>0.12</v>
      </c>
      <c r="F39" s="3038"/>
      <c r="G39" s="2085"/>
      <c r="H39" s="2085"/>
      <c r="I39" s="2078"/>
      <c r="J39" s="2078"/>
      <c r="K39" s="2075"/>
      <c r="L39" s="2075"/>
      <c r="M39" s="2075"/>
      <c r="N39" s="2075"/>
      <c r="O39" s="2073"/>
      <c r="P39" s="2073"/>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row>
    <row r="40" spans="1:41" ht="15" thickBot="1">
      <c r="A40" s="1028" t="str">
        <f>IF(B28="租赁期内按合同租金","租赁期外收益期","——")</f>
        <v>——</v>
      </c>
      <c r="B40" s="2048" t="str">
        <f>IF(B28="租赁期内按合同租金",B33-B34,"——")</f>
        <v>——</v>
      </c>
      <c r="C40" s="2071"/>
      <c r="D40" s="174" t="s">
        <v>645</v>
      </c>
      <c r="E40" s="231">
        <f>SUMIF(D42:D51,E41,E42:E51)</f>
        <v>5</v>
      </c>
      <c r="F40" s="3038"/>
      <c r="G40" s="2077"/>
      <c r="H40" s="2077"/>
      <c r="I40" s="2075"/>
      <c r="J40" s="2075"/>
      <c r="K40" s="2075"/>
      <c r="L40" s="2075"/>
      <c r="M40" s="2075"/>
      <c r="N40" s="2075"/>
      <c r="AE40" s="2071"/>
      <c r="AF40" s="2071"/>
      <c r="AG40" s="2071"/>
      <c r="AH40" s="2071"/>
      <c r="AI40" s="2071"/>
      <c r="AJ40" s="2071"/>
      <c r="AK40" s="2071"/>
      <c r="AL40" s="2071"/>
      <c r="AM40" s="2071"/>
      <c r="AN40" s="2071"/>
      <c r="AO40" s="2071"/>
    </row>
    <row r="41" spans="1:41" ht="14.25">
      <c r="A41" s="1663" t="s">
        <v>1805</v>
      </c>
      <c r="B41" s="1674">
        <v>1</v>
      </c>
      <c r="C41" s="2071"/>
      <c r="D41" s="27" t="s">
        <v>646</v>
      </c>
      <c r="E41" s="12" t="s">
        <v>1454</v>
      </c>
      <c r="F41" s="3038" t="s">
        <v>2874</v>
      </c>
      <c r="G41" s="2087" t="s">
        <v>2862</v>
      </c>
      <c r="H41" s="2077"/>
      <c r="I41" s="2075"/>
      <c r="J41" s="2075"/>
      <c r="K41" s="2075"/>
      <c r="L41" s="2075"/>
      <c r="M41" s="2075"/>
      <c r="N41" s="2075"/>
      <c r="AE41" s="2071"/>
      <c r="AF41" s="2071"/>
      <c r="AG41" s="2071"/>
      <c r="AH41" s="2071"/>
      <c r="AI41" s="2071"/>
      <c r="AJ41" s="2071"/>
      <c r="AK41" s="2071"/>
      <c r="AL41" s="2071"/>
      <c r="AM41" s="2071"/>
      <c r="AN41" s="2071"/>
      <c r="AO41" s="2071"/>
    </row>
    <row r="42" spans="1:41" ht="14.25">
      <c r="A42" s="1654" t="s">
        <v>2219</v>
      </c>
      <c r="B42" s="1660">
        <v>12</v>
      </c>
      <c r="C42" s="2071"/>
      <c r="D42" s="13" t="s">
        <v>165</v>
      </c>
      <c r="E42" s="212"/>
      <c r="F42" s="3038">
        <v>30</v>
      </c>
      <c r="G42" s="2077"/>
      <c r="H42" s="2077"/>
      <c r="I42" s="2075"/>
      <c r="J42" s="2075"/>
      <c r="K42" s="2075"/>
      <c r="L42" s="2075"/>
      <c r="M42" s="2075"/>
      <c r="N42" s="2075"/>
      <c r="AE42" s="2071"/>
      <c r="AF42" s="2071"/>
      <c r="AG42" s="2071"/>
      <c r="AH42" s="2071"/>
      <c r="AI42" s="2071"/>
      <c r="AJ42" s="2071"/>
      <c r="AK42" s="2071"/>
      <c r="AL42" s="2071"/>
      <c r="AM42" s="2071"/>
      <c r="AN42" s="2071"/>
      <c r="AO42" s="2071"/>
    </row>
    <row r="43" spans="1:41" ht="14.25">
      <c r="A43" s="1654" t="s">
        <v>612</v>
      </c>
      <c r="B43" s="212"/>
      <c r="C43" s="2071"/>
      <c r="D43" s="13" t="s">
        <v>166</v>
      </c>
      <c r="E43" s="212"/>
      <c r="F43" s="3038">
        <v>24</v>
      </c>
      <c r="G43" s="2077"/>
      <c r="H43" s="2077"/>
      <c r="I43" s="2075"/>
      <c r="J43" s="2075"/>
      <c r="K43" s="2075"/>
      <c r="L43" s="2075"/>
      <c r="M43" s="2075"/>
      <c r="N43" s="2075"/>
      <c r="AE43" s="2071"/>
      <c r="AF43" s="2071"/>
      <c r="AG43" s="2071"/>
      <c r="AH43" s="2071"/>
      <c r="AI43" s="2071"/>
      <c r="AJ43" s="2071"/>
      <c r="AK43" s="2071"/>
      <c r="AL43" s="2071"/>
      <c r="AM43" s="2071"/>
      <c r="AN43" s="2071"/>
      <c r="AO43" s="2071"/>
    </row>
    <row r="44" spans="1:41" ht="14.25">
      <c r="A44" s="1654" t="s">
        <v>613</v>
      </c>
      <c r="B44" s="1675">
        <v>1.4999999999999999E-2</v>
      </c>
      <c r="C44" s="2150" t="s">
        <v>2374</v>
      </c>
      <c r="D44" s="13" t="s">
        <v>161</v>
      </c>
      <c r="E44" s="212"/>
      <c r="F44" s="3038">
        <v>18</v>
      </c>
      <c r="G44" s="2071"/>
      <c r="H44" s="2071"/>
      <c r="I44" s="2077"/>
      <c r="J44" s="2075"/>
      <c r="K44" s="2075"/>
      <c r="L44" s="2075"/>
      <c r="M44" s="2075"/>
      <c r="N44" s="2075"/>
      <c r="AE44" s="2071"/>
      <c r="AF44" s="2071"/>
      <c r="AG44" s="2071"/>
      <c r="AH44" s="2071"/>
      <c r="AI44" s="2071"/>
      <c r="AJ44" s="2071"/>
      <c r="AK44" s="2071"/>
      <c r="AL44" s="2071"/>
      <c r="AM44" s="2071"/>
      <c r="AN44" s="2071"/>
      <c r="AO44" s="2071"/>
    </row>
    <row r="45" spans="1:41" ht="14.25">
      <c r="A45" s="1654" t="s">
        <v>614</v>
      </c>
      <c r="B45" s="1676">
        <v>1.5E-3</v>
      </c>
      <c r="C45" s="2150" t="s">
        <v>2375</v>
      </c>
      <c r="D45" s="13" t="s">
        <v>162</v>
      </c>
      <c r="E45" s="212"/>
      <c r="F45" s="3038">
        <v>12</v>
      </c>
      <c r="G45" s="2071"/>
      <c r="H45" s="2071"/>
      <c r="M45" s="2075"/>
      <c r="N45" s="2075"/>
      <c r="AE45" s="2071"/>
      <c r="AF45" s="2071"/>
      <c r="AG45" s="2071"/>
      <c r="AH45" s="2071"/>
      <c r="AI45" s="2071"/>
      <c r="AJ45" s="2071"/>
      <c r="AK45" s="2071"/>
      <c r="AL45" s="2071"/>
      <c r="AM45" s="2071"/>
      <c r="AN45" s="2071"/>
      <c r="AO45" s="2071"/>
    </row>
    <row r="46" spans="1:41" ht="15" thickBot="1">
      <c r="A46" s="1649" t="s">
        <v>615</v>
      </c>
      <c r="B46" s="1677">
        <v>0.02</v>
      </c>
      <c r="C46" s="2150" t="s">
        <v>2376</v>
      </c>
      <c r="D46" s="13" t="s">
        <v>163</v>
      </c>
      <c r="E46" s="212">
        <v>5</v>
      </c>
      <c r="F46" s="3038">
        <v>3</v>
      </c>
      <c r="G46" s="2071"/>
      <c r="H46" s="2071"/>
      <c r="M46" s="2075"/>
      <c r="N46" s="2075"/>
      <c r="AE46" s="2071"/>
      <c r="AF46" s="2071"/>
      <c r="AG46" s="2071"/>
      <c r="AH46" s="2071"/>
      <c r="AI46" s="2071"/>
      <c r="AJ46" s="2071"/>
      <c r="AK46" s="2071"/>
      <c r="AL46" s="2071"/>
      <c r="AM46" s="2071"/>
      <c r="AN46" s="2071"/>
      <c r="AO46" s="2071"/>
    </row>
    <row r="47" spans="1:41" ht="14.25">
      <c r="A47" s="2071"/>
      <c r="B47" s="2071"/>
      <c r="C47" s="2071"/>
      <c r="D47" s="13" t="s">
        <v>164</v>
      </c>
      <c r="E47" s="212"/>
      <c r="F47" s="3038">
        <v>1.5</v>
      </c>
      <c r="G47" s="2071"/>
      <c r="H47" s="2071"/>
      <c r="M47" s="2075"/>
      <c r="N47" s="2075"/>
      <c r="AE47" s="2071"/>
      <c r="AF47" s="2071"/>
      <c r="AG47" s="2071"/>
      <c r="AH47" s="2071"/>
      <c r="AI47" s="2071"/>
      <c r="AJ47" s="2071"/>
      <c r="AK47" s="2071"/>
      <c r="AL47" s="2071"/>
      <c r="AM47" s="2071"/>
      <c r="AN47" s="2071"/>
      <c r="AO47" s="2071"/>
    </row>
    <row r="48" spans="1:41" ht="14.25">
      <c r="A48" s="2071"/>
      <c r="B48" s="2071"/>
      <c r="C48" s="2071"/>
      <c r="D48" s="13" t="s">
        <v>2858</v>
      </c>
      <c r="E48" s="212"/>
      <c r="F48" s="3045"/>
      <c r="G48" s="2071"/>
      <c r="H48" s="2071"/>
      <c r="M48" s="2075"/>
      <c r="N48" s="2075"/>
      <c r="AE48" s="2071"/>
      <c r="AF48" s="2071"/>
      <c r="AG48" s="2071"/>
      <c r="AH48" s="2071"/>
      <c r="AI48" s="2071"/>
      <c r="AJ48" s="2071"/>
      <c r="AK48" s="2071"/>
      <c r="AL48" s="2071"/>
      <c r="AM48" s="2071"/>
      <c r="AN48" s="2071"/>
      <c r="AO48" s="2071"/>
    </row>
    <row r="49" spans="1:41" ht="14.25">
      <c r="A49" s="2071"/>
      <c r="B49" s="2071"/>
      <c r="C49" s="2071"/>
      <c r="D49" s="13" t="s">
        <v>2859</v>
      </c>
      <c r="E49" s="212"/>
      <c r="F49" s="2075"/>
      <c r="G49" s="2071"/>
      <c r="H49" s="2071"/>
      <c r="M49" s="2075"/>
      <c r="N49" s="2075"/>
      <c r="AE49" s="2071"/>
      <c r="AF49" s="2071"/>
      <c r="AG49" s="2071"/>
      <c r="AH49" s="2071"/>
      <c r="AI49" s="2071"/>
      <c r="AJ49" s="2071"/>
      <c r="AK49" s="2071"/>
      <c r="AL49" s="2071"/>
      <c r="AM49" s="2071"/>
      <c r="AN49" s="2071"/>
      <c r="AO49" s="2071"/>
    </row>
    <row r="50" spans="1:41" ht="14.25">
      <c r="A50" s="2071"/>
      <c r="B50" s="2071"/>
      <c r="C50" s="2071"/>
      <c r="D50" s="13" t="s">
        <v>2860</v>
      </c>
      <c r="E50" s="212"/>
      <c r="F50" s="2075"/>
      <c r="G50" s="2071"/>
      <c r="H50" s="2071"/>
      <c r="M50" s="2075"/>
      <c r="N50" s="2075"/>
      <c r="AE50" s="2071"/>
      <c r="AF50" s="2071"/>
      <c r="AG50" s="2071"/>
      <c r="AH50" s="2071"/>
      <c r="AI50" s="2071"/>
      <c r="AJ50" s="2071"/>
      <c r="AK50" s="2071"/>
      <c r="AL50" s="2071"/>
      <c r="AM50" s="2071"/>
      <c r="AN50" s="2071"/>
      <c r="AO50" s="2071"/>
    </row>
    <row r="51" spans="1:41" s="2071" customFormat="1" ht="15" thickBot="1">
      <c r="D51" s="14" t="s">
        <v>2861</v>
      </c>
      <c r="E51" s="232"/>
      <c r="F51" s="2075"/>
      <c r="M51" s="2075"/>
      <c r="N51" s="2075"/>
      <c r="O51" s="2073"/>
      <c r="P51" s="2073"/>
    </row>
    <row r="52" spans="1:41" s="2071" customFormat="1" ht="13.5">
      <c r="D52" s="2077"/>
      <c r="E52" s="2077"/>
      <c r="F52" s="2077"/>
      <c r="G52" s="2077"/>
      <c r="H52" s="2077"/>
      <c r="I52" s="2075"/>
      <c r="J52" s="2075"/>
      <c r="K52" s="2075"/>
      <c r="L52" s="2075"/>
      <c r="M52" s="2075"/>
      <c r="N52" s="2075"/>
      <c r="O52" s="2073"/>
      <c r="P52" s="2073"/>
    </row>
    <row r="53" spans="1:41" s="2071" customFormat="1" ht="13.5">
      <c r="D53" s="2077"/>
      <c r="E53" s="2077"/>
      <c r="F53" s="2077"/>
      <c r="G53" s="2077"/>
      <c r="H53" s="2077"/>
      <c r="I53" s="2075"/>
      <c r="J53" s="2075"/>
      <c r="K53" s="2075"/>
      <c r="L53" s="2075"/>
      <c r="M53" s="2075"/>
      <c r="N53" s="2075"/>
      <c r="O53" s="2073"/>
      <c r="P53" s="2073"/>
    </row>
    <row r="54" spans="1:41" s="2071" customFormat="1" ht="13.5">
      <c r="D54" s="2077"/>
      <c r="E54" s="2077"/>
      <c r="F54" s="2077"/>
      <c r="G54" s="2077"/>
      <c r="H54" s="2077"/>
      <c r="I54" s="2075"/>
      <c r="J54" s="2075"/>
      <c r="K54" s="2075"/>
      <c r="L54" s="2075"/>
      <c r="M54" s="2075"/>
      <c r="N54" s="2075"/>
      <c r="O54" s="2073"/>
      <c r="P54" s="2073"/>
    </row>
    <row r="55" spans="1:41" s="2071" customFormat="1" ht="13.5">
      <c r="D55" s="2077"/>
      <c r="E55" s="2077"/>
      <c r="F55" s="2077"/>
      <c r="G55" s="2077"/>
      <c r="H55" s="2077"/>
      <c r="I55" s="2075"/>
      <c r="J55" s="2075"/>
      <c r="K55" s="2075"/>
      <c r="L55" s="2075"/>
      <c r="M55" s="2075"/>
      <c r="N55" s="2075"/>
      <c r="O55" s="2073"/>
      <c r="P55" s="2073"/>
    </row>
    <row r="56" spans="1:41" s="2071" customFormat="1" ht="13.5">
      <c r="D56" s="2077"/>
      <c r="E56" s="2077"/>
      <c r="F56" s="2077"/>
      <c r="G56" s="2077"/>
      <c r="H56" s="2077"/>
      <c r="I56" s="2075"/>
      <c r="J56" s="2075"/>
      <c r="K56" s="2075"/>
      <c r="L56" s="2075"/>
      <c r="M56" s="2075"/>
      <c r="N56" s="2075"/>
      <c r="O56" s="2073"/>
      <c r="P56" s="2073"/>
    </row>
    <row r="57" spans="1:41" s="2071" customFormat="1" ht="13.5">
      <c r="D57" s="2077"/>
      <c r="E57" s="2077"/>
      <c r="F57" s="2077"/>
      <c r="G57" s="2077"/>
      <c r="H57" s="2077"/>
      <c r="I57" s="2075"/>
      <c r="J57" s="2075"/>
      <c r="K57" s="2075"/>
      <c r="L57" s="2075"/>
      <c r="M57" s="2075"/>
      <c r="N57" s="2075"/>
      <c r="O57" s="2073"/>
      <c r="P57" s="2073"/>
    </row>
    <row r="58" spans="1:41" s="2071" customFormat="1" ht="13.5">
      <c r="D58" s="2077"/>
      <c r="E58" s="2077"/>
      <c r="F58" s="2077"/>
      <c r="G58" s="2077"/>
      <c r="H58" s="2077"/>
      <c r="I58" s="2075"/>
      <c r="J58" s="2075"/>
      <c r="K58" s="2075"/>
      <c r="L58" s="2075"/>
      <c r="M58" s="2075"/>
      <c r="N58" s="2075"/>
      <c r="O58" s="2073"/>
      <c r="P58" s="2073"/>
    </row>
    <row r="59" spans="1:41" s="2071" customFormat="1" ht="13.5">
      <c r="D59" s="2077"/>
      <c r="E59" s="2077"/>
      <c r="F59" s="2077"/>
      <c r="G59" s="2077"/>
      <c r="H59" s="2077"/>
      <c r="I59" s="2075"/>
      <c r="J59" s="2075"/>
      <c r="K59" s="2075"/>
      <c r="L59" s="2075"/>
      <c r="M59" s="2088"/>
      <c r="N59" s="2075"/>
      <c r="O59" s="2073"/>
      <c r="P59" s="2073"/>
    </row>
    <row r="60" spans="1:41" s="2071" customFormat="1" ht="13.5">
      <c r="D60" s="2077"/>
      <c r="E60" s="2077"/>
      <c r="F60" s="2077"/>
      <c r="G60" s="2077"/>
      <c r="H60" s="2077"/>
      <c r="I60" s="2075"/>
      <c r="J60" s="2075"/>
      <c r="K60" s="2075"/>
      <c r="L60" s="2075"/>
      <c r="M60" s="2075"/>
      <c r="N60" s="2075"/>
      <c r="O60" s="2073"/>
      <c r="P60" s="2073"/>
    </row>
    <row r="61" spans="1:41" s="2071" customFormat="1" ht="13.5">
      <c r="D61" s="2077"/>
      <c r="E61" s="2077"/>
      <c r="F61" s="2077"/>
      <c r="G61" s="2077"/>
      <c r="H61" s="2077"/>
      <c r="I61" s="2075"/>
      <c r="J61" s="2075"/>
      <c r="K61" s="2075"/>
      <c r="L61" s="2075"/>
      <c r="M61" s="2075"/>
      <c r="N61" s="2075"/>
      <c r="O61" s="2073"/>
      <c r="P61" s="2073"/>
    </row>
    <row r="62" spans="1:41" s="2071" customFormat="1" ht="13.5">
      <c r="D62" s="2077"/>
      <c r="E62" s="2077"/>
      <c r="F62" s="2077"/>
      <c r="G62" s="2077"/>
      <c r="H62" s="2077"/>
      <c r="I62" s="2075"/>
      <c r="J62" s="2075"/>
      <c r="K62" s="2075"/>
      <c r="L62" s="2075"/>
      <c r="M62" s="2075"/>
      <c r="N62" s="2075"/>
      <c r="O62" s="2073"/>
      <c r="P62" s="2073"/>
    </row>
    <row r="63" spans="1:41" s="2071" customFormat="1" ht="13.5">
      <c r="D63" s="2077"/>
      <c r="E63" s="2077"/>
      <c r="F63" s="2077"/>
      <c r="G63" s="2077"/>
      <c r="H63" s="2077"/>
      <c r="I63" s="2075"/>
      <c r="J63" s="2075"/>
      <c r="K63" s="2075"/>
      <c r="L63" s="2075"/>
      <c r="M63" s="2075"/>
      <c r="N63" s="2075"/>
      <c r="O63" s="2073"/>
      <c r="P63" s="2073"/>
    </row>
    <row r="64" spans="1:41" s="2071" customFormat="1" ht="13.5">
      <c r="D64" s="2077"/>
      <c r="E64" s="2077"/>
      <c r="F64" s="2077"/>
      <c r="G64" s="2077"/>
      <c r="H64" s="2077"/>
      <c r="I64" s="2075"/>
      <c r="J64" s="2075"/>
      <c r="K64" s="2075"/>
      <c r="L64" s="2075"/>
      <c r="M64" s="2075"/>
      <c r="N64" s="2075"/>
      <c r="O64" s="2073"/>
      <c r="P64" s="2073"/>
    </row>
    <row r="65" spans="1:16" s="2071" customFormat="1" ht="13.5">
      <c r="D65" s="2077"/>
      <c r="E65" s="2077"/>
      <c r="F65" s="2077"/>
      <c r="G65" s="2077"/>
      <c r="H65" s="2077"/>
      <c r="I65" s="2075"/>
      <c r="J65" s="2075"/>
      <c r="K65" s="2075"/>
      <c r="L65" s="2075"/>
      <c r="M65" s="2075"/>
      <c r="N65" s="2075"/>
      <c r="O65" s="2073"/>
      <c r="P65" s="2073"/>
    </row>
    <row r="66" spans="1:16" s="2071" customFormat="1" ht="13.5">
      <c r="A66" s="2089"/>
      <c r="D66" s="2077"/>
      <c r="E66" s="2077"/>
      <c r="F66" s="2077"/>
      <c r="G66" s="2077"/>
      <c r="H66" s="2077"/>
      <c r="I66" s="2075"/>
      <c r="J66" s="2075"/>
      <c r="K66" s="2075"/>
      <c r="L66" s="2075"/>
      <c r="M66" s="2075"/>
      <c r="N66" s="2075"/>
      <c r="O66" s="2073"/>
      <c r="P66" s="2073"/>
    </row>
    <row r="67" spans="1:16" s="2071" customFormat="1" ht="13.5">
      <c r="A67" s="2089"/>
      <c r="D67" s="2077"/>
      <c r="E67" s="2077"/>
      <c r="F67" s="2077"/>
      <c r="G67" s="2077"/>
      <c r="H67" s="2077"/>
      <c r="I67" s="2075"/>
      <c r="J67" s="2075"/>
      <c r="K67" s="2075"/>
      <c r="L67" s="2075"/>
      <c r="M67" s="2075"/>
      <c r="N67" s="2075"/>
      <c r="O67" s="2073"/>
      <c r="P67" s="2073"/>
    </row>
    <row r="68" spans="1:16" s="2071" customFormat="1" ht="13.5">
      <c r="A68" s="2089"/>
      <c r="D68" s="2077"/>
      <c r="E68" s="2077"/>
      <c r="F68" s="2077"/>
      <c r="G68" s="2072"/>
      <c r="H68" s="2072"/>
      <c r="O68" s="2073"/>
      <c r="P68" s="2073"/>
    </row>
    <row r="69" spans="1:16" s="2071" customFormat="1">
      <c r="A69" s="2089"/>
      <c r="D69" s="2072"/>
      <c r="E69" s="2072"/>
      <c r="F69" s="2072"/>
      <c r="G69" s="2072"/>
      <c r="H69" s="2072"/>
      <c r="O69" s="2073"/>
      <c r="P69" s="2073"/>
    </row>
    <row r="70" spans="1:16" s="2071" customFormat="1">
      <c r="A70" s="2089"/>
      <c r="D70" s="2072"/>
      <c r="E70" s="2072"/>
      <c r="F70" s="2072"/>
      <c r="G70" s="2072"/>
      <c r="H70" s="2072"/>
      <c r="O70" s="2073"/>
      <c r="P70" s="2073"/>
    </row>
    <row r="71" spans="1:16" s="2071" customFormat="1">
      <c r="A71" s="2089"/>
      <c r="D71" s="2072"/>
      <c r="E71" s="2072"/>
      <c r="F71" s="2072"/>
      <c r="G71" s="2072"/>
      <c r="H71" s="2072"/>
      <c r="O71" s="2073"/>
      <c r="P71" s="2073"/>
    </row>
    <row r="72" spans="1:16" s="2071" customFormat="1">
      <c r="A72" s="2089"/>
      <c r="D72" s="2072"/>
      <c r="E72" s="2072"/>
      <c r="F72" s="2072"/>
      <c r="G72" s="2072"/>
      <c r="H72" s="2072"/>
      <c r="O72" s="2073"/>
      <c r="P72" s="2073"/>
    </row>
    <row r="73" spans="1:16" s="2071" customFormat="1">
      <c r="A73" s="2089"/>
      <c r="D73" s="2072"/>
      <c r="E73" s="2072"/>
      <c r="F73" s="2072"/>
      <c r="G73" s="2072"/>
      <c r="H73" s="2072"/>
      <c r="O73" s="2073"/>
      <c r="P73" s="2073"/>
    </row>
    <row r="74" spans="1:16" s="2071" customFormat="1">
      <c r="A74" s="2089"/>
      <c r="D74" s="2072"/>
      <c r="E74" s="2072"/>
      <c r="F74" s="2072"/>
      <c r="G74" s="2072"/>
      <c r="H74" s="2072"/>
      <c r="O74" s="2073"/>
      <c r="P74" s="2073"/>
    </row>
    <row r="75" spans="1:16" s="2071" customFormat="1">
      <c r="A75" s="2089"/>
      <c r="D75" s="2072"/>
      <c r="E75" s="2072"/>
      <c r="F75" s="2072"/>
      <c r="G75" s="2072"/>
      <c r="H75" s="2072"/>
      <c r="O75" s="2073"/>
      <c r="P75" s="2073"/>
    </row>
    <row r="76" spans="1:16" s="2071" customFormat="1">
      <c r="A76" s="2089"/>
      <c r="D76" s="2072"/>
      <c r="E76" s="2072"/>
      <c r="F76" s="2072"/>
      <c r="G76" s="2072"/>
      <c r="H76" s="2072"/>
      <c r="O76" s="2073"/>
      <c r="P76" s="2073"/>
    </row>
    <row r="77" spans="1:16" s="2071" customFormat="1">
      <c r="A77" s="2089"/>
      <c r="D77" s="2072"/>
      <c r="E77" s="2072"/>
      <c r="F77" s="2072"/>
      <c r="G77" s="2072"/>
      <c r="H77" s="2072"/>
      <c r="O77" s="2073"/>
      <c r="P77" s="2073"/>
    </row>
    <row r="78" spans="1:16" s="2071" customFormat="1">
      <c r="A78" s="2089"/>
      <c r="D78" s="2072"/>
      <c r="E78" s="2072"/>
      <c r="F78" s="2072"/>
      <c r="G78" s="2072"/>
      <c r="H78" s="2072"/>
      <c r="O78" s="2073"/>
      <c r="P78" s="2073"/>
    </row>
    <row r="79" spans="1:16" s="2071" customFormat="1">
      <c r="A79" s="2089"/>
      <c r="D79" s="2072"/>
      <c r="E79" s="2072"/>
      <c r="F79" s="2072"/>
      <c r="G79" s="2072"/>
      <c r="H79" s="2072"/>
      <c r="O79" s="2073"/>
      <c r="P79" s="2073"/>
    </row>
    <row r="80" spans="1:16" s="2071" customFormat="1">
      <c r="A80" s="2089"/>
      <c r="D80" s="2072"/>
      <c r="E80" s="2072"/>
      <c r="F80" s="2072"/>
      <c r="G80" s="2072"/>
      <c r="H80" s="2072"/>
      <c r="O80" s="2073"/>
      <c r="P80" s="2073"/>
    </row>
    <row r="81" spans="1:16" s="2071" customFormat="1">
      <c r="A81" s="2089"/>
      <c r="D81" s="2072"/>
      <c r="E81" s="2072"/>
      <c r="F81" s="2072"/>
      <c r="G81" s="2072"/>
      <c r="H81" s="2072"/>
      <c r="O81" s="2073"/>
      <c r="P81" s="2073"/>
    </row>
    <row r="82" spans="1:16" s="2071" customFormat="1">
      <c r="A82" s="2089"/>
      <c r="D82" s="2072"/>
      <c r="E82" s="2072"/>
      <c r="F82" s="2072"/>
      <c r="G82" s="2072"/>
      <c r="H82" s="2072"/>
      <c r="O82" s="2073"/>
      <c r="P82" s="2073"/>
    </row>
    <row r="83" spans="1:16" s="2071" customFormat="1">
      <c r="A83" s="2089"/>
      <c r="D83" s="2072"/>
      <c r="E83" s="2072"/>
      <c r="F83" s="2072"/>
      <c r="G83" s="2072"/>
      <c r="H83" s="2072"/>
      <c r="O83" s="2073"/>
      <c r="P83" s="2073"/>
    </row>
    <row r="84" spans="1:16" s="2071" customFormat="1">
      <c r="A84" s="2089"/>
      <c r="D84" s="2072"/>
      <c r="E84" s="2072"/>
      <c r="F84" s="2072"/>
      <c r="G84" s="2072"/>
      <c r="H84" s="2072"/>
      <c r="O84" s="2073"/>
      <c r="P84" s="2073"/>
    </row>
    <row r="85" spans="1:16" s="2071" customFormat="1">
      <c r="A85" s="2089"/>
      <c r="D85" s="2072"/>
      <c r="E85" s="2072"/>
      <c r="F85" s="2072"/>
      <c r="G85" s="2072"/>
      <c r="H85" s="2072"/>
      <c r="O85" s="2073"/>
      <c r="P85" s="2073"/>
    </row>
    <row r="86" spans="1:16" s="2071" customFormat="1">
      <c r="A86" s="2089"/>
      <c r="D86" s="2072"/>
      <c r="E86" s="2072"/>
      <c r="F86" s="2072"/>
      <c r="G86" s="2072"/>
      <c r="H86" s="2072"/>
      <c r="O86" s="2073"/>
      <c r="P86" s="2073"/>
    </row>
    <row r="87" spans="1:16" s="2071" customFormat="1">
      <c r="A87" s="2089"/>
      <c r="D87" s="2072"/>
      <c r="E87" s="2072"/>
      <c r="F87" s="2072"/>
      <c r="G87" s="2072"/>
      <c r="H87" s="2072"/>
      <c r="O87" s="2073"/>
      <c r="P87" s="2073"/>
    </row>
    <row r="88" spans="1:16" s="2071" customFormat="1">
      <c r="A88" s="2089"/>
      <c r="D88" s="2072"/>
      <c r="E88" s="2072"/>
      <c r="F88" s="2072"/>
      <c r="G88" s="2072"/>
      <c r="H88" s="2072"/>
      <c r="O88" s="2073"/>
      <c r="P88" s="2073"/>
    </row>
    <row r="89" spans="1:16" s="2071" customFormat="1">
      <c r="A89" s="2089"/>
      <c r="D89" s="2072"/>
      <c r="E89" s="2072"/>
      <c r="F89" s="2072"/>
      <c r="G89" s="2072"/>
      <c r="H89" s="2072"/>
      <c r="O89" s="2073"/>
      <c r="P89" s="2073"/>
    </row>
    <row r="90" spans="1:16" s="2071" customFormat="1">
      <c r="A90" s="2089"/>
      <c r="D90" s="2072"/>
      <c r="E90" s="2072"/>
      <c r="F90" s="2072"/>
      <c r="G90" s="2072"/>
      <c r="H90" s="2072"/>
      <c r="O90" s="2073"/>
      <c r="P90" s="2073"/>
    </row>
    <row r="91" spans="1:16" s="2071" customFormat="1">
      <c r="A91" s="2089"/>
      <c r="D91" s="2072"/>
      <c r="E91" s="2072"/>
      <c r="F91" s="2072"/>
      <c r="G91" s="2072"/>
      <c r="H91" s="2072"/>
      <c r="O91" s="2073"/>
      <c r="P91" s="2073"/>
    </row>
    <row r="92" spans="1:16" s="2071" customFormat="1">
      <c r="A92" s="2089"/>
      <c r="D92" s="2072"/>
      <c r="E92" s="2072"/>
      <c r="F92" s="2072"/>
      <c r="G92" s="2072"/>
      <c r="H92" s="2072"/>
      <c r="O92" s="2073"/>
      <c r="P92" s="2073"/>
    </row>
    <row r="93" spans="1:16" s="2071" customFormat="1">
      <c r="A93" s="2089"/>
      <c r="D93" s="2072"/>
      <c r="E93" s="2072"/>
      <c r="F93" s="2072"/>
      <c r="G93" s="2072"/>
      <c r="H93" s="2072"/>
      <c r="O93" s="2073"/>
      <c r="P93" s="2073"/>
    </row>
    <row r="94" spans="1:16" s="2071" customFormat="1">
      <c r="A94" s="2089"/>
      <c r="D94" s="2072"/>
      <c r="E94" s="2072"/>
      <c r="F94" s="2072"/>
      <c r="G94" s="2072"/>
      <c r="H94" s="2072"/>
      <c r="O94" s="2073"/>
      <c r="P94" s="2073"/>
    </row>
    <row r="95" spans="1:16" s="2071" customFormat="1">
      <c r="A95" s="2089"/>
      <c r="D95" s="2072"/>
      <c r="E95" s="2072"/>
      <c r="F95" s="2072"/>
      <c r="G95" s="2072"/>
      <c r="H95" s="2072"/>
      <c r="O95" s="2073"/>
      <c r="P95" s="2073"/>
    </row>
    <row r="96" spans="1:16" s="2071" customFormat="1">
      <c r="A96" s="2089"/>
      <c r="D96" s="2072"/>
      <c r="E96" s="2072"/>
      <c r="F96" s="2072"/>
      <c r="G96" s="2072"/>
      <c r="H96" s="2072"/>
      <c r="O96" s="2073"/>
      <c r="P96" s="2073"/>
    </row>
    <row r="97" spans="1:16" s="2071" customFormat="1">
      <c r="A97" s="2089"/>
      <c r="D97" s="2072"/>
      <c r="E97" s="2072"/>
      <c r="F97" s="2072"/>
      <c r="G97" s="2072"/>
      <c r="H97" s="2072"/>
      <c r="O97" s="2073"/>
      <c r="P97" s="2073"/>
    </row>
    <row r="98" spans="1:16" s="2071" customFormat="1">
      <c r="A98" s="2089"/>
      <c r="D98" s="2072"/>
      <c r="E98" s="2072"/>
      <c r="F98" s="2072"/>
      <c r="G98" s="2072"/>
      <c r="H98" s="2072"/>
      <c r="O98" s="2073"/>
      <c r="P98" s="2073"/>
    </row>
    <row r="99" spans="1:16" s="2071" customFormat="1">
      <c r="A99" s="2089"/>
      <c r="D99" s="2072"/>
      <c r="E99" s="2072"/>
      <c r="F99" s="2072"/>
      <c r="G99" s="2072"/>
      <c r="H99" s="2072"/>
      <c r="O99" s="2073"/>
      <c r="P99" s="2073"/>
    </row>
    <row r="100" spans="1:16" s="2071" customFormat="1">
      <c r="A100" s="2089"/>
      <c r="D100" s="2072"/>
      <c r="E100" s="2072"/>
      <c r="F100" s="2072"/>
      <c r="G100" s="2072"/>
      <c r="H100" s="2072"/>
      <c r="O100" s="2073"/>
      <c r="P100" s="2073"/>
    </row>
    <row r="101" spans="1:16" s="2071" customFormat="1">
      <c r="A101" s="2089"/>
      <c r="D101" s="2072"/>
      <c r="E101" s="2072"/>
      <c r="F101" s="2072"/>
      <c r="G101" s="2072"/>
      <c r="H101" s="2072"/>
      <c r="O101" s="2073"/>
      <c r="P101" s="2073"/>
    </row>
    <row r="102" spans="1:16" s="2071" customFormat="1">
      <c r="A102" s="2089"/>
      <c r="D102" s="2072"/>
      <c r="E102" s="2072"/>
      <c r="F102" s="2072"/>
      <c r="G102" s="2072"/>
      <c r="H102" s="2072"/>
      <c r="O102" s="2073"/>
      <c r="P102" s="2073"/>
    </row>
    <row r="103" spans="1:16" s="2071" customFormat="1">
      <c r="A103" s="2089"/>
      <c r="D103" s="2072"/>
      <c r="E103" s="2072"/>
      <c r="F103" s="2072"/>
      <c r="G103" s="2072"/>
      <c r="H103" s="2072"/>
      <c r="O103" s="2073"/>
      <c r="P103" s="2073"/>
    </row>
    <row r="104" spans="1:16" s="2071" customFormat="1">
      <c r="A104" s="2089"/>
      <c r="D104" s="2072"/>
      <c r="E104" s="2072"/>
      <c r="F104" s="2072"/>
      <c r="G104" s="2072"/>
      <c r="H104" s="2072"/>
      <c r="O104" s="2073"/>
      <c r="P104" s="2073"/>
    </row>
    <row r="105" spans="1:16" s="2071" customFormat="1">
      <c r="A105" s="2089"/>
      <c r="D105" s="2072"/>
      <c r="E105" s="2072"/>
      <c r="F105" s="2072"/>
      <c r="G105" s="2072"/>
      <c r="H105" s="2072"/>
      <c r="O105" s="2073"/>
      <c r="P105" s="2073"/>
    </row>
    <row r="106" spans="1:16" s="2071" customFormat="1">
      <c r="A106" s="2089"/>
      <c r="D106" s="2072"/>
      <c r="E106" s="2072"/>
      <c r="F106" s="2072"/>
      <c r="G106" s="2072"/>
      <c r="H106" s="2072"/>
      <c r="O106" s="2073"/>
      <c r="P106" s="2073"/>
    </row>
    <row r="107" spans="1:16" s="2071" customFormat="1">
      <c r="A107" s="2089"/>
      <c r="D107" s="2072"/>
      <c r="E107" s="2072"/>
      <c r="F107" s="2072"/>
      <c r="G107" s="2072"/>
      <c r="H107" s="2072"/>
      <c r="O107" s="2073"/>
      <c r="P107" s="2073"/>
    </row>
    <row r="108" spans="1:16" s="2071" customFormat="1">
      <c r="A108" s="2089"/>
      <c r="D108" s="2072"/>
      <c r="E108" s="2072"/>
      <c r="F108" s="2072"/>
      <c r="G108" s="2072"/>
      <c r="H108" s="2072"/>
      <c r="O108" s="2073"/>
      <c r="P108" s="2073"/>
    </row>
    <row r="109" spans="1:16" s="2071" customFormat="1">
      <c r="A109" s="2089"/>
      <c r="D109" s="2072"/>
      <c r="E109" s="2072"/>
      <c r="F109" s="2072"/>
      <c r="G109" s="2072"/>
      <c r="H109" s="2072"/>
      <c r="O109" s="2073"/>
      <c r="P109" s="2073"/>
    </row>
    <row r="110" spans="1:16" s="2071" customFormat="1">
      <c r="A110" s="2089"/>
      <c r="D110" s="2072"/>
      <c r="E110" s="2072"/>
      <c r="F110" s="2072"/>
      <c r="G110" s="2072"/>
      <c r="H110" s="2072"/>
      <c r="O110" s="2073"/>
      <c r="P110" s="2073"/>
    </row>
    <row r="111" spans="1:16" s="2071" customFormat="1">
      <c r="A111" s="2089"/>
      <c r="D111" s="2072"/>
      <c r="E111" s="2072"/>
      <c r="F111" s="2072"/>
      <c r="G111" s="2072"/>
      <c r="H111" s="2072"/>
      <c r="O111" s="2073"/>
      <c r="P111" s="2073"/>
    </row>
    <row r="112" spans="1:16" s="2071" customFormat="1">
      <c r="A112" s="2089"/>
      <c r="D112" s="2072"/>
      <c r="E112" s="2072"/>
      <c r="F112" s="2072"/>
      <c r="G112" s="2072"/>
      <c r="H112" s="2072"/>
      <c r="O112" s="2073"/>
      <c r="P112" s="2073"/>
    </row>
    <row r="113" spans="1:16" s="2071" customFormat="1">
      <c r="A113" s="2089"/>
      <c r="D113" s="2072"/>
      <c r="E113" s="2072"/>
      <c r="F113" s="2072"/>
      <c r="G113" s="2072"/>
      <c r="H113" s="2072"/>
      <c r="O113" s="2073"/>
      <c r="P113" s="2073"/>
    </row>
    <row r="114" spans="1:16" s="2071" customFormat="1">
      <c r="A114" s="2089"/>
      <c r="D114" s="2072"/>
      <c r="E114" s="2072"/>
      <c r="F114" s="2072"/>
      <c r="G114" s="2072"/>
      <c r="H114" s="2072"/>
      <c r="O114" s="2073"/>
      <c r="P114" s="2073"/>
    </row>
    <row r="115" spans="1:16" s="2071" customFormat="1">
      <c r="A115" s="2089"/>
      <c r="D115" s="2072"/>
      <c r="E115" s="2072"/>
      <c r="F115" s="2072"/>
      <c r="G115" s="2072"/>
      <c r="H115" s="2072"/>
      <c r="O115" s="2073"/>
      <c r="P115" s="2073"/>
    </row>
    <row r="116" spans="1:16" s="2071" customFormat="1">
      <c r="A116" s="2089"/>
      <c r="D116" s="2072"/>
      <c r="E116" s="2072"/>
      <c r="F116" s="2072"/>
      <c r="G116" s="2072"/>
      <c r="H116" s="2072"/>
      <c r="O116" s="2073"/>
      <c r="P116" s="2073"/>
    </row>
    <row r="117" spans="1:16" s="2071" customFormat="1">
      <c r="A117" s="2089"/>
      <c r="D117" s="2072"/>
      <c r="E117" s="2072"/>
      <c r="F117" s="2072"/>
      <c r="G117" s="2072"/>
      <c r="H117" s="2072"/>
      <c r="O117" s="2073"/>
      <c r="P117" s="2073"/>
    </row>
    <row r="118" spans="1:16" s="2071" customFormat="1">
      <c r="A118" s="2089"/>
      <c r="D118" s="2072"/>
      <c r="E118" s="2072"/>
      <c r="F118" s="2072"/>
      <c r="G118" s="2072"/>
      <c r="H118" s="2072"/>
      <c r="O118" s="2073"/>
      <c r="P118" s="2073"/>
    </row>
    <row r="119" spans="1:16" s="2071" customFormat="1">
      <c r="A119" s="2089"/>
      <c r="D119" s="2072"/>
      <c r="E119" s="2072"/>
      <c r="F119" s="2072"/>
      <c r="G119" s="2072"/>
      <c r="H119" s="2072"/>
      <c r="O119" s="2073"/>
      <c r="P119" s="2073"/>
    </row>
    <row r="120" spans="1:16" s="2071" customFormat="1">
      <c r="A120" s="2089"/>
      <c r="D120" s="2072"/>
      <c r="E120" s="2072"/>
      <c r="F120" s="2072"/>
      <c r="G120" s="2072"/>
      <c r="H120" s="2072"/>
      <c r="O120" s="2073"/>
      <c r="P120" s="2073"/>
    </row>
    <row r="121" spans="1:16" s="2071" customFormat="1">
      <c r="A121" s="2089"/>
      <c r="D121" s="2072"/>
      <c r="E121" s="2072"/>
      <c r="F121" s="2072"/>
      <c r="G121" s="2072"/>
      <c r="H121" s="2072"/>
      <c r="O121" s="2073"/>
      <c r="P121" s="2073"/>
    </row>
    <row r="122" spans="1:16" s="2071" customFormat="1">
      <c r="A122" s="2089"/>
      <c r="D122" s="2072"/>
      <c r="E122" s="2072"/>
      <c r="F122" s="2072"/>
      <c r="G122" s="2072"/>
      <c r="H122" s="2072"/>
      <c r="O122" s="2073"/>
      <c r="P122" s="2073"/>
    </row>
    <row r="123" spans="1:16" s="2071" customFormat="1">
      <c r="A123" s="2089"/>
      <c r="D123" s="2072"/>
      <c r="E123" s="2072"/>
      <c r="F123" s="2072"/>
      <c r="G123" s="2072"/>
      <c r="H123" s="2072"/>
      <c r="O123" s="2073"/>
      <c r="P123" s="2073"/>
    </row>
    <row r="124" spans="1:16" s="2071" customFormat="1">
      <c r="A124" s="2089"/>
      <c r="D124" s="2072"/>
      <c r="E124" s="2072"/>
      <c r="F124" s="2072"/>
      <c r="G124" s="2072"/>
      <c r="H124" s="2072"/>
      <c r="O124" s="2073"/>
      <c r="P124" s="2073"/>
    </row>
    <row r="125" spans="1:16" s="2071" customFormat="1">
      <c r="A125" s="2089"/>
      <c r="D125" s="2072"/>
      <c r="E125" s="2072"/>
      <c r="F125" s="2072"/>
      <c r="G125" s="2072"/>
      <c r="H125" s="2072"/>
      <c r="O125" s="2073"/>
      <c r="P125" s="2073"/>
    </row>
    <row r="126" spans="1:16" s="2071" customFormat="1">
      <c r="A126" s="2089"/>
      <c r="D126" s="2072"/>
      <c r="E126" s="2072"/>
      <c r="F126" s="2072"/>
      <c r="G126" s="2072"/>
      <c r="H126" s="2072"/>
      <c r="O126" s="2073"/>
      <c r="P126" s="2073"/>
    </row>
    <row r="127" spans="1:16" s="2071" customFormat="1">
      <c r="A127" s="2089"/>
      <c r="D127" s="2072"/>
      <c r="E127" s="2072"/>
      <c r="F127" s="2072"/>
      <c r="G127" s="2072"/>
      <c r="H127" s="2072"/>
      <c r="O127" s="2073"/>
      <c r="P127" s="2073"/>
    </row>
    <row r="128" spans="1:16" s="2071" customFormat="1">
      <c r="A128" s="2089"/>
      <c r="D128" s="2072"/>
      <c r="E128" s="2072"/>
      <c r="F128" s="2072"/>
      <c r="G128" s="2072"/>
      <c r="H128" s="2072"/>
      <c r="O128" s="2073"/>
      <c r="P128" s="2073"/>
    </row>
    <row r="129" spans="1:16" s="2071" customFormat="1">
      <c r="A129" s="2089"/>
      <c r="D129" s="2072"/>
      <c r="E129" s="2072"/>
      <c r="F129" s="2072"/>
      <c r="G129" s="2072"/>
      <c r="H129" s="2072"/>
      <c r="O129" s="2073"/>
      <c r="P129" s="2073"/>
    </row>
    <row r="130" spans="1:16" s="2071" customFormat="1">
      <c r="A130" s="2089"/>
      <c r="D130" s="2072"/>
      <c r="E130" s="2072"/>
      <c r="F130" s="2072"/>
      <c r="G130" s="2072"/>
      <c r="H130" s="2072"/>
      <c r="O130" s="2073"/>
      <c r="P130" s="2073"/>
    </row>
    <row r="131" spans="1:16" s="2071" customFormat="1">
      <c r="A131" s="2089"/>
      <c r="D131" s="2072"/>
      <c r="E131" s="2072"/>
      <c r="F131" s="2072"/>
      <c r="G131" s="2072"/>
      <c r="H131" s="2072"/>
      <c r="O131" s="2073"/>
      <c r="P131" s="2073"/>
    </row>
    <row r="132" spans="1:16" s="2071" customFormat="1">
      <c r="A132" s="2089"/>
      <c r="D132" s="2072"/>
      <c r="E132" s="2072"/>
      <c r="F132" s="2072"/>
      <c r="G132" s="2072"/>
      <c r="H132" s="2072"/>
      <c r="O132" s="2073"/>
      <c r="P132" s="2073"/>
    </row>
    <row r="133" spans="1:16" s="2071" customFormat="1">
      <c r="A133" s="2089"/>
      <c r="D133" s="2072"/>
      <c r="E133" s="2072"/>
      <c r="F133" s="2072"/>
      <c r="G133" s="2072"/>
      <c r="H133" s="2072"/>
      <c r="O133" s="2073"/>
      <c r="P133" s="2073"/>
    </row>
    <row r="134" spans="1:16" s="2071" customFormat="1">
      <c r="A134" s="2089"/>
      <c r="D134" s="2072"/>
      <c r="E134" s="2072"/>
      <c r="F134" s="2072"/>
      <c r="G134" s="2072"/>
      <c r="H134" s="2072"/>
      <c r="O134" s="2073"/>
      <c r="P134" s="2073"/>
    </row>
    <row r="135" spans="1:16" s="2071" customFormat="1">
      <c r="A135" s="2089"/>
      <c r="D135" s="2072"/>
      <c r="E135" s="2072"/>
      <c r="F135" s="2072"/>
      <c r="G135" s="2072"/>
      <c r="H135" s="2072"/>
      <c r="O135" s="2073"/>
      <c r="P135" s="2073"/>
    </row>
    <row r="136" spans="1:16" s="2071" customFormat="1">
      <c r="A136" s="2089"/>
      <c r="D136" s="2072"/>
      <c r="E136" s="2072"/>
      <c r="F136" s="2072"/>
      <c r="G136" s="2072"/>
      <c r="H136" s="2072"/>
      <c r="O136" s="2073"/>
      <c r="P136" s="2073"/>
    </row>
    <row r="137" spans="1:16" s="2071" customFormat="1">
      <c r="A137" s="2089"/>
      <c r="D137" s="2072"/>
      <c r="E137" s="2072"/>
      <c r="F137" s="2072"/>
      <c r="G137" s="2072"/>
      <c r="H137" s="2072"/>
      <c r="O137" s="2073"/>
      <c r="P137" s="2073"/>
    </row>
    <row r="138" spans="1:16" s="2071" customFormat="1">
      <c r="A138" s="2089"/>
      <c r="D138" s="2072"/>
      <c r="E138" s="2072"/>
      <c r="F138" s="2072"/>
      <c r="G138" s="2072"/>
      <c r="H138" s="2072"/>
      <c r="O138" s="2073"/>
      <c r="P138" s="2073"/>
    </row>
    <row r="139" spans="1:16" s="2071" customFormat="1">
      <c r="A139" s="2089"/>
      <c r="D139" s="2072"/>
      <c r="E139" s="2072"/>
      <c r="F139" s="2072"/>
      <c r="G139" s="2072"/>
      <c r="H139" s="2072"/>
      <c r="O139" s="2073"/>
      <c r="P139" s="2073"/>
    </row>
    <row r="140" spans="1:16" s="2071" customFormat="1">
      <c r="A140" s="2089"/>
      <c r="D140" s="2072"/>
      <c r="E140" s="2072"/>
      <c r="F140" s="2072"/>
      <c r="G140" s="2072"/>
      <c r="H140" s="2072"/>
      <c r="O140" s="2073"/>
      <c r="P140" s="2073"/>
    </row>
    <row r="141" spans="1:16" s="2071" customFormat="1">
      <c r="A141" s="2089"/>
      <c r="D141" s="2072"/>
      <c r="E141" s="2072"/>
      <c r="F141" s="2072"/>
      <c r="G141" s="2072"/>
      <c r="H141" s="2072"/>
      <c r="O141" s="2073"/>
      <c r="P141" s="2073"/>
    </row>
    <row r="142" spans="1:16" s="2071" customFormat="1">
      <c r="A142" s="2089"/>
      <c r="D142" s="2072"/>
      <c r="E142" s="2072"/>
      <c r="F142" s="2072"/>
      <c r="G142" s="2072"/>
      <c r="H142" s="2072"/>
      <c r="O142" s="2073"/>
      <c r="P142" s="2073"/>
    </row>
    <row r="143" spans="1:16" s="2071" customFormat="1">
      <c r="A143" s="2089"/>
      <c r="D143" s="2072"/>
      <c r="E143" s="2072"/>
      <c r="F143" s="2072"/>
      <c r="G143" s="2072"/>
      <c r="H143" s="2072"/>
      <c r="O143" s="2073"/>
      <c r="P143" s="2073"/>
    </row>
    <row r="144" spans="1:16" s="2071" customFormat="1">
      <c r="A144" s="2089"/>
      <c r="D144" s="2072"/>
      <c r="E144" s="2072"/>
      <c r="F144" s="2072"/>
      <c r="G144" s="2072"/>
      <c r="H144" s="2072"/>
      <c r="O144" s="2073"/>
      <c r="P144" s="2073"/>
    </row>
    <row r="145" spans="1:16" s="2071" customFormat="1">
      <c r="A145" s="2089"/>
      <c r="D145" s="2072"/>
      <c r="E145" s="2072"/>
      <c r="F145" s="2072"/>
      <c r="G145" s="2072"/>
      <c r="H145" s="2072"/>
      <c r="O145" s="2073"/>
      <c r="P145" s="2073"/>
    </row>
    <row r="146" spans="1:16" s="2071" customFormat="1">
      <c r="A146" s="2089"/>
      <c r="D146" s="2072"/>
      <c r="E146" s="2072"/>
      <c r="F146" s="2072"/>
      <c r="G146" s="2072"/>
      <c r="H146" s="2072"/>
      <c r="O146" s="2073"/>
      <c r="P146" s="2073"/>
    </row>
    <row r="147" spans="1:16" s="2071" customFormat="1">
      <c r="A147" s="2089"/>
      <c r="D147" s="2072"/>
      <c r="E147" s="2072"/>
      <c r="F147" s="2072"/>
      <c r="G147" s="2072"/>
      <c r="H147" s="2072"/>
      <c r="O147" s="2073"/>
      <c r="P147" s="2073"/>
    </row>
    <row r="148" spans="1:16" s="2071" customFormat="1">
      <c r="A148" s="2089"/>
      <c r="D148" s="2072"/>
      <c r="E148" s="2072"/>
      <c r="F148" s="2072"/>
      <c r="G148" s="2072"/>
      <c r="H148" s="2072"/>
      <c r="O148" s="2073"/>
      <c r="P148" s="2073"/>
    </row>
    <row r="149" spans="1:16" s="2071" customFormat="1">
      <c r="A149" s="2089"/>
      <c r="D149" s="2072"/>
      <c r="E149" s="2072"/>
      <c r="F149" s="2072"/>
      <c r="G149" s="2072"/>
      <c r="H149" s="2072"/>
      <c r="O149" s="2073"/>
      <c r="P149" s="2073"/>
    </row>
    <row r="150" spans="1:16" s="2071" customFormat="1">
      <c r="A150" s="2089"/>
      <c r="D150" s="2072"/>
      <c r="E150" s="2072"/>
      <c r="F150" s="2072"/>
      <c r="G150" s="2072"/>
      <c r="H150" s="2072"/>
      <c r="O150" s="2073"/>
      <c r="P150" s="2073"/>
    </row>
    <row r="151" spans="1:16" s="2071" customFormat="1">
      <c r="A151" s="2089"/>
      <c r="D151" s="2072"/>
      <c r="E151" s="2072"/>
      <c r="F151" s="2072"/>
      <c r="G151" s="2072"/>
      <c r="H151" s="2072"/>
      <c r="O151" s="2073"/>
      <c r="P151" s="2073"/>
    </row>
    <row r="152" spans="1:16" s="2071" customFormat="1">
      <c r="A152" s="2089"/>
      <c r="D152" s="2072"/>
      <c r="E152" s="2072"/>
      <c r="F152" s="2072"/>
      <c r="G152" s="2072"/>
      <c r="H152" s="2072"/>
      <c r="O152" s="2073"/>
      <c r="P152" s="2073"/>
    </row>
    <row r="153" spans="1:16" s="2071" customFormat="1">
      <c r="A153" s="2090"/>
      <c r="B153" s="2074"/>
      <c r="D153" s="2072"/>
      <c r="E153" s="2072"/>
      <c r="F153" s="2072"/>
      <c r="G153" s="2072"/>
      <c r="H153" s="2072"/>
      <c r="O153" s="2073"/>
      <c r="P153" s="2073"/>
    </row>
    <row r="154" spans="1:16" s="2071" customFormat="1">
      <c r="A154" s="2090"/>
      <c r="B154" s="2074"/>
      <c r="D154" s="2072"/>
      <c r="E154" s="2072"/>
      <c r="F154" s="2072"/>
      <c r="G154" s="2072"/>
      <c r="H154" s="2072"/>
      <c r="O154" s="2073"/>
      <c r="P154" s="2073"/>
    </row>
    <row r="155" spans="1:16">
      <c r="D155" s="2072"/>
      <c r="E155" s="2072"/>
    </row>
  </sheetData>
  <sheetProtection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6" sqref="K16"/>
    </sheetView>
  </sheetViews>
  <sheetFormatPr defaultRowHeight="13.5"/>
  <cols>
    <col min="1" max="1" width="9.5" style="2100" customWidth="1"/>
    <col min="2" max="2" width="24.5" style="2118" customWidth="1"/>
    <col min="3" max="3" width="24.5" style="2119" customWidth="1"/>
    <col min="4" max="4" width="2.625" style="2119" customWidth="1"/>
    <col min="5" max="5" width="5.875" style="2119" customWidth="1"/>
    <col min="6" max="6" width="27" style="2118" customWidth="1"/>
    <col min="7" max="7" width="27" style="2120" customWidth="1"/>
    <col min="8" max="8" width="11.875" style="2113" customWidth="1"/>
    <col min="9" max="9" width="16.75" style="2114" customWidth="1"/>
    <col min="10" max="10" width="2.625" style="2113" customWidth="1"/>
    <col min="11" max="11" width="11.875" style="2113" customWidth="1"/>
    <col min="12" max="12" width="16.75" style="2114" customWidth="1"/>
    <col min="13" max="13" width="2.625" style="2113" customWidth="1"/>
    <col min="14" max="14" width="11.875" style="2113" customWidth="1"/>
    <col min="15" max="15" width="16.75" style="2114" customWidth="1"/>
    <col min="16" max="16" width="2.625" style="2113" customWidth="1"/>
    <col min="17" max="17" width="11.875" style="2113" customWidth="1"/>
    <col min="18" max="18" width="16.75" style="2115" customWidth="1"/>
    <col min="19" max="29" width="9" style="2099"/>
    <col min="30" max="16384" width="9" style="2100"/>
  </cols>
  <sheetData>
    <row r="1" spans="1:29" s="2098" customFormat="1" ht="19.5" thickBot="1">
      <c r="A1" s="3309" t="s">
        <v>661</v>
      </c>
      <c r="B1" s="3310"/>
      <c r="C1" s="3310"/>
      <c r="D1" s="3310"/>
      <c r="E1" s="3310"/>
      <c r="F1" s="3310"/>
      <c r="G1" s="3310"/>
      <c r="H1" s="2093"/>
      <c r="I1" s="2094"/>
      <c r="J1" s="2093"/>
      <c r="K1" s="2093"/>
      <c r="L1" s="2094"/>
      <c r="M1" s="2093"/>
      <c r="N1" s="2093"/>
      <c r="O1" s="2094"/>
      <c r="P1" s="2093"/>
      <c r="Q1" s="2095"/>
      <c r="R1" s="2096"/>
      <c r="S1" s="2097"/>
      <c r="T1" s="2097"/>
      <c r="U1" s="2097"/>
      <c r="V1" s="2097"/>
      <c r="W1" s="2097"/>
      <c r="X1" s="2097"/>
      <c r="Y1" s="2097"/>
      <c r="Z1" s="2097"/>
      <c r="AA1" s="2097"/>
      <c r="AB1" s="2097"/>
      <c r="AC1" s="2097"/>
    </row>
    <row r="2" spans="1:29" ht="14.25" thickBot="1">
      <c r="A2" s="1030"/>
      <c r="B2" s="1031"/>
      <c r="C2" s="1032" t="s">
        <v>662</v>
      </c>
      <c r="D2" s="1033"/>
      <c r="E2" s="1034"/>
      <c r="F2" s="1027"/>
      <c r="G2" s="1032" t="s">
        <v>663</v>
      </c>
      <c r="H2" s="2099"/>
      <c r="I2" s="2099"/>
      <c r="J2" s="2099"/>
      <c r="K2" s="2099"/>
      <c r="L2" s="2099"/>
      <c r="M2" s="2099"/>
      <c r="N2" s="2099"/>
      <c r="O2" s="2099"/>
      <c r="P2" s="2099"/>
      <c r="Q2" s="2099"/>
      <c r="R2" s="2099"/>
    </row>
    <row r="3" spans="1:29" ht="40.5">
      <c r="A3" s="879" t="s">
        <v>664</v>
      </c>
      <c r="B3" s="18" t="s">
        <v>36</v>
      </c>
      <c r="C3" s="3046" t="s">
        <v>6345</v>
      </c>
      <c r="D3" s="2101"/>
      <c r="E3" s="888" t="s">
        <v>664</v>
      </c>
      <c r="F3" s="1035" t="s">
        <v>93</v>
      </c>
      <c r="G3" s="3050" t="s">
        <v>2878</v>
      </c>
      <c r="H3" s="2099"/>
      <c r="I3" s="2099"/>
      <c r="J3" s="2099"/>
      <c r="K3" s="2099"/>
      <c r="L3" s="2099"/>
      <c r="M3" s="2099"/>
      <c r="N3" s="2099"/>
      <c r="O3" s="2099"/>
      <c r="P3" s="2099"/>
      <c r="Q3" s="2099"/>
      <c r="R3" s="2099"/>
    </row>
    <row r="4" spans="1:29" ht="40.5">
      <c r="A4" s="888"/>
      <c r="B4" s="2063" t="s">
        <v>665</v>
      </c>
      <c r="C4" s="3047"/>
      <c r="D4" s="2101"/>
      <c r="E4" s="1036"/>
      <c r="F4" s="2068" t="s">
        <v>666</v>
      </c>
      <c r="G4" s="3048" t="s">
        <v>667</v>
      </c>
      <c r="H4" s="2099"/>
      <c r="I4" s="2099"/>
      <c r="J4" s="2099"/>
      <c r="K4" s="2099"/>
      <c r="L4" s="2099"/>
      <c r="M4" s="2099"/>
      <c r="N4" s="2099"/>
      <c r="O4" s="2099"/>
      <c r="P4" s="2099"/>
      <c r="Q4" s="2099"/>
      <c r="R4" s="2099"/>
    </row>
    <row r="5" spans="1:29" ht="27">
      <c r="A5" s="888"/>
      <c r="B5" s="2063" t="s">
        <v>668</v>
      </c>
      <c r="C5" s="3047"/>
      <c r="D5" s="2101"/>
      <c r="E5" s="1036"/>
      <c r="F5" s="2541" t="s">
        <v>2526</v>
      </c>
      <c r="G5" s="3048" t="s">
        <v>2528</v>
      </c>
      <c r="H5" s="2099"/>
      <c r="I5" s="2099"/>
      <c r="J5" s="2099"/>
      <c r="K5" s="2099"/>
      <c r="L5" s="2099"/>
      <c r="M5" s="2099"/>
      <c r="N5" s="2099"/>
      <c r="O5" s="2099"/>
      <c r="P5" s="2099"/>
      <c r="Q5" s="2099"/>
      <c r="R5" s="2099"/>
    </row>
    <row r="6" spans="1:29" ht="27">
      <c r="A6" s="888"/>
      <c r="B6" s="2063" t="s">
        <v>66</v>
      </c>
      <c r="C6" s="3048" t="s">
        <v>6346</v>
      </c>
      <c r="D6" s="2101"/>
      <c r="E6" s="1036"/>
      <c r="F6" s="2541" t="s">
        <v>2527</v>
      </c>
      <c r="G6" s="3048" t="s">
        <v>2529</v>
      </c>
      <c r="H6" s="2099"/>
      <c r="I6" s="2099"/>
      <c r="J6" s="2099"/>
      <c r="K6" s="2099"/>
      <c r="L6" s="2099"/>
      <c r="M6" s="2099"/>
      <c r="N6" s="2099"/>
      <c r="O6" s="2099"/>
      <c r="P6" s="2099"/>
      <c r="Q6" s="2099"/>
      <c r="R6" s="2099"/>
    </row>
    <row r="7" spans="1:29" ht="81.75" thickBot="1">
      <c r="A7" s="888"/>
      <c r="B7" s="2063" t="s">
        <v>2526</v>
      </c>
      <c r="C7" s="3048" t="s">
        <v>6347</v>
      </c>
      <c r="D7" s="2102"/>
      <c r="E7" s="1037"/>
      <c r="F7" s="1038" t="s">
        <v>647</v>
      </c>
      <c r="G7" s="3051" t="s">
        <v>2877</v>
      </c>
      <c r="H7" s="2099"/>
      <c r="I7" s="2099"/>
      <c r="J7" s="2099"/>
      <c r="K7" s="2099"/>
      <c r="L7" s="2099"/>
      <c r="M7" s="2099"/>
      <c r="N7" s="2099"/>
      <c r="O7" s="2099"/>
      <c r="P7" s="2099"/>
      <c r="Q7" s="2099"/>
      <c r="R7" s="2099"/>
    </row>
    <row r="8" spans="1:29">
      <c r="A8" s="888"/>
      <c r="B8" s="2541" t="s">
        <v>2527</v>
      </c>
      <c r="C8" s="3048" t="s">
        <v>6348</v>
      </c>
      <c r="D8" s="2102"/>
      <c r="E8" s="2102"/>
      <c r="F8" s="2103"/>
      <c r="G8" s="2103"/>
      <c r="H8" s="2099"/>
      <c r="I8" s="2099"/>
      <c r="J8" s="2099"/>
      <c r="K8" s="2099"/>
      <c r="L8" s="2099"/>
      <c r="M8" s="2099"/>
      <c r="N8" s="2099"/>
      <c r="O8" s="2099"/>
      <c r="P8" s="2099"/>
      <c r="Q8" s="2099"/>
      <c r="R8" s="2099"/>
    </row>
    <row r="9" spans="1:29">
      <c r="A9" s="888"/>
      <c r="B9" s="2063" t="s">
        <v>67</v>
      </c>
      <c r="C9" s="3047" t="s">
        <v>6349</v>
      </c>
      <c r="D9" s="2101"/>
      <c r="E9" s="2102"/>
      <c r="F9" s="2103"/>
      <c r="G9" s="2103"/>
      <c r="H9" s="2099"/>
      <c r="I9" s="2099"/>
      <c r="J9" s="2099"/>
      <c r="K9" s="2099"/>
      <c r="L9" s="2099"/>
      <c r="M9" s="2099"/>
      <c r="N9" s="2099"/>
      <c r="O9" s="2099"/>
      <c r="P9" s="2099"/>
      <c r="Q9" s="2099"/>
      <c r="R9" s="2099"/>
    </row>
    <row r="10" spans="1:29" s="11" customFormat="1" ht="14.25" thickBot="1">
      <c r="A10" s="1039"/>
      <c r="B10" s="2067" t="s">
        <v>648</v>
      </c>
      <c r="C10" s="3049" t="s">
        <v>6350</v>
      </c>
      <c r="D10" s="2101"/>
      <c r="E10" s="2101"/>
      <c r="F10" s="2103"/>
      <c r="G10" s="2103"/>
      <c r="H10" s="2105"/>
      <c r="I10" s="2106"/>
      <c r="J10" s="2107"/>
      <c r="K10" s="2105"/>
      <c r="L10" s="2106"/>
      <c r="M10" s="2107"/>
      <c r="N10" s="2105"/>
      <c r="O10" s="2106"/>
      <c r="P10" s="2107"/>
      <c r="Q10" s="2105"/>
      <c r="R10" s="2106"/>
      <c r="S10" s="2099"/>
      <c r="T10" s="2099"/>
      <c r="U10" s="2099"/>
      <c r="V10" s="2099"/>
      <c r="W10" s="2099"/>
      <c r="X10" s="2099"/>
      <c r="Y10" s="2099"/>
      <c r="Z10" s="2099"/>
      <c r="AA10" s="2099"/>
      <c r="AB10" s="2099"/>
      <c r="AC10" s="2099"/>
    </row>
    <row r="11" spans="1:29" s="11" customFormat="1">
      <c r="A11" s="2104"/>
      <c r="B11" s="2102"/>
      <c r="C11" s="2101"/>
      <c r="D11" s="2101"/>
      <c r="E11" s="2101"/>
      <c r="F11" s="2102"/>
      <c r="G11" s="1183"/>
      <c r="H11" s="2105"/>
      <c r="I11" s="2106"/>
      <c r="J11" s="2107"/>
      <c r="K11" s="2105"/>
      <c r="L11" s="2106"/>
      <c r="M11" s="2107"/>
      <c r="N11" s="2105"/>
      <c r="O11" s="2106"/>
      <c r="P11" s="2107"/>
      <c r="Q11" s="2105"/>
      <c r="R11" s="2106"/>
      <c r="S11" s="2099"/>
      <c r="T11" s="2099"/>
      <c r="U11" s="2099"/>
      <c r="V11" s="2099"/>
      <c r="W11" s="2099"/>
      <c r="X11" s="2099"/>
      <c r="Y11" s="2099"/>
      <c r="Z11" s="2099"/>
      <c r="AA11" s="2099"/>
      <c r="AB11" s="2099"/>
      <c r="AC11" s="2099"/>
    </row>
    <row r="12" spans="1:29" s="2098" customFormat="1" ht="18.75">
      <c r="A12" s="2104"/>
      <c r="B12" s="2102"/>
      <c r="C12" s="2101"/>
      <c r="D12" s="2540"/>
      <c r="E12" s="2101"/>
      <c r="F12" s="2102"/>
      <c r="G12" s="1183"/>
      <c r="H12" s="2108"/>
      <c r="I12" s="2109"/>
      <c r="J12" s="2108"/>
      <c r="K12" s="2108"/>
      <c r="L12" s="2110"/>
      <c r="M12" s="2108"/>
      <c r="N12" s="2111"/>
      <c r="O12" s="2112"/>
      <c r="P12" s="2111"/>
      <c r="Q12" s="2111"/>
      <c r="R12" s="2096"/>
      <c r="S12" s="2097"/>
      <c r="T12" s="2097"/>
      <c r="U12" s="2097"/>
      <c r="V12" s="2097"/>
      <c r="W12" s="2097"/>
      <c r="X12" s="2097"/>
      <c r="Y12" s="2097"/>
      <c r="Z12" s="2097"/>
      <c r="AA12" s="2097"/>
      <c r="AB12" s="2097"/>
      <c r="AC12" s="2097"/>
    </row>
    <row r="13" spans="1:29" ht="19.5" thickBot="1">
      <c r="A13" s="2539" t="s">
        <v>649</v>
      </c>
      <c r="B13" s="2540"/>
      <c r="C13" s="2540"/>
      <c r="D13" s="1033"/>
      <c r="E13" s="2540"/>
      <c r="F13" s="2540"/>
      <c r="G13" s="2540"/>
    </row>
    <row r="14" spans="1:29" ht="14.25" thickBot="1">
      <c r="A14" s="1040"/>
      <c r="B14" s="1041"/>
      <c r="C14" s="1042" t="s">
        <v>650</v>
      </c>
      <c r="D14" s="2101"/>
      <c r="E14" s="1043"/>
      <c r="F14" s="1043"/>
      <c r="G14" s="1032" t="s">
        <v>651</v>
      </c>
    </row>
    <row r="15" spans="1:29" ht="40.5">
      <c r="A15" s="17" t="s">
        <v>652</v>
      </c>
      <c r="B15" s="6" t="s">
        <v>36</v>
      </c>
      <c r="C15" s="1044" t="str">
        <f>C3</f>
        <v>赞成赞城、逸居城</v>
      </c>
      <c r="D15" s="2101"/>
      <c r="E15" s="2549" t="s">
        <v>653</v>
      </c>
      <c r="F15" s="6" t="s">
        <v>654</v>
      </c>
      <c r="G15" s="881" t="str">
        <f>G3</f>
        <v>估价对象位于XX开发区，园区建设成熟度XX，产业集聚程度XX</v>
      </c>
    </row>
    <row r="16" spans="1:29" ht="40.5">
      <c r="A16" s="2552"/>
      <c r="B16" s="1045" t="s">
        <v>655</v>
      </c>
      <c r="C16" s="1046">
        <f>C4</f>
        <v>0</v>
      </c>
      <c r="D16" s="2101"/>
      <c r="E16" s="2550"/>
      <c r="F16" s="2062" t="s">
        <v>656</v>
      </c>
      <c r="G16" s="883" t="str">
        <f>G4</f>
        <v>估价对象周边道路状况、公共交通通达情况、停车便捷程度，综合评价交通便捷度较好</v>
      </c>
    </row>
    <row r="17" spans="1:18">
      <c r="A17" s="2552"/>
      <c r="B17" s="1045" t="s">
        <v>657</v>
      </c>
      <c r="C17" s="1046">
        <f>C5</f>
        <v>0</v>
      </c>
      <c r="D17" s="2102"/>
      <c r="E17" s="2550"/>
      <c r="F17" s="2062" t="s">
        <v>658</v>
      </c>
      <c r="G17" s="3052"/>
    </row>
    <row r="18" spans="1:18" ht="40.5">
      <c r="A18" s="2552"/>
      <c r="B18" s="2062" t="s">
        <v>66</v>
      </c>
      <c r="C18" s="883" t="str">
        <f>C6</f>
        <v>192路 764路 778路</v>
      </c>
      <c r="D18" s="2102"/>
      <c r="E18" s="2550"/>
      <c r="F18" s="2062" t="s">
        <v>647</v>
      </c>
      <c r="G18" s="883" t="str">
        <f>G7</f>
        <v>该园区内是否有污染型企业，绿化情况，卫生条件，整体环境状况判断</v>
      </c>
    </row>
    <row r="19" spans="1:18" ht="27">
      <c r="A19" s="2552"/>
      <c r="B19" s="2062" t="s">
        <v>85</v>
      </c>
      <c r="C19" s="3052"/>
      <c r="D19" s="2101"/>
      <c r="E19" s="2550"/>
      <c r="F19" s="2541" t="s">
        <v>2526</v>
      </c>
      <c r="G19" s="883" t="str">
        <f>G5</f>
        <v>估价对象所在区域公共配套设施齐备情况</v>
      </c>
    </row>
    <row r="20" spans="1:18" ht="27">
      <c r="A20" s="2552"/>
      <c r="B20" s="2062" t="s">
        <v>84</v>
      </c>
      <c r="C20" s="1046" t="str">
        <f>C9</f>
        <v>海德公园</v>
      </c>
      <c r="D20" s="2102"/>
      <c r="E20" s="2550"/>
      <c r="F20" s="2541" t="s">
        <v>2527</v>
      </c>
      <c r="G20" s="883" t="str">
        <f>G6</f>
        <v>估价对象所在区域基础设施水平</v>
      </c>
    </row>
    <row r="21" spans="1:18" ht="81">
      <c r="A21" s="2552"/>
      <c r="B21" s="2541" t="s">
        <v>2526</v>
      </c>
      <c r="C21" s="883" t="str">
        <f>C7</f>
        <v>余杭区良渚二小、勾庄镇中星桥小学、良渚街道社区卫生服务中心勾庄院区、中信银行(杭州良渚支行)、中信银行(杭州良渚支行)</v>
      </c>
      <c r="D21" s="2101"/>
      <c r="E21" s="2550"/>
      <c r="F21" s="2062" t="s">
        <v>83</v>
      </c>
      <c r="G21" s="179" t="s">
        <v>6343</v>
      </c>
    </row>
    <row r="22" spans="1:18">
      <c r="A22" s="2552"/>
      <c r="B22" s="2541" t="s">
        <v>2527</v>
      </c>
      <c r="C22" s="883" t="str">
        <f>C8</f>
        <v>六通</v>
      </c>
      <c r="D22" s="2101"/>
      <c r="E22" s="2550"/>
      <c r="F22" s="2062" t="s">
        <v>659</v>
      </c>
      <c r="G22" s="172"/>
    </row>
    <row r="23" spans="1:18" s="2099" customFormat="1" ht="14.25" thickBot="1">
      <c r="A23" s="2552"/>
      <c r="B23" s="2062" t="s">
        <v>83</v>
      </c>
      <c r="C23" s="179" t="s">
        <v>6343</v>
      </c>
      <c r="D23" s="2113"/>
      <c r="E23" s="2551"/>
      <c r="F23" s="2066" t="s">
        <v>660</v>
      </c>
      <c r="G23" s="180"/>
      <c r="H23" s="2113"/>
      <c r="I23" s="2114"/>
      <c r="J23" s="2113"/>
      <c r="K23" s="2113"/>
      <c r="L23" s="2114"/>
      <c r="M23" s="2113"/>
      <c r="N23" s="2113"/>
      <c r="O23" s="2114"/>
      <c r="P23" s="2113"/>
      <c r="Q23" s="2113"/>
      <c r="R23" s="2115"/>
    </row>
    <row r="24" spans="1:18" s="2099" customFormat="1" ht="14.25" thickBot="1">
      <c r="A24" s="2553"/>
      <c r="B24" s="2066" t="s">
        <v>82</v>
      </c>
      <c r="C24" s="1047" t="str">
        <f>C10</f>
        <v>主干道-博园西路</v>
      </c>
      <c r="D24" s="2113"/>
      <c r="E24" s="2116"/>
      <c r="F24" s="2116"/>
      <c r="G24" s="2117"/>
      <c r="H24" s="2113"/>
      <c r="I24" s="2114"/>
      <c r="J24" s="2113"/>
      <c r="K24" s="2113"/>
      <c r="L24" s="2114"/>
      <c r="M24" s="2113"/>
      <c r="N24" s="2113"/>
      <c r="O24" s="2114"/>
      <c r="P24" s="2113"/>
      <c r="Q24" s="2113"/>
      <c r="R24" s="2115"/>
    </row>
    <row r="25" spans="1:18" s="2099" customFormat="1">
      <c r="B25" s="2113"/>
      <c r="C25" s="2113"/>
      <c r="D25" s="2113"/>
      <c r="H25" s="2113"/>
      <c r="I25" s="2114"/>
      <c r="J25" s="2113"/>
      <c r="K25" s="2113"/>
      <c r="L25" s="2114"/>
      <c r="M25" s="2113"/>
      <c r="N25" s="2113"/>
      <c r="O25" s="2114"/>
      <c r="P25" s="2113"/>
      <c r="Q25" s="2113"/>
      <c r="R25" s="2115"/>
    </row>
    <row r="26" spans="1:18" s="2099" customFormat="1">
      <c r="B26" s="2113"/>
      <c r="C26" s="2113"/>
      <c r="D26" s="2113"/>
      <c r="H26" s="2113"/>
      <c r="I26" s="2114"/>
      <c r="J26" s="2113"/>
      <c r="K26" s="2113"/>
      <c r="L26" s="2114"/>
      <c r="M26" s="2113"/>
      <c r="N26" s="2113"/>
      <c r="O26" s="2114"/>
      <c r="P26" s="2113"/>
      <c r="Q26" s="2113"/>
      <c r="R26" s="2115"/>
    </row>
    <row r="27" spans="1:18" s="2099" customFormat="1">
      <c r="B27" s="2113"/>
      <c r="C27" s="2113"/>
      <c r="D27" s="2113"/>
      <c r="H27" s="2113"/>
      <c r="I27" s="2114"/>
      <c r="J27" s="2113"/>
      <c r="K27" s="2113"/>
      <c r="L27" s="2114"/>
      <c r="M27" s="2113"/>
      <c r="N27" s="2113"/>
      <c r="O27" s="2114"/>
      <c r="P27" s="2113"/>
      <c r="Q27" s="2113"/>
      <c r="R27" s="2115"/>
    </row>
    <row r="28" spans="1:18" s="2099" customFormat="1">
      <c r="B28" s="2113"/>
      <c r="C28" s="2113"/>
      <c r="D28" s="2113"/>
      <c r="H28" s="2113"/>
      <c r="I28" s="2114"/>
      <c r="J28" s="2113"/>
      <c r="K28" s="2113"/>
      <c r="L28" s="2114"/>
      <c r="M28" s="2113"/>
      <c r="N28" s="2113"/>
      <c r="O28" s="2114"/>
      <c r="P28" s="2113"/>
      <c r="Q28" s="2113"/>
      <c r="R28" s="2115"/>
    </row>
    <row r="29" spans="1:18" s="2099" customFormat="1">
      <c r="B29" s="2113"/>
      <c r="C29" s="2113"/>
      <c r="D29" s="2113"/>
      <c r="H29" s="2113"/>
      <c r="I29" s="2114"/>
      <c r="J29" s="2113"/>
      <c r="K29" s="2113"/>
      <c r="L29" s="2114"/>
      <c r="M29" s="2113"/>
      <c r="N29" s="2113"/>
      <c r="O29" s="2114"/>
      <c r="P29" s="2113"/>
      <c r="Q29" s="2113"/>
      <c r="R29" s="2115"/>
    </row>
    <row r="30" spans="1:18" s="2099" customFormat="1">
      <c r="B30" s="2113"/>
      <c r="C30" s="2113"/>
      <c r="D30" s="2113"/>
      <c r="H30" s="2113"/>
      <c r="I30" s="2114"/>
      <c r="J30" s="2113"/>
      <c r="K30" s="2113"/>
      <c r="L30" s="2114"/>
      <c r="M30" s="2113"/>
      <c r="N30" s="2113"/>
      <c r="O30" s="2114"/>
      <c r="P30" s="2113"/>
      <c r="Q30" s="2113"/>
      <c r="R30" s="2115"/>
    </row>
    <row r="31" spans="1:18" s="2099" customFormat="1">
      <c r="B31" s="2113"/>
      <c r="C31" s="2113"/>
      <c r="D31" s="2113"/>
      <c r="H31" s="2113"/>
      <c r="I31" s="2114"/>
      <c r="J31" s="2113"/>
      <c r="K31" s="2113"/>
      <c r="L31" s="2114"/>
      <c r="M31" s="2113"/>
      <c r="N31" s="2113"/>
      <c r="O31" s="2114"/>
      <c r="P31" s="2113"/>
      <c r="Q31" s="2113"/>
      <c r="R31" s="2115"/>
    </row>
    <row r="32" spans="1:18" s="2099" customFormat="1">
      <c r="B32" s="2113"/>
      <c r="C32" s="2113"/>
      <c r="D32" s="2113"/>
      <c r="H32" s="2113"/>
      <c r="I32" s="2114"/>
      <c r="J32" s="2113"/>
      <c r="K32" s="2113"/>
      <c r="L32" s="2114"/>
      <c r="M32" s="2113"/>
      <c r="N32" s="2113"/>
      <c r="O32" s="2114"/>
      <c r="P32" s="2113"/>
      <c r="Q32" s="2113"/>
      <c r="R32" s="2115"/>
    </row>
    <row r="33" spans="2:18" s="2099" customFormat="1">
      <c r="B33" s="2113"/>
      <c r="C33" s="2113"/>
      <c r="D33" s="2113"/>
      <c r="H33" s="2113"/>
      <c r="I33" s="2114"/>
      <c r="J33" s="2113"/>
      <c r="K33" s="2113"/>
      <c r="L33" s="2114"/>
      <c r="M33" s="2113"/>
      <c r="N33" s="2113"/>
      <c r="O33" s="2114"/>
      <c r="P33" s="2113"/>
      <c r="Q33" s="2113"/>
      <c r="R33" s="2115"/>
    </row>
    <row r="34" spans="2:18" s="2099" customFormat="1">
      <c r="B34" s="2113"/>
      <c r="C34" s="2113"/>
      <c r="D34" s="2113"/>
      <c r="H34" s="2113"/>
      <c r="I34" s="2114"/>
      <c r="J34" s="2113"/>
      <c r="K34" s="2113"/>
      <c r="L34" s="2114"/>
      <c r="M34" s="2113"/>
      <c r="N34" s="2113"/>
      <c r="O34" s="2114"/>
      <c r="P34" s="2113"/>
      <c r="Q34" s="2113"/>
      <c r="R34" s="2115"/>
    </row>
    <row r="35" spans="2:18" s="2099" customFormat="1">
      <c r="B35" s="2113"/>
      <c r="C35" s="2113"/>
      <c r="D35" s="2113"/>
      <c r="H35" s="2113"/>
      <c r="I35" s="2114"/>
      <c r="J35" s="2113"/>
      <c r="K35" s="2113"/>
      <c r="L35" s="2114"/>
      <c r="M35" s="2113"/>
      <c r="N35" s="2113"/>
      <c r="O35" s="2114"/>
      <c r="P35" s="2113"/>
      <c r="Q35" s="2113"/>
      <c r="R35" s="2115"/>
    </row>
    <row r="36" spans="2:18" s="2099" customFormat="1">
      <c r="B36" s="2113"/>
      <c r="C36" s="2113"/>
      <c r="D36" s="2113"/>
      <c r="H36" s="2113"/>
      <c r="I36" s="2114"/>
      <c r="J36" s="2113"/>
      <c r="K36" s="2113"/>
      <c r="L36" s="2114"/>
      <c r="M36" s="2113"/>
      <c r="N36" s="2113"/>
      <c r="O36" s="2114"/>
      <c r="P36" s="2113"/>
      <c r="Q36" s="2113"/>
      <c r="R36" s="2115"/>
    </row>
    <row r="37" spans="2:18" s="2099" customFormat="1">
      <c r="B37" s="2113"/>
      <c r="C37" s="2113"/>
      <c r="D37" s="2113"/>
      <c r="H37" s="2113"/>
      <c r="I37" s="2114"/>
      <c r="J37" s="2113"/>
      <c r="K37" s="2113"/>
      <c r="L37" s="2114"/>
      <c r="M37" s="2113"/>
      <c r="N37" s="2113"/>
      <c r="O37" s="2114"/>
      <c r="P37" s="2113"/>
      <c r="Q37" s="2113"/>
      <c r="R37" s="2115"/>
    </row>
    <row r="38" spans="2:18" s="2099" customFormat="1">
      <c r="B38" s="2113"/>
      <c r="C38" s="2113"/>
      <c r="D38" s="2113"/>
      <c r="E38" s="2113"/>
      <c r="F38" s="2113"/>
      <c r="G38" s="2114"/>
      <c r="H38" s="2113"/>
      <c r="I38" s="2114"/>
      <c r="J38" s="2113"/>
      <c r="K38" s="2113"/>
      <c r="L38" s="2114"/>
      <c r="M38" s="2113"/>
      <c r="N38" s="2113"/>
      <c r="O38" s="2114"/>
      <c r="P38" s="2113"/>
      <c r="Q38" s="2113"/>
      <c r="R38" s="2115"/>
    </row>
    <row r="39" spans="2:18" s="2099" customFormat="1">
      <c r="B39" s="2113"/>
      <c r="C39" s="2113"/>
      <c r="D39" s="2113"/>
      <c r="E39" s="2113"/>
      <c r="F39" s="2113"/>
      <c r="G39" s="2114"/>
      <c r="H39" s="2113"/>
      <c r="I39" s="2114"/>
      <c r="J39" s="2113"/>
      <c r="K39" s="2113"/>
      <c r="L39" s="2114"/>
      <c r="M39" s="2113"/>
      <c r="N39" s="2113"/>
      <c r="O39" s="2114"/>
      <c r="P39" s="2113"/>
      <c r="Q39" s="2113"/>
      <c r="R39" s="2115"/>
    </row>
    <row r="40" spans="2:18" s="2099" customFormat="1">
      <c r="B40" s="2113"/>
      <c r="C40" s="2113"/>
      <c r="D40" s="2113"/>
      <c r="E40" s="2113"/>
      <c r="F40" s="2113"/>
      <c r="G40" s="2114"/>
      <c r="H40" s="2113"/>
      <c r="I40" s="2114"/>
      <c r="J40" s="2113"/>
      <c r="K40" s="2113"/>
      <c r="L40" s="2114"/>
      <c r="M40" s="2113"/>
      <c r="N40" s="2113"/>
      <c r="O40" s="2114"/>
      <c r="P40" s="2113"/>
      <c r="Q40" s="2113"/>
      <c r="R40" s="2115"/>
    </row>
    <row r="41" spans="2:18" s="2099" customFormat="1">
      <c r="B41" s="2113"/>
      <c r="C41" s="2113"/>
      <c r="D41" s="2113"/>
      <c r="E41" s="2113"/>
      <c r="F41" s="2113"/>
      <c r="G41" s="2114"/>
      <c r="H41" s="2113"/>
      <c r="I41" s="2114"/>
      <c r="J41" s="2113"/>
      <c r="K41" s="2113"/>
      <c r="L41" s="2114"/>
      <c r="M41" s="2113"/>
      <c r="N41" s="2113"/>
      <c r="O41" s="2114"/>
      <c r="P41" s="2113"/>
      <c r="Q41" s="2113"/>
      <c r="R41" s="2115"/>
    </row>
    <row r="42" spans="2:18" s="2099" customFormat="1">
      <c r="B42" s="2113"/>
      <c r="C42" s="2113"/>
      <c r="D42" s="2113"/>
      <c r="E42" s="2113"/>
      <c r="F42" s="2113"/>
      <c r="G42" s="2114"/>
      <c r="H42" s="2113"/>
      <c r="I42" s="2114"/>
      <c r="J42" s="2113"/>
      <c r="K42" s="2113"/>
      <c r="L42" s="2114"/>
      <c r="M42" s="2113"/>
      <c r="N42" s="2113"/>
      <c r="O42" s="2114"/>
      <c r="P42" s="2113"/>
      <c r="Q42" s="2113"/>
      <c r="R42" s="2115"/>
    </row>
    <row r="43" spans="2:18" s="2099" customFormat="1">
      <c r="B43" s="2113"/>
      <c r="C43" s="2113"/>
      <c r="D43" s="2113"/>
      <c r="E43" s="2113"/>
      <c r="F43" s="2113"/>
      <c r="G43" s="2114"/>
      <c r="H43" s="2113"/>
      <c r="I43" s="2114"/>
      <c r="J43" s="2113"/>
      <c r="K43" s="2113"/>
      <c r="L43" s="2114"/>
      <c r="M43" s="2113"/>
      <c r="N43" s="2113"/>
      <c r="O43" s="2114"/>
      <c r="P43" s="2113"/>
      <c r="Q43" s="2113"/>
      <c r="R43" s="2115"/>
    </row>
    <row r="44" spans="2:18" s="2099" customFormat="1">
      <c r="B44" s="2113"/>
      <c r="C44" s="2113"/>
      <c r="D44" s="2113"/>
      <c r="E44" s="2113"/>
      <c r="F44" s="2113"/>
      <c r="G44" s="2114"/>
      <c r="H44" s="2113"/>
      <c r="I44" s="2114"/>
      <c r="J44" s="2113"/>
      <c r="K44" s="2113"/>
      <c r="L44" s="2114"/>
      <c r="M44" s="2113"/>
      <c r="N44" s="2113"/>
      <c r="O44" s="2114"/>
      <c r="P44" s="2113"/>
      <c r="Q44" s="2113"/>
      <c r="R44" s="2115"/>
    </row>
    <row r="45" spans="2:18" s="2099" customFormat="1">
      <c r="B45" s="2113"/>
      <c r="C45" s="2113"/>
      <c r="D45" s="2113"/>
      <c r="E45" s="2113"/>
      <c r="F45" s="2113"/>
      <c r="G45" s="2114"/>
      <c r="H45" s="2113"/>
      <c r="I45" s="2114"/>
      <c r="J45" s="2113"/>
      <c r="K45" s="2113"/>
      <c r="L45" s="2114"/>
      <c r="M45" s="2113"/>
      <c r="N45" s="2113"/>
      <c r="O45" s="2114"/>
      <c r="P45" s="2113"/>
      <c r="Q45" s="2113"/>
      <c r="R45" s="2115"/>
    </row>
    <row r="46" spans="2:18" s="2099" customFormat="1">
      <c r="B46" s="2113"/>
      <c r="C46" s="2113"/>
      <c r="D46" s="2113"/>
      <c r="E46" s="2113"/>
      <c r="F46" s="2113"/>
      <c r="G46" s="2114"/>
      <c r="H46" s="2113"/>
      <c r="I46" s="2114"/>
      <c r="J46" s="2113"/>
      <c r="K46" s="2113"/>
      <c r="L46" s="2114"/>
      <c r="M46" s="2113"/>
      <c r="N46" s="2113"/>
      <c r="O46" s="2114"/>
      <c r="P46" s="2113"/>
      <c r="Q46" s="2113"/>
      <c r="R46" s="2115"/>
    </row>
    <row r="47" spans="2:18" s="2099" customFormat="1">
      <c r="B47" s="2113"/>
      <c r="C47" s="2113"/>
      <c r="D47" s="2113"/>
      <c r="E47" s="2113"/>
      <c r="F47" s="2113"/>
      <c r="G47" s="2114"/>
      <c r="H47" s="2113"/>
      <c r="I47" s="2114"/>
      <c r="J47" s="2113"/>
      <c r="K47" s="2113"/>
      <c r="L47" s="2114"/>
      <c r="M47" s="2113"/>
      <c r="N47" s="2113"/>
      <c r="O47" s="2114"/>
      <c r="P47" s="2113"/>
      <c r="Q47" s="2113"/>
      <c r="R47" s="2115"/>
    </row>
    <row r="48" spans="2:18" s="2099" customFormat="1">
      <c r="B48" s="2113"/>
      <c r="C48" s="2113"/>
      <c r="D48" s="2113"/>
      <c r="E48" s="2113"/>
      <c r="F48" s="2113"/>
      <c r="G48" s="2114"/>
      <c r="H48" s="2113"/>
      <c r="I48" s="2114"/>
      <c r="J48" s="2113"/>
      <c r="K48" s="2113"/>
      <c r="L48" s="2114"/>
      <c r="M48" s="2113"/>
      <c r="N48" s="2113"/>
      <c r="O48" s="2114"/>
      <c r="P48" s="2113"/>
      <c r="Q48" s="2113"/>
      <c r="R48" s="2115"/>
    </row>
    <row r="49" spans="2:18" s="2099" customFormat="1">
      <c r="B49" s="2113"/>
      <c r="C49" s="2113"/>
      <c r="D49" s="2113"/>
      <c r="E49" s="2113"/>
      <c r="F49" s="2113"/>
      <c r="G49" s="2114"/>
      <c r="H49" s="2113"/>
      <c r="I49" s="2114"/>
      <c r="J49" s="2113"/>
      <c r="K49" s="2113"/>
      <c r="L49" s="2114"/>
      <c r="M49" s="2113"/>
      <c r="N49" s="2113"/>
      <c r="O49" s="2114"/>
      <c r="P49" s="2113"/>
      <c r="Q49" s="2113"/>
      <c r="R49" s="2115"/>
    </row>
    <row r="50" spans="2:18" s="2099" customFormat="1">
      <c r="B50" s="2113"/>
      <c r="C50" s="2113"/>
      <c r="D50" s="2113"/>
      <c r="E50" s="2113"/>
      <c r="F50" s="2113"/>
      <c r="G50" s="2114"/>
      <c r="H50" s="2113"/>
      <c r="I50" s="2114"/>
      <c r="J50" s="2113"/>
      <c r="K50" s="2113"/>
      <c r="L50" s="2114"/>
      <c r="M50" s="2113"/>
      <c r="N50" s="2113"/>
      <c r="O50" s="2114"/>
      <c r="P50" s="2113"/>
      <c r="Q50" s="2113"/>
      <c r="R50" s="2115"/>
    </row>
    <row r="51" spans="2:18" s="2099" customFormat="1">
      <c r="B51" s="2113"/>
      <c r="C51" s="2113"/>
      <c r="D51" s="2113"/>
      <c r="E51" s="2113"/>
      <c r="F51" s="2113"/>
      <c r="G51" s="2114"/>
      <c r="H51" s="2113"/>
      <c r="I51" s="2114"/>
      <c r="J51" s="2113"/>
      <c r="K51" s="2113"/>
      <c r="L51" s="2114"/>
      <c r="M51" s="2113"/>
      <c r="N51" s="2113"/>
      <c r="O51" s="2114"/>
      <c r="P51" s="2113"/>
      <c r="Q51" s="2113"/>
      <c r="R51" s="2115"/>
    </row>
    <row r="52" spans="2:18" s="2099" customFormat="1">
      <c r="B52" s="2113"/>
      <c r="C52" s="2113"/>
      <c r="D52" s="2113"/>
      <c r="E52" s="2113"/>
      <c r="F52" s="2113"/>
      <c r="G52" s="2114"/>
      <c r="H52" s="2113"/>
      <c r="I52" s="2114"/>
      <c r="J52" s="2113"/>
      <c r="K52" s="2113"/>
      <c r="L52" s="2114"/>
      <c r="M52" s="2113"/>
      <c r="N52" s="2113"/>
      <c r="O52" s="2114"/>
      <c r="P52" s="2113"/>
      <c r="Q52" s="2113"/>
      <c r="R52" s="2115"/>
    </row>
    <row r="53" spans="2:18" s="2099" customFormat="1">
      <c r="B53" s="2113"/>
      <c r="C53" s="2113"/>
      <c r="D53" s="2113"/>
      <c r="E53" s="2113"/>
      <c r="F53" s="2113"/>
      <c r="G53" s="2114"/>
      <c r="H53" s="2113"/>
      <c r="I53" s="2114"/>
      <c r="J53" s="2113"/>
      <c r="K53" s="2113"/>
      <c r="L53" s="2114"/>
      <c r="M53" s="2113"/>
      <c r="N53" s="2113"/>
      <c r="O53" s="2114"/>
      <c r="P53" s="2113"/>
      <c r="Q53" s="2113"/>
      <c r="R53" s="2115"/>
    </row>
    <row r="54" spans="2:18" s="2099" customFormat="1">
      <c r="B54" s="2113"/>
      <c r="C54" s="2113"/>
      <c r="D54" s="2113"/>
      <c r="E54" s="2113"/>
      <c r="F54" s="2113"/>
      <c r="G54" s="2114"/>
      <c r="H54" s="2113"/>
      <c r="I54" s="2114"/>
      <c r="J54" s="2113"/>
      <c r="K54" s="2113"/>
      <c r="L54" s="2114"/>
      <c r="M54" s="2113"/>
      <c r="N54" s="2113"/>
      <c r="O54" s="2114"/>
      <c r="P54" s="2113"/>
      <c r="Q54" s="2113"/>
      <c r="R54" s="2115"/>
    </row>
    <row r="55" spans="2:18" s="2099" customFormat="1">
      <c r="B55" s="2113"/>
      <c r="C55" s="2113"/>
      <c r="D55" s="2113"/>
      <c r="E55" s="2113"/>
      <c r="F55" s="2113"/>
      <c r="G55" s="2114"/>
      <c r="H55" s="2113"/>
      <c r="I55" s="2114"/>
      <c r="J55" s="2113"/>
      <c r="K55" s="2113"/>
      <c r="L55" s="2114"/>
      <c r="M55" s="2113"/>
      <c r="N55" s="2113"/>
      <c r="O55" s="2114"/>
      <c r="P55" s="2113"/>
      <c r="Q55" s="2113"/>
      <c r="R55" s="2115"/>
    </row>
    <row r="56" spans="2:18" s="2099" customFormat="1">
      <c r="B56" s="2113"/>
      <c r="C56" s="2113"/>
      <c r="D56" s="2113"/>
      <c r="E56" s="2113"/>
      <c r="F56" s="2113"/>
      <c r="G56" s="2114"/>
      <c r="H56" s="2113"/>
      <c r="I56" s="2114"/>
      <c r="J56" s="2113"/>
      <c r="K56" s="2113"/>
      <c r="L56" s="2114"/>
      <c r="M56" s="2113"/>
      <c r="N56" s="2113"/>
      <c r="O56" s="2114"/>
      <c r="P56" s="2113"/>
      <c r="Q56" s="2113"/>
      <c r="R56" s="2115"/>
    </row>
    <row r="57" spans="2:18" s="2099" customFormat="1">
      <c r="B57" s="2113"/>
      <c r="C57" s="2113"/>
      <c r="D57" s="2113"/>
      <c r="E57" s="2113"/>
      <c r="F57" s="2113"/>
      <c r="G57" s="2114"/>
      <c r="H57" s="2113"/>
      <c r="I57" s="2114"/>
      <c r="J57" s="2113"/>
      <c r="K57" s="2113"/>
      <c r="L57" s="2114"/>
      <c r="M57" s="2113"/>
      <c r="N57" s="2113"/>
      <c r="O57" s="2114"/>
      <c r="P57" s="2113"/>
      <c r="Q57" s="2113"/>
      <c r="R57" s="2115"/>
    </row>
    <row r="58" spans="2:18" s="2099" customFormat="1">
      <c r="B58" s="2113"/>
      <c r="C58" s="2113"/>
      <c r="D58" s="2113"/>
      <c r="E58" s="2113"/>
      <c r="F58" s="2113"/>
      <c r="G58" s="2114"/>
      <c r="H58" s="2113"/>
      <c r="I58" s="2114"/>
      <c r="J58" s="2113"/>
      <c r="K58" s="2113"/>
      <c r="L58" s="2114"/>
      <c r="M58" s="2113"/>
      <c r="N58" s="2113"/>
      <c r="O58" s="2114"/>
      <c r="P58" s="2113"/>
      <c r="Q58" s="2113"/>
      <c r="R58" s="2115"/>
    </row>
    <row r="59" spans="2:18" s="2099" customFormat="1">
      <c r="B59" s="2113"/>
      <c r="C59" s="2113"/>
      <c r="D59" s="2113"/>
      <c r="E59" s="2113"/>
      <c r="F59" s="2113"/>
      <c r="G59" s="2114"/>
      <c r="H59" s="2113"/>
      <c r="I59" s="2114"/>
      <c r="J59" s="2113"/>
      <c r="K59" s="2113"/>
      <c r="L59" s="2114"/>
      <c r="M59" s="2113"/>
      <c r="N59" s="2113"/>
      <c r="O59" s="2114"/>
      <c r="P59" s="2113"/>
      <c r="Q59" s="2113"/>
      <c r="R59" s="2115"/>
    </row>
    <row r="60" spans="2:18" s="2099" customFormat="1">
      <c r="B60" s="2113"/>
      <c r="C60" s="2113"/>
      <c r="D60" s="2113"/>
      <c r="E60" s="2113"/>
      <c r="F60" s="2113"/>
      <c r="G60" s="2114"/>
      <c r="H60" s="2113"/>
      <c r="I60" s="2114"/>
      <c r="J60" s="2113"/>
      <c r="K60" s="2113"/>
      <c r="L60" s="2114"/>
      <c r="M60" s="2113"/>
      <c r="N60" s="2113"/>
      <c r="O60" s="2114"/>
      <c r="P60" s="2113"/>
      <c r="Q60" s="2113"/>
      <c r="R60" s="2115"/>
    </row>
    <row r="61" spans="2:18" s="2099" customFormat="1">
      <c r="B61" s="2113"/>
      <c r="C61" s="2113"/>
      <c r="D61" s="2113"/>
      <c r="E61" s="2113"/>
      <c r="F61" s="2113"/>
      <c r="G61" s="2114"/>
      <c r="H61" s="2113"/>
      <c r="I61" s="2114"/>
      <c r="J61" s="2113"/>
      <c r="K61" s="2113"/>
      <c r="L61" s="2114"/>
      <c r="M61" s="2113"/>
      <c r="N61" s="2113"/>
      <c r="O61" s="2114"/>
      <c r="P61" s="2113"/>
      <c r="Q61" s="2113"/>
      <c r="R61" s="2115"/>
    </row>
    <row r="62" spans="2:18" s="2099" customFormat="1">
      <c r="B62" s="2113"/>
      <c r="C62" s="2113"/>
      <c r="D62" s="2113"/>
      <c r="E62" s="2113"/>
      <c r="F62" s="2113"/>
      <c r="G62" s="2114"/>
      <c r="H62" s="2113"/>
      <c r="I62" s="2114"/>
      <c r="J62" s="2113"/>
      <c r="K62" s="2113"/>
      <c r="L62" s="2114"/>
      <c r="M62" s="2113"/>
      <c r="N62" s="2113"/>
      <c r="O62" s="2114"/>
      <c r="P62" s="2113"/>
      <c r="Q62" s="2113"/>
      <c r="R62" s="2115"/>
    </row>
    <row r="63" spans="2:18" s="2099" customFormat="1">
      <c r="B63" s="2113"/>
      <c r="C63" s="2113"/>
      <c r="D63" s="2113"/>
      <c r="E63" s="2113"/>
      <c r="F63" s="2113"/>
      <c r="G63" s="2114"/>
      <c r="H63" s="2113"/>
      <c r="I63" s="2114"/>
      <c r="J63" s="2113"/>
      <c r="K63" s="2113"/>
      <c r="L63" s="2114"/>
      <c r="M63" s="2113"/>
      <c r="N63" s="2113"/>
      <c r="O63" s="2114"/>
      <c r="P63" s="2113"/>
      <c r="Q63" s="2113"/>
      <c r="R63" s="2115"/>
    </row>
    <row r="64" spans="2:18" s="2099" customFormat="1">
      <c r="B64" s="2113"/>
      <c r="C64" s="2113"/>
      <c r="D64" s="2113"/>
      <c r="E64" s="2113"/>
      <c r="F64" s="2113"/>
      <c r="G64" s="2114"/>
      <c r="H64" s="2113"/>
      <c r="I64" s="2114"/>
      <c r="J64" s="2113"/>
      <c r="K64" s="2113"/>
      <c r="L64" s="2114"/>
      <c r="M64" s="2113"/>
      <c r="N64" s="2113"/>
      <c r="O64" s="2114"/>
      <c r="P64" s="2113"/>
      <c r="Q64" s="2113"/>
      <c r="R64" s="2115"/>
    </row>
    <row r="65" spans="2:18" s="2099" customFormat="1">
      <c r="B65" s="2113"/>
      <c r="C65" s="2113"/>
      <c r="D65" s="2113"/>
      <c r="E65" s="2113"/>
      <c r="F65" s="2113"/>
      <c r="G65" s="2114"/>
      <c r="H65" s="2113"/>
      <c r="I65" s="2114"/>
      <c r="J65" s="2113"/>
      <c r="K65" s="2113"/>
      <c r="L65" s="2114"/>
      <c r="M65" s="2113"/>
      <c r="N65" s="2113"/>
      <c r="O65" s="2114"/>
      <c r="P65" s="2113"/>
      <c r="Q65" s="2113"/>
      <c r="R65" s="2115"/>
    </row>
    <row r="66" spans="2:18" s="2099" customFormat="1">
      <c r="B66" s="2113"/>
      <c r="C66" s="2113"/>
      <c r="D66" s="2113"/>
      <c r="E66" s="2113"/>
      <c r="F66" s="2113"/>
      <c r="G66" s="2114"/>
      <c r="H66" s="2113"/>
      <c r="I66" s="2114"/>
      <c r="J66" s="2113"/>
      <c r="K66" s="2113"/>
      <c r="L66" s="2114"/>
      <c r="M66" s="2113"/>
      <c r="N66" s="2113"/>
      <c r="O66" s="2114"/>
      <c r="P66" s="2113"/>
      <c r="Q66" s="2113"/>
      <c r="R66" s="2115"/>
    </row>
    <row r="67" spans="2:18" s="2099" customFormat="1">
      <c r="B67" s="2113"/>
      <c r="C67" s="2113"/>
      <c r="D67" s="2113"/>
      <c r="E67" s="2113"/>
      <c r="F67" s="2113"/>
      <c r="G67" s="2114"/>
      <c r="H67" s="2113"/>
      <c r="I67" s="2114"/>
      <c r="J67" s="2113"/>
      <c r="K67" s="2113"/>
      <c r="L67" s="2114"/>
      <c r="M67" s="2113"/>
      <c r="N67" s="2113"/>
      <c r="O67" s="2114"/>
      <c r="P67" s="2113"/>
      <c r="Q67" s="2113"/>
      <c r="R67" s="2115"/>
    </row>
    <row r="68" spans="2:18" s="2099" customFormat="1">
      <c r="B68" s="2113"/>
      <c r="C68" s="2113"/>
      <c r="D68" s="2113"/>
      <c r="E68" s="2113"/>
      <c r="F68" s="2113"/>
      <c r="G68" s="2114"/>
      <c r="H68" s="2113"/>
      <c r="I68" s="2114"/>
      <c r="J68" s="2113"/>
      <c r="K68" s="2113"/>
      <c r="L68" s="2114"/>
      <c r="M68" s="2113"/>
      <c r="N68" s="2113"/>
      <c r="O68" s="2114"/>
      <c r="P68" s="2113"/>
      <c r="Q68" s="2113"/>
      <c r="R68" s="2115"/>
    </row>
    <row r="69" spans="2:18" s="2099" customFormat="1">
      <c r="B69" s="2113"/>
      <c r="C69" s="2113"/>
      <c r="D69" s="2113"/>
      <c r="E69" s="2113"/>
      <c r="F69" s="2113"/>
      <c r="G69" s="2114"/>
      <c r="H69" s="2113"/>
      <c r="I69" s="2114"/>
      <c r="J69" s="2113"/>
      <c r="K69" s="2113"/>
      <c r="L69" s="2114"/>
      <c r="M69" s="2113"/>
      <c r="N69" s="2113"/>
      <c r="O69" s="2114"/>
      <c r="P69" s="2113"/>
      <c r="Q69" s="2113"/>
      <c r="R69" s="2115"/>
    </row>
    <row r="70" spans="2:18" s="2099" customFormat="1">
      <c r="B70" s="2113"/>
      <c r="C70" s="2113"/>
      <c r="D70" s="2113"/>
      <c r="E70" s="2113"/>
      <c r="F70" s="2113"/>
      <c r="G70" s="2114"/>
      <c r="H70" s="2113"/>
      <c r="I70" s="2114"/>
      <c r="J70" s="2113"/>
      <c r="K70" s="2113"/>
      <c r="L70" s="2114"/>
      <c r="M70" s="2113"/>
      <c r="N70" s="2113"/>
      <c r="O70" s="2114"/>
      <c r="P70" s="2113"/>
      <c r="Q70" s="2113"/>
      <c r="R70" s="2115"/>
    </row>
    <row r="71" spans="2:18" s="2099" customFormat="1">
      <c r="B71" s="2113"/>
      <c r="C71" s="2113"/>
      <c r="D71" s="2113"/>
      <c r="E71" s="2113"/>
      <c r="F71" s="2113"/>
      <c r="G71" s="2114"/>
      <c r="H71" s="2113"/>
      <c r="I71" s="2114"/>
      <c r="J71" s="2113"/>
      <c r="K71" s="2113"/>
      <c r="L71" s="2114"/>
      <c r="M71" s="2113"/>
      <c r="N71" s="2113"/>
      <c r="O71" s="2114"/>
      <c r="P71" s="2113"/>
      <c r="Q71" s="2113"/>
      <c r="R71" s="2115"/>
    </row>
    <row r="72" spans="2:18" s="2099" customFormat="1">
      <c r="B72" s="2113"/>
      <c r="C72" s="2113"/>
      <c r="D72" s="2113"/>
      <c r="E72" s="2113"/>
      <c r="F72" s="2113"/>
      <c r="G72" s="2114"/>
      <c r="H72" s="2113"/>
      <c r="I72" s="2114"/>
      <c r="J72" s="2113"/>
      <c r="K72" s="2113"/>
      <c r="L72" s="2114"/>
      <c r="M72" s="2113"/>
      <c r="N72" s="2113"/>
      <c r="O72" s="2114"/>
      <c r="P72" s="2113"/>
      <c r="Q72" s="2113"/>
      <c r="R72" s="2115"/>
    </row>
    <row r="73" spans="2:18" s="2099" customFormat="1">
      <c r="B73" s="2113"/>
      <c r="C73" s="2113"/>
      <c r="D73" s="2113"/>
      <c r="E73" s="2113"/>
      <c r="F73" s="2113"/>
      <c r="G73" s="2114"/>
      <c r="H73" s="2113"/>
      <c r="I73" s="2114"/>
      <c r="J73" s="2113"/>
      <c r="K73" s="2113"/>
      <c r="L73" s="2114"/>
      <c r="M73" s="2113"/>
      <c r="N73" s="2113"/>
      <c r="O73" s="2114"/>
      <c r="P73" s="2113"/>
      <c r="Q73" s="2113"/>
      <c r="R73" s="2115"/>
    </row>
    <row r="74" spans="2:18" s="2099" customFormat="1">
      <c r="B74" s="2113"/>
      <c r="C74" s="2113"/>
      <c r="D74" s="2113"/>
      <c r="E74" s="2113"/>
      <c r="F74" s="2113"/>
      <c r="G74" s="2114"/>
      <c r="H74" s="2113"/>
      <c r="I74" s="2114"/>
      <c r="J74" s="2113"/>
      <c r="K74" s="2113"/>
      <c r="L74" s="2114"/>
      <c r="M74" s="2113"/>
      <c r="N74" s="2113"/>
      <c r="O74" s="2114"/>
      <c r="P74" s="2113"/>
      <c r="Q74" s="2113"/>
      <c r="R74" s="2115"/>
    </row>
    <row r="75" spans="2:18" s="2099" customFormat="1">
      <c r="B75" s="2113"/>
      <c r="C75" s="2113"/>
      <c r="D75" s="2113"/>
      <c r="E75" s="2113"/>
      <c r="F75" s="2113"/>
      <c r="G75" s="2114"/>
      <c r="H75" s="2113"/>
      <c r="I75" s="2114"/>
      <c r="J75" s="2113"/>
      <c r="K75" s="2113"/>
      <c r="L75" s="2114"/>
      <c r="M75" s="2113"/>
      <c r="N75" s="2113"/>
      <c r="O75" s="2114"/>
      <c r="P75" s="2113"/>
      <c r="Q75" s="2113"/>
      <c r="R75" s="2115"/>
    </row>
    <row r="76" spans="2:18" s="2099" customFormat="1">
      <c r="B76" s="2113"/>
      <c r="C76" s="2113"/>
      <c r="D76" s="2113"/>
      <c r="E76" s="2113"/>
      <c r="F76" s="2113"/>
      <c r="G76" s="2114"/>
      <c r="H76" s="2113"/>
      <c r="I76" s="2114"/>
      <c r="J76" s="2113"/>
      <c r="K76" s="2113"/>
      <c r="L76" s="2114"/>
      <c r="M76" s="2113"/>
      <c r="N76" s="2113"/>
      <c r="O76" s="2114"/>
      <c r="P76" s="2113"/>
      <c r="Q76" s="2113"/>
      <c r="R76" s="2115"/>
    </row>
    <row r="77" spans="2:18" s="2099" customFormat="1">
      <c r="B77" s="2113"/>
      <c r="C77" s="2113"/>
      <c r="D77" s="2113"/>
      <c r="E77" s="2113"/>
      <c r="F77" s="2113"/>
      <c r="G77" s="2114"/>
      <c r="H77" s="2113"/>
      <c r="I77" s="2114"/>
      <c r="J77" s="2113"/>
      <c r="K77" s="2113"/>
      <c r="L77" s="2114"/>
      <c r="M77" s="2113"/>
      <c r="N77" s="2113"/>
      <c r="O77" s="2114"/>
      <c r="P77" s="2113"/>
      <c r="Q77" s="2113"/>
      <c r="R77" s="2115"/>
    </row>
    <row r="78" spans="2:18" s="2099" customFormat="1">
      <c r="B78" s="2113"/>
      <c r="C78" s="2113"/>
      <c r="D78" s="2113"/>
      <c r="E78" s="2113"/>
      <c r="F78" s="2113"/>
      <c r="G78" s="2114"/>
      <c r="H78" s="2113"/>
      <c r="I78" s="2114"/>
      <c r="J78" s="2113"/>
      <c r="K78" s="2113"/>
      <c r="L78" s="2114"/>
      <c r="M78" s="2113"/>
      <c r="N78" s="2113"/>
      <c r="O78" s="2114"/>
      <c r="P78" s="2113"/>
      <c r="Q78" s="2113"/>
      <c r="R78" s="2115"/>
    </row>
    <row r="79" spans="2:18" s="2099" customFormat="1">
      <c r="B79" s="2113"/>
      <c r="C79" s="2113"/>
      <c r="D79" s="2113"/>
      <c r="E79" s="2113"/>
      <c r="F79" s="2113"/>
      <c r="G79" s="2114"/>
      <c r="H79" s="2113"/>
      <c r="I79" s="2114"/>
      <c r="J79" s="2113"/>
      <c r="K79" s="2113"/>
      <c r="L79" s="2114"/>
      <c r="M79" s="2113"/>
      <c r="N79" s="2113"/>
      <c r="O79" s="2114"/>
      <c r="P79" s="2113"/>
      <c r="Q79" s="2113"/>
      <c r="R79" s="2115"/>
    </row>
    <row r="80" spans="2:18" s="2099" customFormat="1">
      <c r="B80" s="2113"/>
      <c r="C80" s="2113"/>
      <c r="D80" s="2113"/>
      <c r="E80" s="2113"/>
      <c r="F80" s="2113"/>
      <c r="G80" s="2114"/>
      <c r="H80" s="2113"/>
      <c r="I80" s="2114"/>
      <c r="J80" s="2113"/>
      <c r="K80" s="2113"/>
      <c r="L80" s="2114"/>
      <c r="M80" s="2113"/>
      <c r="N80" s="2113"/>
      <c r="O80" s="2114"/>
      <c r="P80" s="2113"/>
      <c r="Q80" s="2113"/>
      <c r="R80" s="2115"/>
    </row>
    <row r="81" spans="2:18" s="2099" customFormat="1">
      <c r="B81" s="2113"/>
      <c r="C81" s="2113"/>
      <c r="D81" s="2113"/>
      <c r="E81" s="2113"/>
      <c r="F81" s="2113"/>
      <c r="G81" s="2114"/>
      <c r="H81" s="2113"/>
      <c r="I81" s="2114"/>
      <c r="J81" s="2113"/>
      <c r="K81" s="2113"/>
      <c r="L81" s="2114"/>
      <c r="M81" s="2113"/>
      <c r="N81" s="2113"/>
      <c r="O81" s="2114"/>
      <c r="P81" s="2113"/>
      <c r="Q81" s="2113"/>
      <c r="R81" s="2115"/>
    </row>
    <row r="82" spans="2:18" s="2099" customFormat="1">
      <c r="B82" s="2113"/>
      <c r="C82" s="2113"/>
      <c r="D82" s="2113"/>
      <c r="E82" s="2113"/>
      <c r="F82" s="2113"/>
      <c r="G82" s="2114"/>
      <c r="H82" s="2113"/>
      <c r="I82" s="2114"/>
      <c r="J82" s="2113"/>
      <c r="K82" s="2113"/>
      <c r="L82" s="2114"/>
      <c r="M82" s="2113"/>
      <c r="N82" s="2113"/>
      <c r="O82" s="2114"/>
      <c r="P82" s="2113"/>
      <c r="Q82" s="2113"/>
      <c r="R82" s="2115"/>
    </row>
    <row r="83" spans="2:18" s="2099" customFormat="1">
      <c r="B83" s="2113"/>
      <c r="C83" s="2113"/>
      <c r="D83" s="2113"/>
      <c r="E83" s="2113"/>
      <c r="F83" s="2113"/>
      <c r="G83" s="2114"/>
      <c r="H83" s="2113"/>
      <c r="I83" s="2114"/>
      <c r="J83" s="2113"/>
      <c r="K83" s="2113"/>
      <c r="L83" s="2114"/>
      <c r="M83" s="2113"/>
      <c r="N83" s="2113"/>
      <c r="O83" s="2114"/>
      <c r="P83" s="2113"/>
      <c r="Q83" s="2113"/>
      <c r="R83" s="2115"/>
    </row>
    <row r="84" spans="2:18" s="2099" customFormat="1">
      <c r="B84" s="2113"/>
      <c r="C84" s="2113"/>
      <c r="D84" s="2113"/>
      <c r="E84" s="2113"/>
      <c r="F84" s="2113"/>
      <c r="G84" s="2114"/>
      <c r="H84" s="2113"/>
      <c r="I84" s="2114"/>
      <c r="J84" s="2113"/>
      <c r="K84" s="2113"/>
      <c r="L84" s="2114"/>
      <c r="M84" s="2113"/>
      <c r="N84" s="2113"/>
      <c r="O84" s="2114"/>
      <c r="P84" s="2113"/>
      <c r="Q84" s="2113"/>
      <c r="R84" s="2115"/>
    </row>
    <row r="85" spans="2:18" s="2099" customFormat="1">
      <c r="B85" s="2113"/>
      <c r="C85" s="2113"/>
      <c r="D85" s="2113"/>
      <c r="E85" s="2113"/>
      <c r="F85" s="2113"/>
      <c r="G85" s="2114"/>
      <c r="H85" s="2113"/>
      <c r="I85" s="2114"/>
      <c r="J85" s="2113"/>
      <c r="K85" s="2113"/>
      <c r="L85" s="2114"/>
      <c r="M85" s="2113"/>
      <c r="N85" s="2113"/>
      <c r="O85" s="2114"/>
      <c r="P85" s="2113"/>
      <c r="Q85" s="2113"/>
      <c r="R85" s="2115"/>
    </row>
    <row r="86" spans="2:18" s="2099" customFormat="1">
      <c r="B86" s="2113"/>
      <c r="C86" s="2113"/>
      <c r="D86" s="2113"/>
      <c r="E86" s="2113"/>
      <c r="F86" s="2113"/>
      <c r="G86" s="2114"/>
      <c r="H86" s="2113"/>
      <c r="I86" s="2114"/>
      <c r="J86" s="2113"/>
      <c r="K86" s="2113"/>
      <c r="L86" s="2114"/>
      <c r="M86" s="2113"/>
      <c r="N86" s="2113"/>
      <c r="O86" s="2114"/>
      <c r="P86" s="2113"/>
      <c r="Q86" s="2113"/>
      <c r="R86" s="2115"/>
    </row>
    <row r="87" spans="2:18" s="2099" customFormat="1">
      <c r="B87" s="2113"/>
      <c r="C87" s="2113"/>
      <c r="D87" s="2113"/>
      <c r="E87" s="2113"/>
      <c r="F87" s="2113"/>
      <c r="G87" s="2114"/>
      <c r="H87" s="2113"/>
      <c r="I87" s="2114"/>
      <c r="J87" s="2113"/>
      <c r="K87" s="2113"/>
      <c r="L87" s="2114"/>
      <c r="M87" s="2113"/>
      <c r="N87" s="2113"/>
      <c r="O87" s="2114"/>
      <c r="P87" s="2113"/>
      <c r="Q87" s="2113"/>
      <c r="R87" s="2115"/>
    </row>
    <row r="88" spans="2:18" s="2099" customFormat="1">
      <c r="B88" s="2113"/>
      <c r="C88" s="2113"/>
      <c r="D88" s="2113"/>
      <c r="E88" s="2113"/>
      <c r="F88" s="2113"/>
      <c r="G88" s="2114"/>
      <c r="H88" s="2113"/>
      <c r="I88" s="2114"/>
      <c r="J88" s="2113"/>
      <c r="K88" s="2113"/>
      <c r="L88" s="2114"/>
      <c r="M88" s="2113"/>
      <c r="N88" s="2113"/>
      <c r="O88" s="2114"/>
      <c r="P88" s="2113"/>
      <c r="Q88" s="2113"/>
      <c r="R88" s="2115"/>
    </row>
    <row r="89" spans="2:18" s="2099" customFormat="1">
      <c r="B89" s="2113"/>
      <c r="C89" s="2113"/>
      <c r="D89" s="2113"/>
      <c r="E89" s="2113"/>
      <c r="F89" s="2113"/>
      <c r="G89" s="2114"/>
      <c r="H89" s="2113"/>
      <c r="I89" s="2114"/>
      <c r="J89" s="2113"/>
      <c r="K89" s="2113"/>
      <c r="L89" s="2114"/>
      <c r="M89" s="2113"/>
      <c r="N89" s="2113"/>
      <c r="O89" s="2114"/>
      <c r="P89" s="2113"/>
      <c r="Q89" s="2113"/>
      <c r="R89" s="2115"/>
    </row>
    <row r="90" spans="2:18" s="2099" customFormat="1">
      <c r="B90" s="2113"/>
      <c r="C90" s="2113"/>
      <c r="D90" s="2113"/>
      <c r="E90" s="2113"/>
      <c r="F90" s="2113"/>
      <c r="G90" s="2114"/>
      <c r="H90" s="2113"/>
      <c r="I90" s="2114"/>
      <c r="J90" s="2113"/>
      <c r="K90" s="2113"/>
      <c r="L90" s="2114"/>
      <c r="M90" s="2113"/>
      <c r="N90" s="2113"/>
      <c r="O90" s="2114"/>
      <c r="P90" s="2113"/>
      <c r="Q90" s="2113"/>
      <c r="R90" s="2115"/>
    </row>
    <row r="91" spans="2:18" s="2099" customFormat="1">
      <c r="B91" s="2113"/>
      <c r="C91" s="2113"/>
      <c r="D91" s="2113"/>
      <c r="E91" s="2113"/>
      <c r="F91" s="2113"/>
      <c r="G91" s="2114"/>
      <c r="H91" s="2113"/>
      <c r="I91" s="2114"/>
      <c r="J91" s="2113"/>
      <c r="K91" s="2113"/>
      <c r="L91" s="2114"/>
      <c r="M91" s="2113"/>
      <c r="N91" s="2113"/>
      <c r="O91" s="2114"/>
      <c r="P91" s="2113"/>
      <c r="Q91" s="2113"/>
      <c r="R91" s="2115"/>
    </row>
    <row r="92" spans="2:18" s="2099" customFormat="1">
      <c r="B92" s="2113"/>
      <c r="C92" s="2113"/>
      <c r="D92" s="2113"/>
      <c r="E92" s="2113"/>
      <c r="F92" s="2113"/>
      <c r="G92" s="2114"/>
      <c r="H92" s="2113"/>
      <c r="I92" s="2114"/>
      <c r="J92" s="2113"/>
      <c r="K92" s="2113"/>
      <c r="L92" s="2114"/>
      <c r="M92" s="2113"/>
      <c r="N92" s="2113"/>
      <c r="O92" s="2114"/>
      <c r="P92" s="2113"/>
      <c r="Q92" s="2113"/>
      <c r="R92" s="2115"/>
    </row>
    <row r="93" spans="2:18" s="2099" customFormat="1">
      <c r="B93" s="2113"/>
      <c r="C93" s="2113"/>
      <c r="D93" s="2113"/>
      <c r="E93" s="2113"/>
      <c r="F93" s="2113"/>
      <c r="G93" s="2114"/>
      <c r="H93" s="2113"/>
      <c r="I93" s="2114"/>
      <c r="J93" s="2113"/>
      <c r="K93" s="2113"/>
      <c r="L93" s="2114"/>
      <c r="M93" s="2113"/>
      <c r="N93" s="2113"/>
      <c r="O93" s="2114"/>
      <c r="P93" s="2113"/>
      <c r="Q93" s="2113"/>
      <c r="R93" s="2115"/>
    </row>
    <row r="94" spans="2:18" s="2099" customFormat="1">
      <c r="B94" s="2113"/>
      <c r="C94" s="2113"/>
      <c r="D94" s="2113"/>
      <c r="E94" s="2113"/>
      <c r="F94" s="2113"/>
      <c r="G94" s="2114"/>
      <c r="H94" s="2113"/>
      <c r="I94" s="2114"/>
      <c r="J94" s="2113"/>
      <c r="K94" s="2113"/>
      <c r="L94" s="2114"/>
      <c r="M94" s="2113"/>
      <c r="N94" s="2113"/>
      <c r="O94" s="2114"/>
      <c r="P94" s="2113"/>
      <c r="Q94" s="2113"/>
      <c r="R94" s="2115"/>
    </row>
    <row r="95" spans="2:18" s="2099" customFormat="1">
      <c r="B95" s="2113"/>
      <c r="C95" s="2113"/>
      <c r="D95" s="2113"/>
      <c r="E95" s="2113"/>
      <c r="F95" s="2113"/>
      <c r="G95" s="2114"/>
      <c r="H95" s="2113"/>
      <c r="I95" s="2114"/>
      <c r="J95" s="2113"/>
      <c r="K95" s="2113"/>
      <c r="L95" s="2114"/>
      <c r="M95" s="2113"/>
      <c r="N95" s="2113"/>
      <c r="O95" s="2114"/>
      <c r="P95" s="2113"/>
      <c r="Q95" s="2113"/>
      <c r="R95" s="2115"/>
    </row>
    <row r="96" spans="2:18" s="2099" customFormat="1">
      <c r="B96" s="2113"/>
      <c r="C96" s="2113"/>
      <c r="D96" s="2113"/>
      <c r="E96" s="2113"/>
      <c r="F96" s="2113"/>
      <c r="G96" s="2114"/>
      <c r="H96" s="2113"/>
      <c r="I96" s="2114"/>
      <c r="J96" s="2113"/>
      <c r="K96" s="2113"/>
      <c r="L96" s="2114"/>
      <c r="M96" s="2113"/>
      <c r="N96" s="2113"/>
      <c r="O96" s="2114"/>
      <c r="P96" s="2113"/>
      <c r="Q96" s="2113"/>
      <c r="R96" s="2115"/>
    </row>
    <row r="97" spans="2:18" s="2099" customFormat="1">
      <c r="B97" s="2113"/>
      <c r="C97" s="2113"/>
      <c r="D97" s="2113"/>
      <c r="E97" s="2113"/>
      <c r="F97" s="2113"/>
      <c r="G97" s="2114"/>
      <c r="H97" s="2113"/>
      <c r="I97" s="2114"/>
      <c r="J97" s="2113"/>
      <c r="K97" s="2113"/>
      <c r="L97" s="2114"/>
      <c r="M97" s="2113"/>
      <c r="N97" s="2113"/>
      <c r="O97" s="2114"/>
      <c r="P97" s="2113"/>
      <c r="Q97" s="2113"/>
      <c r="R97" s="2115"/>
    </row>
    <row r="98" spans="2:18" s="2099" customFormat="1">
      <c r="B98" s="2113"/>
      <c r="C98" s="2113"/>
      <c r="D98" s="2113"/>
      <c r="E98" s="2113"/>
      <c r="F98" s="2113"/>
      <c r="G98" s="2114"/>
      <c r="H98" s="2113"/>
      <c r="I98" s="2114"/>
      <c r="J98" s="2113"/>
      <c r="K98" s="2113"/>
      <c r="L98" s="2114"/>
      <c r="M98" s="2113"/>
      <c r="N98" s="2113"/>
      <c r="O98" s="2114"/>
      <c r="P98" s="2113"/>
      <c r="Q98" s="2113"/>
      <c r="R98" s="2115"/>
    </row>
    <row r="99" spans="2:18" s="2099" customFormat="1">
      <c r="B99" s="2113"/>
      <c r="C99" s="2113"/>
      <c r="D99" s="2113"/>
      <c r="E99" s="2113"/>
      <c r="F99" s="2113"/>
      <c r="G99" s="2114"/>
      <c r="H99" s="2113"/>
      <c r="I99" s="2114"/>
      <c r="J99" s="2113"/>
      <c r="K99" s="2113"/>
      <c r="L99" s="2114"/>
      <c r="M99" s="2113"/>
      <c r="N99" s="2113"/>
      <c r="O99" s="2114"/>
      <c r="P99" s="2113"/>
      <c r="Q99" s="2113"/>
      <c r="R99" s="2115"/>
    </row>
    <row r="100" spans="2:18" s="2099" customFormat="1">
      <c r="B100" s="2113"/>
      <c r="C100" s="2113"/>
      <c r="D100" s="2113"/>
      <c r="E100" s="2113"/>
      <c r="F100" s="2113"/>
      <c r="G100" s="2114"/>
      <c r="H100" s="2113"/>
      <c r="I100" s="2114"/>
      <c r="J100" s="2113"/>
      <c r="K100" s="2113"/>
      <c r="L100" s="2114"/>
      <c r="M100" s="2113"/>
      <c r="N100" s="2113"/>
      <c r="O100" s="2114"/>
      <c r="P100" s="2113"/>
      <c r="Q100" s="2113"/>
      <c r="R100" s="2115"/>
    </row>
    <row r="101" spans="2:18" s="2099" customFormat="1">
      <c r="B101" s="2113"/>
      <c r="C101" s="2113"/>
      <c r="D101" s="2113"/>
      <c r="E101" s="2113"/>
      <c r="F101" s="2113"/>
      <c r="G101" s="2114"/>
      <c r="H101" s="2113"/>
      <c r="I101" s="2114"/>
      <c r="J101" s="2113"/>
      <c r="K101" s="2113"/>
      <c r="L101" s="2114"/>
      <c r="M101" s="2113"/>
      <c r="N101" s="2113"/>
      <c r="O101" s="2114"/>
      <c r="P101" s="2113"/>
      <c r="Q101" s="2113"/>
      <c r="R101" s="2115"/>
    </row>
    <row r="102" spans="2:18" s="2099" customFormat="1">
      <c r="B102" s="2113"/>
      <c r="C102" s="2113"/>
      <c r="D102" s="2113"/>
      <c r="E102" s="2113"/>
      <c r="F102" s="2113"/>
      <c r="G102" s="2114"/>
      <c r="H102" s="2113"/>
      <c r="I102" s="2114"/>
      <c r="J102" s="2113"/>
      <c r="K102" s="2113"/>
      <c r="L102" s="2114"/>
      <c r="M102" s="2113"/>
      <c r="N102" s="2113"/>
      <c r="O102" s="2114"/>
      <c r="P102" s="2113"/>
      <c r="Q102" s="2113"/>
      <c r="R102" s="2115"/>
    </row>
    <row r="103" spans="2:18" s="2099" customFormat="1">
      <c r="B103" s="2113"/>
      <c r="C103" s="2113"/>
      <c r="D103" s="2113"/>
      <c r="E103" s="2113"/>
      <c r="F103" s="2113"/>
      <c r="G103" s="2114"/>
      <c r="H103" s="2113"/>
      <c r="I103" s="2114"/>
      <c r="J103" s="2113"/>
      <c r="K103" s="2113"/>
      <c r="L103" s="2114"/>
      <c r="M103" s="2113"/>
      <c r="N103" s="2113"/>
      <c r="O103" s="2114"/>
      <c r="P103" s="2113"/>
      <c r="Q103" s="2113"/>
      <c r="R103" s="2115"/>
    </row>
    <row r="104" spans="2:18" s="2099" customFormat="1">
      <c r="B104" s="2113"/>
      <c r="C104" s="2113"/>
      <c r="D104" s="2113"/>
      <c r="E104" s="2113"/>
      <c r="F104" s="2113"/>
      <c r="G104" s="2114"/>
      <c r="H104" s="2113"/>
      <c r="I104" s="2114"/>
      <c r="J104" s="2113"/>
      <c r="K104" s="2113"/>
      <c r="L104" s="2114"/>
      <c r="M104" s="2113"/>
      <c r="N104" s="2113"/>
      <c r="O104" s="2114"/>
      <c r="P104" s="2113"/>
      <c r="Q104" s="2113"/>
      <c r="R104" s="2115"/>
    </row>
    <row r="105" spans="2:18" s="2099" customFormat="1">
      <c r="B105" s="2113"/>
      <c r="C105" s="2113"/>
      <c r="D105" s="2113"/>
      <c r="E105" s="2113"/>
      <c r="F105" s="2113"/>
      <c r="G105" s="2114"/>
      <c r="H105" s="2113"/>
      <c r="I105" s="2114"/>
      <c r="J105" s="2113"/>
      <c r="K105" s="2113"/>
      <c r="L105" s="2114"/>
      <c r="M105" s="2113"/>
      <c r="N105" s="2113"/>
      <c r="O105" s="2114"/>
      <c r="P105" s="2113"/>
      <c r="Q105" s="2113"/>
      <c r="R105" s="2115"/>
    </row>
    <row r="106" spans="2:18" s="2099" customFormat="1">
      <c r="B106" s="2113"/>
      <c r="C106" s="2113"/>
      <c r="D106" s="2113"/>
      <c r="E106" s="2113"/>
      <c r="F106" s="2113"/>
      <c r="G106" s="2114"/>
      <c r="H106" s="2113"/>
      <c r="I106" s="2114"/>
      <c r="J106" s="2113"/>
      <c r="K106" s="2113"/>
      <c r="L106" s="2114"/>
      <c r="M106" s="2113"/>
      <c r="N106" s="2113"/>
      <c r="O106" s="2114"/>
      <c r="P106" s="2113"/>
      <c r="Q106" s="2113"/>
      <c r="R106" s="2115"/>
    </row>
    <row r="107" spans="2:18" s="2099" customFormat="1">
      <c r="B107" s="2113"/>
      <c r="C107" s="2113"/>
      <c r="D107" s="2113"/>
      <c r="E107" s="2113"/>
      <c r="F107" s="2113"/>
      <c r="G107" s="2114"/>
      <c r="H107" s="2113"/>
      <c r="I107" s="2114"/>
      <c r="J107" s="2113"/>
      <c r="K107" s="2113"/>
      <c r="L107" s="2114"/>
      <c r="M107" s="2113"/>
      <c r="N107" s="2113"/>
      <c r="O107" s="2114"/>
      <c r="P107" s="2113"/>
      <c r="Q107" s="2113"/>
      <c r="R107" s="2115"/>
    </row>
    <row r="108" spans="2:18" s="2099" customFormat="1">
      <c r="B108" s="2113"/>
      <c r="C108" s="2113"/>
      <c r="D108" s="2113"/>
      <c r="E108" s="2113"/>
      <c r="F108" s="2113"/>
      <c r="G108" s="2114"/>
      <c r="H108" s="2113"/>
      <c r="I108" s="2114"/>
      <c r="J108" s="2113"/>
      <c r="K108" s="2113"/>
      <c r="L108" s="2114"/>
      <c r="M108" s="2113"/>
      <c r="N108" s="2113"/>
      <c r="O108" s="2114"/>
      <c r="P108" s="2113"/>
      <c r="Q108" s="2113"/>
      <c r="R108" s="2115"/>
    </row>
    <row r="109" spans="2:18" s="2099" customFormat="1">
      <c r="B109" s="2113"/>
      <c r="C109" s="2113"/>
      <c r="D109" s="2113"/>
      <c r="E109" s="2113"/>
      <c r="F109" s="2113"/>
      <c r="G109" s="2114"/>
      <c r="H109" s="2113"/>
      <c r="I109" s="2114"/>
      <c r="J109" s="2113"/>
      <c r="K109" s="2113"/>
      <c r="L109" s="2114"/>
      <c r="M109" s="2113"/>
      <c r="N109" s="2113"/>
      <c r="O109" s="2114"/>
      <c r="P109" s="2113"/>
      <c r="Q109" s="2113"/>
      <c r="R109" s="2115"/>
    </row>
    <row r="110" spans="2:18" s="2099" customFormat="1">
      <c r="B110" s="2113"/>
      <c r="C110" s="2113"/>
      <c r="D110" s="2113"/>
      <c r="E110" s="2113"/>
      <c r="F110" s="2113"/>
      <c r="G110" s="2114"/>
      <c r="H110" s="2113"/>
      <c r="I110" s="2114"/>
      <c r="J110" s="2113"/>
      <c r="K110" s="2113"/>
      <c r="L110" s="2114"/>
      <c r="M110" s="2113"/>
      <c r="N110" s="2113"/>
      <c r="O110" s="2114"/>
      <c r="P110" s="2113"/>
      <c r="Q110" s="2113"/>
      <c r="R110" s="2115"/>
    </row>
    <row r="111" spans="2:18" s="2099" customFormat="1">
      <c r="B111" s="2113"/>
      <c r="C111" s="2113"/>
      <c r="D111" s="2113"/>
      <c r="E111" s="2113"/>
      <c r="F111" s="2113"/>
      <c r="G111" s="2114"/>
      <c r="H111" s="2113"/>
      <c r="I111" s="2114"/>
      <c r="J111" s="2113"/>
      <c r="K111" s="2113"/>
      <c r="L111" s="2114"/>
      <c r="M111" s="2113"/>
      <c r="N111" s="2113"/>
      <c r="O111" s="2114"/>
      <c r="P111" s="2113"/>
      <c r="Q111" s="2113"/>
      <c r="R111" s="2115"/>
    </row>
    <row r="112" spans="2:18" s="2099" customFormat="1">
      <c r="B112" s="2113"/>
      <c r="C112" s="2113"/>
      <c r="D112" s="2113"/>
      <c r="E112" s="2113"/>
      <c r="F112" s="2113"/>
      <c r="G112" s="2114"/>
      <c r="H112" s="2113"/>
      <c r="I112" s="2114"/>
      <c r="J112" s="2113"/>
      <c r="K112" s="2113"/>
      <c r="L112" s="2114"/>
      <c r="M112" s="2113"/>
      <c r="N112" s="2113"/>
      <c r="O112" s="2114"/>
      <c r="P112" s="2113"/>
      <c r="Q112" s="2113"/>
      <c r="R112" s="2115"/>
    </row>
    <row r="113" spans="2:18" s="2099" customFormat="1">
      <c r="B113" s="2113"/>
      <c r="C113" s="2113"/>
      <c r="D113" s="2113"/>
      <c r="E113" s="2113"/>
      <c r="F113" s="2113"/>
      <c r="G113" s="2114"/>
      <c r="H113" s="2113"/>
      <c r="I113" s="2114"/>
      <c r="J113" s="2113"/>
      <c r="K113" s="2113"/>
      <c r="L113" s="2114"/>
      <c r="M113" s="2113"/>
      <c r="N113" s="2113"/>
      <c r="O113" s="2114"/>
      <c r="P113" s="2113"/>
      <c r="Q113" s="2113"/>
      <c r="R113" s="2115"/>
    </row>
    <row r="114" spans="2:18" s="2099" customFormat="1">
      <c r="B114" s="2113"/>
      <c r="C114" s="2113"/>
      <c r="D114" s="2113"/>
      <c r="E114" s="2113"/>
      <c r="F114" s="2113"/>
      <c r="G114" s="2114"/>
      <c r="H114" s="2113"/>
      <c r="I114" s="2114"/>
      <c r="J114" s="2113"/>
      <c r="K114" s="2113"/>
      <c r="L114" s="2114"/>
      <c r="M114" s="2113"/>
      <c r="N114" s="2113"/>
      <c r="O114" s="2114"/>
      <c r="P114" s="2113"/>
      <c r="Q114" s="2113"/>
      <c r="R114" s="2115"/>
    </row>
    <row r="115" spans="2:18" s="2099" customFormat="1">
      <c r="B115" s="2113"/>
      <c r="C115" s="2113"/>
      <c r="D115" s="2113"/>
      <c r="E115" s="2113"/>
      <c r="F115" s="2113"/>
      <c r="G115" s="2114"/>
      <c r="H115" s="2113"/>
      <c r="I115" s="2114"/>
      <c r="J115" s="2113"/>
      <c r="K115" s="2113"/>
      <c r="L115" s="2114"/>
      <c r="M115" s="2113"/>
      <c r="N115" s="2113"/>
      <c r="O115" s="2114"/>
      <c r="P115" s="2113"/>
      <c r="Q115" s="2113"/>
      <c r="R115" s="2115"/>
    </row>
    <row r="116" spans="2:18" s="2099" customFormat="1">
      <c r="B116" s="2113"/>
      <c r="C116" s="2113"/>
      <c r="D116" s="2113"/>
      <c r="E116" s="2113"/>
      <c r="F116" s="2113"/>
      <c r="G116" s="2114"/>
      <c r="H116" s="2113"/>
      <c r="I116" s="2114"/>
      <c r="J116" s="2113"/>
      <c r="K116" s="2113"/>
      <c r="L116" s="2114"/>
      <c r="M116" s="2113"/>
      <c r="N116" s="2113"/>
      <c r="O116" s="2114"/>
      <c r="P116" s="2113"/>
      <c r="Q116" s="2113"/>
      <c r="R116" s="2115"/>
    </row>
    <row r="117" spans="2:18" s="2099" customFormat="1">
      <c r="B117" s="2113"/>
      <c r="C117" s="2113"/>
      <c r="D117" s="2113"/>
      <c r="E117" s="2113"/>
      <c r="F117" s="2113"/>
      <c r="G117" s="2114"/>
      <c r="H117" s="2113"/>
      <c r="I117" s="2114"/>
      <c r="J117" s="2113"/>
      <c r="K117" s="2113"/>
      <c r="L117" s="2114"/>
      <c r="M117" s="2113"/>
      <c r="N117" s="2113"/>
      <c r="O117" s="2114"/>
      <c r="P117" s="2113"/>
      <c r="Q117" s="2113"/>
      <c r="R117" s="2115"/>
    </row>
    <row r="118" spans="2:18" s="2099" customFormat="1">
      <c r="B118" s="2113"/>
      <c r="C118" s="2113"/>
      <c r="D118" s="2113"/>
      <c r="E118" s="2113"/>
      <c r="F118" s="2113"/>
      <c r="G118" s="2114"/>
      <c r="H118" s="2113"/>
      <c r="I118" s="2114"/>
      <c r="J118" s="2113"/>
      <c r="K118" s="2113"/>
      <c r="L118" s="2114"/>
      <c r="M118" s="2113"/>
      <c r="N118" s="2113"/>
      <c r="O118" s="2114"/>
      <c r="P118" s="2113"/>
      <c r="Q118" s="2113"/>
      <c r="R118" s="2115"/>
    </row>
    <row r="119" spans="2:18" s="2099" customFormat="1">
      <c r="B119" s="2113"/>
      <c r="C119" s="2113"/>
      <c r="D119" s="2113"/>
      <c r="E119" s="2113"/>
      <c r="F119" s="2113"/>
      <c r="G119" s="2114"/>
      <c r="H119" s="2113"/>
      <c r="I119" s="2114"/>
      <c r="J119" s="2113"/>
      <c r="K119" s="2113"/>
      <c r="L119" s="2114"/>
      <c r="M119" s="2113"/>
      <c r="N119" s="2113"/>
      <c r="O119" s="2114"/>
      <c r="P119" s="2113"/>
      <c r="Q119" s="2113"/>
      <c r="R119" s="2115"/>
    </row>
    <row r="120" spans="2:18" s="2099" customFormat="1">
      <c r="B120" s="2113"/>
      <c r="C120" s="2113"/>
      <c r="D120" s="2113"/>
      <c r="E120" s="2113"/>
      <c r="F120" s="2113"/>
      <c r="G120" s="2114"/>
      <c r="H120" s="2113"/>
      <c r="I120" s="2114"/>
      <c r="J120" s="2113"/>
      <c r="K120" s="2113"/>
      <c r="L120" s="2114"/>
      <c r="M120" s="2113"/>
      <c r="N120" s="2113"/>
      <c r="O120" s="2114"/>
      <c r="P120" s="2113"/>
      <c r="Q120" s="2113"/>
      <c r="R120" s="2115"/>
    </row>
    <row r="121" spans="2:18" s="2099" customFormat="1">
      <c r="B121" s="2113"/>
      <c r="C121" s="2113"/>
      <c r="D121" s="2113"/>
      <c r="E121" s="2113"/>
      <c r="F121" s="2113"/>
      <c r="G121" s="2114"/>
      <c r="H121" s="2113"/>
      <c r="I121" s="2114"/>
      <c r="J121" s="2113"/>
      <c r="K121" s="2113"/>
      <c r="L121" s="2114"/>
      <c r="M121" s="2113"/>
      <c r="N121" s="2113"/>
      <c r="O121" s="2114"/>
      <c r="P121" s="2113"/>
      <c r="Q121" s="2113"/>
      <c r="R121" s="2115"/>
    </row>
    <row r="122" spans="2:18" s="2099" customFormat="1">
      <c r="B122" s="2113"/>
      <c r="C122" s="2113"/>
      <c r="D122" s="2113"/>
      <c r="E122" s="2113"/>
      <c r="F122" s="2113"/>
      <c r="G122" s="2114"/>
      <c r="H122" s="2113"/>
      <c r="I122" s="2114"/>
      <c r="J122" s="2113"/>
      <c r="K122" s="2113"/>
      <c r="L122" s="2114"/>
      <c r="M122" s="2113"/>
      <c r="N122" s="2113"/>
      <c r="O122" s="2114"/>
      <c r="P122" s="2113"/>
      <c r="Q122" s="2113"/>
      <c r="R122" s="2115"/>
    </row>
    <row r="123" spans="2:18" s="2099" customFormat="1">
      <c r="B123" s="2113"/>
      <c r="C123" s="2113"/>
      <c r="D123" s="2113"/>
      <c r="E123" s="2113"/>
      <c r="F123" s="2113"/>
      <c r="G123" s="2114"/>
      <c r="H123" s="2113"/>
      <c r="I123" s="2114"/>
      <c r="J123" s="2113"/>
      <c r="K123" s="2113"/>
      <c r="L123" s="2114"/>
      <c r="M123" s="2113"/>
      <c r="N123" s="2113"/>
      <c r="O123" s="2114"/>
      <c r="P123" s="2113"/>
      <c r="Q123" s="2113"/>
      <c r="R123" s="2115"/>
    </row>
    <row r="124" spans="2:18" s="2099" customFormat="1">
      <c r="B124" s="2113"/>
      <c r="C124" s="2113"/>
      <c r="D124" s="2113"/>
      <c r="E124" s="2113"/>
      <c r="F124" s="2113"/>
      <c r="G124" s="2114"/>
      <c r="H124" s="2113"/>
      <c r="I124" s="2114"/>
      <c r="J124" s="2113"/>
      <c r="K124" s="2113"/>
      <c r="L124" s="2114"/>
      <c r="M124" s="2113"/>
      <c r="N124" s="2113"/>
      <c r="O124" s="2114"/>
      <c r="P124" s="2113"/>
      <c r="Q124" s="2113"/>
      <c r="R124" s="2115"/>
    </row>
    <row r="125" spans="2:18" s="2099" customFormat="1">
      <c r="B125" s="2113"/>
      <c r="C125" s="2113"/>
      <c r="D125" s="2113"/>
      <c r="E125" s="2113"/>
      <c r="F125" s="2113"/>
      <c r="G125" s="2114"/>
      <c r="H125" s="2113"/>
      <c r="I125" s="2114"/>
      <c r="J125" s="2113"/>
      <c r="K125" s="2113"/>
      <c r="L125" s="2114"/>
      <c r="M125" s="2113"/>
      <c r="N125" s="2113"/>
      <c r="O125" s="2114"/>
      <c r="P125" s="2113"/>
      <c r="Q125" s="2113"/>
      <c r="R125" s="2115"/>
    </row>
    <row r="126" spans="2:18" s="2099" customFormat="1">
      <c r="B126" s="2113"/>
      <c r="C126" s="2113"/>
      <c r="D126" s="2113"/>
      <c r="E126" s="2113"/>
      <c r="F126" s="2113"/>
      <c r="G126" s="2114"/>
      <c r="H126" s="2113"/>
      <c r="I126" s="2114"/>
      <c r="J126" s="2113"/>
      <c r="K126" s="2113"/>
      <c r="L126" s="2114"/>
      <c r="M126" s="2113"/>
      <c r="N126" s="2113"/>
      <c r="O126" s="2114"/>
      <c r="P126" s="2113"/>
      <c r="Q126" s="2113"/>
      <c r="R126" s="2115"/>
    </row>
    <row r="127" spans="2:18" s="2099" customFormat="1">
      <c r="B127" s="2113"/>
      <c r="C127" s="2113"/>
      <c r="D127" s="2113"/>
      <c r="E127" s="2113"/>
      <c r="F127" s="2113"/>
      <c r="G127" s="2114"/>
      <c r="H127" s="2113"/>
      <c r="I127" s="2114"/>
      <c r="J127" s="2113"/>
      <c r="K127" s="2113"/>
      <c r="L127" s="2114"/>
      <c r="M127" s="2113"/>
      <c r="N127" s="2113"/>
      <c r="O127" s="2114"/>
      <c r="P127" s="2113"/>
      <c r="Q127" s="2113"/>
      <c r="R127" s="2115"/>
    </row>
    <row r="128" spans="2:18" s="2099" customFormat="1">
      <c r="B128" s="2113"/>
      <c r="C128" s="2113"/>
      <c r="D128" s="2113"/>
      <c r="E128" s="2113"/>
      <c r="F128" s="2113"/>
      <c r="G128" s="2114"/>
      <c r="H128" s="2113"/>
      <c r="I128" s="2114"/>
      <c r="J128" s="2113"/>
      <c r="K128" s="2113"/>
      <c r="L128" s="2114"/>
      <c r="M128" s="2113"/>
      <c r="N128" s="2113"/>
      <c r="O128" s="2114"/>
      <c r="P128" s="2113"/>
      <c r="Q128" s="2113"/>
      <c r="R128" s="2115"/>
    </row>
    <row r="129" spans="2:18" s="2099" customFormat="1">
      <c r="B129" s="2113"/>
      <c r="C129" s="2113"/>
      <c r="D129" s="2113"/>
      <c r="E129" s="2113"/>
      <c r="F129" s="2113"/>
      <c r="G129" s="2114"/>
      <c r="H129" s="2113"/>
      <c r="I129" s="2114"/>
      <c r="J129" s="2113"/>
      <c r="K129" s="2113"/>
      <c r="L129" s="2114"/>
      <c r="M129" s="2113"/>
      <c r="N129" s="2113"/>
      <c r="O129" s="2114"/>
      <c r="P129" s="2113"/>
      <c r="Q129" s="2113"/>
      <c r="R129" s="2115"/>
    </row>
    <row r="130" spans="2:18" s="2099" customFormat="1">
      <c r="B130" s="2113"/>
      <c r="C130" s="2113"/>
      <c r="D130" s="2113"/>
      <c r="E130" s="2113"/>
      <c r="F130" s="2113"/>
      <c r="G130" s="2114"/>
      <c r="H130" s="2113"/>
      <c r="I130" s="2114"/>
      <c r="J130" s="2113"/>
      <c r="K130" s="2113"/>
      <c r="L130" s="2114"/>
      <c r="M130" s="2113"/>
      <c r="N130" s="2113"/>
      <c r="O130" s="2114"/>
      <c r="P130" s="2113"/>
      <c r="Q130" s="2113"/>
      <c r="R130" s="2115"/>
    </row>
    <row r="131" spans="2:18" s="2099" customFormat="1">
      <c r="B131" s="2113"/>
      <c r="C131" s="2113"/>
      <c r="D131" s="2113"/>
      <c r="E131" s="2113"/>
      <c r="F131" s="2113"/>
      <c r="G131" s="2114"/>
      <c r="H131" s="2113"/>
      <c r="I131" s="2114"/>
      <c r="J131" s="2113"/>
      <c r="K131" s="2113"/>
      <c r="L131" s="2114"/>
      <c r="M131" s="2113"/>
      <c r="N131" s="2113"/>
      <c r="O131" s="2114"/>
      <c r="P131" s="2113"/>
      <c r="Q131" s="2113"/>
      <c r="R131" s="2115"/>
    </row>
    <row r="132" spans="2:18" s="2099" customFormat="1">
      <c r="B132" s="2113"/>
      <c r="C132" s="2113"/>
      <c r="D132" s="2113"/>
      <c r="E132" s="2113"/>
      <c r="F132" s="2113"/>
      <c r="G132" s="2114"/>
      <c r="H132" s="2113"/>
      <c r="I132" s="2114"/>
      <c r="J132" s="2113"/>
      <c r="K132" s="2113"/>
      <c r="L132" s="2114"/>
      <c r="M132" s="2113"/>
      <c r="N132" s="2113"/>
      <c r="O132" s="2114"/>
      <c r="P132" s="2113"/>
      <c r="Q132" s="2113"/>
      <c r="R132" s="2115"/>
    </row>
    <row r="133" spans="2:18" s="2099" customFormat="1">
      <c r="B133" s="2113"/>
      <c r="C133" s="2113"/>
      <c r="D133" s="2113"/>
      <c r="E133" s="2113"/>
      <c r="F133" s="2113"/>
      <c r="G133" s="2114"/>
      <c r="H133" s="2113"/>
      <c r="I133" s="2114"/>
      <c r="J133" s="2113"/>
      <c r="K133" s="2113"/>
      <c r="L133" s="2114"/>
      <c r="M133" s="2113"/>
      <c r="N133" s="2113"/>
      <c r="O133" s="2114"/>
      <c r="P133" s="2113"/>
      <c r="Q133" s="2113"/>
      <c r="R133" s="2115"/>
    </row>
    <row r="134" spans="2:18" s="2099" customFormat="1">
      <c r="B134" s="2113"/>
      <c r="C134" s="2113"/>
      <c r="D134" s="2113"/>
      <c r="E134" s="2113"/>
      <c r="F134" s="2113"/>
      <c r="G134" s="2114"/>
      <c r="H134" s="2113"/>
      <c r="I134" s="2114"/>
      <c r="J134" s="2113"/>
      <c r="K134" s="2113"/>
      <c r="L134" s="2114"/>
      <c r="M134" s="2113"/>
      <c r="N134" s="2113"/>
      <c r="O134" s="2114"/>
      <c r="P134" s="2113"/>
      <c r="Q134" s="2113"/>
      <c r="R134" s="2115"/>
    </row>
    <row r="135" spans="2:18" s="2099" customFormat="1">
      <c r="B135" s="2113"/>
      <c r="C135" s="2113"/>
      <c r="D135" s="2113"/>
      <c r="E135" s="2113"/>
      <c r="F135" s="2113"/>
      <c r="G135" s="2114"/>
      <c r="H135" s="2113"/>
      <c r="I135" s="2114"/>
      <c r="J135" s="2113"/>
      <c r="K135" s="2113"/>
      <c r="L135" s="2114"/>
      <c r="M135" s="2113"/>
      <c r="N135" s="2113"/>
      <c r="O135" s="2114"/>
      <c r="P135" s="2113"/>
      <c r="Q135" s="2113"/>
      <c r="R135" s="2115"/>
    </row>
    <row r="136" spans="2:18" s="2099" customFormat="1">
      <c r="B136" s="2113"/>
      <c r="C136" s="2113"/>
      <c r="D136" s="2113"/>
      <c r="E136" s="2113"/>
      <c r="F136" s="2113"/>
      <c r="G136" s="2114"/>
      <c r="H136" s="2113"/>
      <c r="I136" s="2114"/>
      <c r="J136" s="2113"/>
      <c r="K136" s="2113"/>
      <c r="L136" s="2114"/>
      <c r="M136" s="2113"/>
      <c r="N136" s="2113"/>
      <c r="O136" s="2114"/>
      <c r="P136" s="2113"/>
      <c r="Q136" s="2113"/>
      <c r="R136" s="2115"/>
    </row>
    <row r="137" spans="2:18" s="2099" customFormat="1">
      <c r="B137" s="2113"/>
      <c r="C137" s="2113"/>
      <c r="D137" s="2113"/>
      <c r="E137" s="2113"/>
      <c r="F137" s="2113"/>
      <c r="G137" s="2114"/>
      <c r="H137" s="2113"/>
      <c r="I137" s="2114"/>
      <c r="J137" s="2113"/>
      <c r="K137" s="2113"/>
      <c r="L137" s="2114"/>
      <c r="M137" s="2113"/>
      <c r="N137" s="2113"/>
      <c r="O137" s="2114"/>
      <c r="P137" s="2113"/>
      <c r="Q137" s="2113"/>
      <c r="R137" s="2115"/>
    </row>
    <row r="138" spans="2:18" s="2099" customFormat="1">
      <c r="B138" s="2113"/>
      <c r="C138" s="2113"/>
      <c r="D138" s="2113"/>
      <c r="E138" s="2113"/>
      <c r="F138" s="2113"/>
      <c r="G138" s="2114"/>
      <c r="H138" s="2113"/>
      <c r="I138" s="2114"/>
      <c r="J138" s="2113"/>
      <c r="K138" s="2113"/>
      <c r="L138" s="2114"/>
      <c r="M138" s="2113"/>
      <c r="N138" s="2113"/>
      <c r="O138" s="2114"/>
      <c r="P138" s="2113"/>
      <c r="Q138" s="2113"/>
      <c r="R138" s="2115"/>
    </row>
    <row r="139" spans="2:18" s="2099" customFormat="1">
      <c r="B139" s="2113"/>
      <c r="C139" s="2113"/>
      <c r="D139" s="2113"/>
      <c r="E139" s="2113"/>
      <c r="F139" s="2113"/>
      <c r="G139" s="2114"/>
      <c r="H139" s="2113"/>
      <c r="I139" s="2114"/>
      <c r="J139" s="2113"/>
      <c r="K139" s="2113"/>
      <c r="L139" s="2114"/>
      <c r="M139" s="2113"/>
      <c r="N139" s="2113"/>
      <c r="O139" s="2114"/>
      <c r="P139" s="2113"/>
      <c r="Q139" s="2113"/>
      <c r="R139" s="2115"/>
    </row>
    <row r="140" spans="2:18" s="2099" customFormat="1">
      <c r="B140" s="2113"/>
      <c r="C140" s="2113"/>
      <c r="D140" s="2113"/>
      <c r="E140" s="2113"/>
      <c r="F140" s="2113"/>
      <c r="G140" s="2114"/>
      <c r="H140" s="2113"/>
      <c r="I140" s="2114"/>
      <c r="J140" s="2113"/>
      <c r="K140" s="2113"/>
      <c r="L140" s="2114"/>
      <c r="M140" s="2113"/>
      <c r="N140" s="2113"/>
      <c r="O140" s="2114"/>
      <c r="P140" s="2113"/>
      <c r="Q140" s="2113"/>
      <c r="R140" s="2115"/>
    </row>
    <row r="141" spans="2:18" s="2099" customFormat="1">
      <c r="B141" s="2113"/>
      <c r="C141" s="2113"/>
      <c r="D141" s="2113"/>
      <c r="E141" s="2113"/>
      <c r="F141" s="2113"/>
      <c r="G141" s="2114"/>
      <c r="H141" s="2113"/>
      <c r="I141" s="2114"/>
      <c r="J141" s="2113"/>
      <c r="K141" s="2113"/>
      <c r="L141" s="2114"/>
      <c r="M141" s="2113"/>
      <c r="N141" s="2113"/>
      <c r="O141" s="2114"/>
      <c r="P141" s="2113"/>
      <c r="Q141" s="2113"/>
      <c r="R141" s="2115"/>
    </row>
    <row r="142" spans="2:18" s="2099" customFormat="1">
      <c r="B142" s="2113"/>
      <c r="C142" s="2113"/>
      <c r="D142" s="2113"/>
      <c r="E142" s="2113"/>
      <c r="F142" s="2113"/>
      <c r="G142" s="2114"/>
      <c r="H142" s="2113"/>
      <c r="I142" s="2114"/>
      <c r="J142" s="2113"/>
      <c r="K142" s="2113"/>
      <c r="L142" s="2114"/>
      <c r="M142" s="2113"/>
      <c r="N142" s="2113"/>
      <c r="O142" s="2114"/>
      <c r="P142" s="2113"/>
      <c r="Q142" s="2113"/>
      <c r="R142" s="2115"/>
    </row>
    <row r="143" spans="2:18" s="2099" customFormat="1">
      <c r="B143" s="2113"/>
      <c r="C143" s="2113"/>
      <c r="D143" s="2113"/>
      <c r="E143" s="2113"/>
      <c r="F143" s="2113"/>
      <c r="G143" s="2114"/>
      <c r="H143" s="2113"/>
      <c r="I143" s="2114"/>
      <c r="J143" s="2113"/>
      <c r="K143" s="2113"/>
      <c r="L143" s="2114"/>
      <c r="M143" s="2113"/>
      <c r="N143" s="2113"/>
      <c r="O143" s="2114"/>
      <c r="P143" s="2113"/>
      <c r="Q143" s="2113"/>
      <c r="R143" s="2115"/>
    </row>
    <row r="144" spans="2:18" s="2099" customFormat="1">
      <c r="B144" s="2113"/>
      <c r="C144" s="2113"/>
      <c r="D144" s="2113"/>
      <c r="E144" s="2113"/>
      <c r="F144" s="2113"/>
      <c r="G144" s="2114"/>
      <c r="H144" s="2113"/>
      <c r="I144" s="2114"/>
      <c r="J144" s="2113"/>
      <c r="K144" s="2113"/>
      <c r="L144" s="2114"/>
      <c r="M144" s="2113"/>
      <c r="N144" s="2113"/>
      <c r="O144" s="2114"/>
      <c r="P144" s="2113"/>
      <c r="Q144" s="2113"/>
      <c r="R144" s="2115"/>
    </row>
    <row r="145" spans="2:18" s="2099" customFormat="1">
      <c r="B145" s="2113"/>
      <c r="C145" s="2113"/>
      <c r="D145" s="2113"/>
      <c r="E145" s="2113"/>
      <c r="F145" s="2113"/>
      <c r="G145" s="2114"/>
      <c r="H145" s="2113"/>
      <c r="I145" s="2114"/>
      <c r="J145" s="2113"/>
      <c r="K145" s="2113"/>
      <c r="L145" s="2114"/>
      <c r="M145" s="2113"/>
      <c r="N145" s="2113"/>
      <c r="O145" s="2114"/>
      <c r="P145" s="2113"/>
      <c r="Q145" s="2113"/>
      <c r="R145" s="2115"/>
    </row>
    <row r="146" spans="2:18" s="2099" customFormat="1">
      <c r="B146" s="2113"/>
      <c r="C146" s="2113"/>
      <c r="D146" s="2113"/>
      <c r="E146" s="2113"/>
      <c r="F146" s="2113"/>
      <c r="G146" s="2114"/>
      <c r="H146" s="2113"/>
      <c r="I146" s="2114"/>
      <c r="J146" s="2113"/>
      <c r="K146" s="2113"/>
      <c r="L146" s="2114"/>
      <c r="M146" s="2113"/>
      <c r="N146" s="2113"/>
      <c r="O146" s="2114"/>
      <c r="P146" s="2113"/>
      <c r="Q146" s="2113"/>
      <c r="R146" s="2115"/>
    </row>
    <row r="147" spans="2:18" s="2099" customFormat="1">
      <c r="B147" s="2113"/>
      <c r="C147" s="2113"/>
      <c r="D147" s="2113"/>
      <c r="E147" s="2113"/>
      <c r="F147" s="2113"/>
      <c r="G147" s="2114"/>
      <c r="H147" s="2113"/>
      <c r="I147" s="2114"/>
      <c r="J147" s="2113"/>
      <c r="K147" s="2113"/>
      <c r="L147" s="2114"/>
      <c r="M147" s="2113"/>
      <c r="N147" s="2113"/>
      <c r="O147" s="2114"/>
      <c r="P147" s="2113"/>
      <c r="Q147" s="2113"/>
      <c r="R147" s="2115"/>
    </row>
    <row r="148" spans="2:18" s="2099" customFormat="1">
      <c r="B148" s="2113"/>
      <c r="C148" s="2113"/>
      <c r="D148" s="2113"/>
      <c r="E148" s="2113"/>
      <c r="F148" s="2113"/>
      <c r="G148" s="2114"/>
      <c r="H148" s="2113"/>
      <c r="I148" s="2114"/>
      <c r="J148" s="2113"/>
      <c r="K148" s="2113"/>
      <c r="L148" s="2114"/>
      <c r="M148" s="2113"/>
      <c r="N148" s="2113"/>
      <c r="O148" s="2114"/>
      <c r="P148" s="2113"/>
      <c r="Q148" s="2113"/>
      <c r="R148" s="2115"/>
    </row>
    <row r="149" spans="2:18" s="2099" customFormat="1">
      <c r="B149" s="2113"/>
      <c r="C149" s="2113"/>
      <c r="D149" s="2113"/>
      <c r="E149" s="2113"/>
      <c r="F149" s="2113"/>
      <c r="G149" s="2114"/>
      <c r="H149" s="2113"/>
      <c r="I149" s="2114"/>
      <c r="J149" s="2113"/>
      <c r="K149" s="2113"/>
      <c r="L149" s="2114"/>
      <c r="M149" s="2113"/>
      <c r="N149" s="2113"/>
      <c r="O149" s="2114"/>
      <c r="P149" s="2113"/>
      <c r="Q149" s="2113"/>
      <c r="R149" s="2115"/>
    </row>
    <row r="150" spans="2:18" s="2099" customFormat="1">
      <c r="B150" s="2113"/>
      <c r="C150" s="2113"/>
      <c r="D150" s="2113"/>
      <c r="E150" s="2113"/>
      <c r="F150" s="2113"/>
      <c r="G150" s="2114"/>
      <c r="H150" s="2113"/>
      <c r="I150" s="2114"/>
      <c r="J150" s="2113"/>
      <c r="K150" s="2113"/>
      <c r="L150" s="2114"/>
      <c r="M150" s="2113"/>
      <c r="N150" s="2113"/>
      <c r="O150" s="2114"/>
      <c r="P150" s="2113"/>
      <c r="Q150" s="2113"/>
      <c r="R150" s="2115"/>
    </row>
    <row r="151" spans="2:18" s="2099" customFormat="1">
      <c r="B151" s="2113"/>
      <c r="C151" s="2113"/>
      <c r="D151" s="2113"/>
      <c r="E151" s="2113"/>
      <c r="F151" s="2113"/>
      <c r="G151" s="2114"/>
      <c r="H151" s="2113"/>
      <c r="I151" s="2114"/>
      <c r="J151" s="2113"/>
      <c r="K151" s="2113"/>
      <c r="L151" s="2114"/>
      <c r="M151" s="2113"/>
      <c r="N151" s="2113"/>
      <c r="O151" s="2114"/>
      <c r="P151" s="2113"/>
      <c r="Q151" s="2113"/>
      <c r="R151" s="2115"/>
    </row>
    <row r="152" spans="2:18" s="2099" customFormat="1">
      <c r="B152" s="2113"/>
      <c r="C152" s="2113"/>
      <c r="D152" s="2113"/>
      <c r="E152" s="2113"/>
      <c r="F152" s="2113"/>
      <c r="G152" s="2114"/>
      <c r="H152" s="2113"/>
      <c r="I152" s="2114"/>
      <c r="J152" s="2113"/>
      <c r="K152" s="2113"/>
      <c r="L152" s="2114"/>
      <c r="M152" s="2113"/>
      <c r="N152" s="2113"/>
      <c r="O152" s="2114"/>
      <c r="P152" s="2113"/>
      <c r="Q152" s="2113"/>
      <c r="R152" s="2115"/>
    </row>
    <row r="153" spans="2:18" s="2099" customFormat="1">
      <c r="B153" s="2113"/>
      <c r="C153" s="2113"/>
      <c r="D153" s="2113"/>
      <c r="E153" s="2113"/>
      <c r="F153" s="2113"/>
      <c r="G153" s="2114"/>
      <c r="H153" s="2113"/>
      <c r="I153" s="2114"/>
      <c r="J153" s="2113"/>
      <c r="K153" s="2113"/>
      <c r="L153" s="2114"/>
      <c r="M153" s="2113"/>
      <c r="N153" s="2113"/>
      <c r="O153" s="2114"/>
      <c r="P153" s="2113"/>
      <c r="Q153" s="2113"/>
      <c r="R153" s="2115"/>
    </row>
    <row r="154" spans="2:18" s="2099" customFormat="1">
      <c r="B154" s="2113"/>
      <c r="C154" s="2113"/>
      <c r="D154" s="2113"/>
      <c r="E154" s="2113"/>
      <c r="F154" s="2113"/>
      <c r="G154" s="2114"/>
      <c r="H154" s="2113"/>
      <c r="I154" s="2114"/>
      <c r="J154" s="2113"/>
      <c r="K154" s="2113"/>
      <c r="L154" s="2114"/>
      <c r="M154" s="2113"/>
      <c r="N154" s="2113"/>
      <c r="O154" s="2114"/>
      <c r="P154" s="2113"/>
      <c r="Q154" s="2113"/>
      <c r="R154" s="2115"/>
    </row>
    <row r="155" spans="2:18" s="2099" customFormat="1">
      <c r="B155" s="2113"/>
      <c r="C155" s="2113"/>
      <c r="D155" s="2113"/>
      <c r="E155" s="2113"/>
      <c r="F155" s="2113"/>
      <c r="G155" s="2114"/>
      <c r="H155" s="2113"/>
      <c r="I155" s="2114"/>
      <c r="J155" s="2113"/>
      <c r="K155" s="2113"/>
      <c r="L155" s="2114"/>
      <c r="M155" s="2113"/>
      <c r="N155" s="2113"/>
      <c r="O155" s="2114"/>
      <c r="P155" s="2113"/>
      <c r="Q155" s="2113"/>
      <c r="R155" s="2115"/>
    </row>
    <row r="156" spans="2:18" s="2099" customFormat="1">
      <c r="B156" s="2113"/>
      <c r="C156" s="2113"/>
      <c r="D156" s="2113"/>
      <c r="E156" s="2113"/>
      <c r="F156" s="2113"/>
      <c r="G156" s="2114"/>
      <c r="H156" s="2113"/>
      <c r="I156" s="2114"/>
      <c r="J156" s="2113"/>
      <c r="K156" s="2113"/>
      <c r="L156" s="2114"/>
      <c r="M156" s="2113"/>
      <c r="N156" s="2113"/>
      <c r="O156" s="2114"/>
      <c r="P156" s="2113"/>
      <c r="Q156" s="2113"/>
      <c r="R156" s="2115"/>
    </row>
    <row r="157" spans="2:18" s="2099" customFormat="1">
      <c r="B157" s="2113"/>
      <c r="C157" s="2113"/>
      <c r="D157" s="2113"/>
      <c r="E157" s="2113"/>
      <c r="F157" s="2113"/>
      <c r="G157" s="2114"/>
      <c r="H157" s="2113"/>
      <c r="I157" s="2114"/>
      <c r="J157" s="2113"/>
      <c r="K157" s="2113"/>
      <c r="L157" s="2114"/>
      <c r="M157" s="2113"/>
      <c r="N157" s="2113"/>
      <c r="O157" s="2114"/>
      <c r="P157" s="2113"/>
      <c r="Q157" s="2113"/>
      <c r="R157" s="2115"/>
    </row>
    <row r="158" spans="2:18" s="2099" customFormat="1">
      <c r="B158" s="2113"/>
      <c r="C158" s="2113"/>
      <c r="D158" s="2113"/>
      <c r="E158" s="2113"/>
      <c r="F158" s="2113"/>
      <c r="G158" s="2114"/>
      <c r="H158" s="2113"/>
      <c r="I158" s="2114"/>
      <c r="J158" s="2113"/>
      <c r="K158" s="2113"/>
      <c r="L158" s="2114"/>
      <c r="M158" s="2113"/>
      <c r="N158" s="2113"/>
      <c r="O158" s="2114"/>
      <c r="P158" s="2113"/>
      <c r="Q158" s="2113"/>
      <c r="R158" s="2115"/>
    </row>
    <row r="159" spans="2:18" s="2099" customFormat="1">
      <c r="B159" s="2113"/>
      <c r="C159" s="2113"/>
      <c r="D159" s="2113"/>
      <c r="E159" s="2113"/>
      <c r="F159" s="2113"/>
      <c r="G159" s="2114"/>
      <c r="H159" s="2113"/>
      <c r="I159" s="2114"/>
      <c r="J159" s="2113"/>
      <c r="K159" s="2113"/>
      <c r="L159" s="2114"/>
      <c r="M159" s="2113"/>
      <c r="N159" s="2113"/>
      <c r="O159" s="2114"/>
      <c r="P159" s="2113"/>
      <c r="Q159" s="2113"/>
      <c r="R159" s="2115"/>
    </row>
    <row r="160" spans="2:18" s="2099" customFormat="1">
      <c r="B160" s="2113"/>
      <c r="C160" s="2113"/>
      <c r="D160" s="2113"/>
      <c r="E160" s="2113"/>
      <c r="F160" s="2113"/>
      <c r="G160" s="2114"/>
      <c r="H160" s="2113"/>
      <c r="I160" s="2114"/>
      <c r="J160" s="2113"/>
      <c r="K160" s="2113"/>
      <c r="L160" s="2114"/>
      <c r="M160" s="2113"/>
      <c r="N160" s="2113"/>
      <c r="O160" s="2114"/>
      <c r="P160" s="2113"/>
      <c r="Q160" s="2113"/>
      <c r="R160" s="2115"/>
    </row>
    <row r="161" spans="2:18" s="2099" customFormat="1">
      <c r="B161" s="2113"/>
      <c r="C161" s="2113"/>
      <c r="D161" s="2113"/>
      <c r="E161" s="2113"/>
      <c r="F161" s="2113"/>
      <c r="G161" s="2114"/>
      <c r="H161" s="2113"/>
      <c r="I161" s="2114"/>
      <c r="J161" s="2113"/>
      <c r="K161" s="2113"/>
      <c r="L161" s="2114"/>
      <c r="M161" s="2113"/>
      <c r="N161" s="2113"/>
      <c r="O161" s="2114"/>
      <c r="P161" s="2113"/>
      <c r="Q161" s="2113"/>
      <c r="R161" s="2115"/>
    </row>
    <row r="162" spans="2:18" s="2099" customFormat="1">
      <c r="B162" s="2113"/>
      <c r="C162" s="2113"/>
      <c r="D162" s="2113"/>
      <c r="E162" s="2113"/>
      <c r="F162" s="2113"/>
      <c r="G162" s="2114"/>
      <c r="H162" s="2113"/>
      <c r="I162" s="2114"/>
      <c r="J162" s="2113"/>
      <c r="K162" s="2113"/>
      <c r="L162" s="2114"/>
      <c r="M162" s="2113"/>
      <c r="N162" s="2113"/>
      <c r="O162" s="2114"/>
      <c r="P162" s="2113"/>
      <c r="Q162" s="2113"/>
      <c r="R162" s="2115"/>
    </row>
    <row r="163" spans="2:18" s="2099" customFormat="1">
      <c r="B163" s="2113"/>
      <c r="C163" s="2113"/>
      <c r="D163" s="2113"/>
      <c r="E163" s="2113"/>
      <c r="F163" s="2113"/>
      <c r="G163" s="2114"/>
      <c r="H163" s="2113"/>
      <c r="I163" s="2114"/>
      <c r="J163" s="2113"/>
      <c r="K163" s="2113"/>
      <c r="L163" s="2114"/>
      <c r="M163" s="2113"/>
      <c r="N163" s="2113"/>
      <c r="O163" s="2114"/>
      <c r="P163" s="2113"/>
      <c r="Q163" s="2113"/>
      <c r="R163" s="2115"/>
    </row>
    <row r="164" spans="2:18" s="2099" customFormat="1">
      <c r="B164" s="2113"/>
      <c r="C164" s="2113"/>
      <c r="D164" s="2113"/>
      <c r="E164" s="2113"/>
      <c r="F164" s="2113"/>
      <c r="G164" s="2114"/>
      <c r="H164" s="2113"/>
      <c r="I164" s="2114"/>
      <c r="J164" s="2113"/>
      <c r="K164" s="2113"/>
      <c r="L164" s="2114"/>
      <c r="M164" s="2113"/>
      <c r="N164" s="2113"/>
      <c r="O164" s="2114"/>
      <c r="P164" s="2113"/>
      <c r="Q164" s="2113"/>
      <c r="R164" s="2115"/>
    </row>
    <row r="165" spans="2:18" s="2099" customFormat="1">
      <c r="B165" s="2113"/>
      <c r="C165" s="2113"/>
      <c r="D165" s="2113"/>
      <c r="E165" s="2113"/>
      <c r="F165" s="2113"/>
      <c r="G165" s="2114"/>
      <c r="H165" s="2113"/>
      <c r="I165" s="2114"/>
      <c r="J165" s="2113"/>
      <c r="K165" s="2113"/>
      <c r="L165" s="2114"/>
      <c r="M165" s="2113"/>
      <c r="N165" s="2113"/>
      <c r="O165" s="2114"/>
      <c r="P165" s="2113"/>
      <c r="Q165" s="2113"/>
      <c r="R165" s="2115"/>
    </row>
    <row r="166" spans="2:18" s="2099" customFormat="1">
      <c r="B166" s="2113"/>
      <c r="C166" s="2113"/>
      <c r="D166" s="2113"/>
      <c r="E166" s="2113"/>
      <c r="F166" s="2113"/>
      <c r="G166" s="2114"/>
      <c r="H166" s="2113"/>
      <c r="I166" s="2114"/>
      <c r="J166" s="2113"/>
      <c r="K166" s="2113"/>
      <c r="L166" s="2114"/>
      <c r="M166" s="2113"/>
      <c r="N166" s="2113"/>
      <c r="O166" s="2114"/>
      <c r="P166" s="2113"/>
      <c r="Q166" s="2113"/>
      <c r="R166" s="2115"/>
    </row>
    <row r="167" spans="2:18" s="2099" customFormat="1">
      <c r="B167" s="2113"/>
      <c r="C167" s="2113"/>
      <c r="D167" s="2113"/>
      <c r="E167" s="2113"/>
      <c r="F167" s="2113"/>
      <c r="G167" s="2114"/>
      <c r="H167" s="2113"/>
      <c r="I167" s="2114"/>
      <c r="J167" s="2113"/>
      <c r="K167" s="2113"/>
      <c r="L167" s="2114"/>
      <c r="M167" s="2113"/>
      <c r="N167" s="2113"/>
      <c r="O167" s="2114"/>
      <c r="P167" s="2113"/>
      <c r="Q167" s="2113"/>
      <c r="R167" s="2115"/>
    </row>
    <row r="168" spans="2:18" s="2099" customFormat="1">
      <c r="B168" s="2113"/>
      <c r="C168" s="2113"/>
      <c r="D168" s="2113"/>
      <c r="E168" s="2113"/>
      <c r="F168" s="2113"/>
      <c r="G168" s="2114"/>
      <c r="H168" s="2113"/>
      <c r="I168" s="2114"/>
      <c r="J168" s="2113"/>
      <c r="K168" s="2113"/>
      <c r="L168" s="2114"/>
      <c r="M168" s="2113"/>
      <c r="N168" s="2113"/>
      <c r="O168" s="2114"/>
      <c r="P168" s="2113"/>
      <c r="Q168" s="2113"/>
      <c r="R168" s="2115"/>
    </row>
    <row r="169" spans="2:18" s="2099" customFormat="1">
      <c r="B169" s="2113"/>
      <c r="C169" s="2113"/>
      <c r="D169" s="2113"/>
      <c r="E169" s="2113"/>
      <c r="F169" s="2113"/>
      <c r="G169" s="2114"/>
      <c r="H169" s="2113"/>
      <c r="I169" s="2114"/>
      <c r="J169" s="2113"/>
      <c r="K169" s="2113"/>
      <c r="L169" s="2114"/>
      <c r="M169" s="2113"/>
      <c r="N169" s="2113"/>
      <c r="O169" s="2114"/>
      <c r="P169" s="2113"/>
      <c r="Q169" s="2113"/>
      <c r="R169" s="2115"/>
    </row>
    <row r="170" spans="2:18" s="2099" customFormat="1">
      <c r="B170" s="2113"/>
      <c r="C170" s="2113"/>
      <c r="D170" s="2113"/>
      <c r="E170" s="2113"/>
      <c r="F170" s="2113"/>
      <c r="G170" s="2114"/>
      <c r="H170" s="2113"/>
      <c r="I170" s="2114"/>
      <c r="J170" s="2113"/>
      <c r="K170" s="2113"/>
      <c r="L170" s="2114"/>
      <c r="M170" s="2113"/>
      <c r="N170" s="2113"/>
      <c r="O170" s="2114"/>
      <c r="P170" s="2113"/>
      <c r="Q170" s="2113"/>
      <c r="R170" s="2115"/>
    </row>
    <row r="171" spans="2:18" s="2099" customFormat="1">
      <c r="B171" s="2113"/>
      <c r="C171" s="2113"/>
      <c r="D171" s="2113"/>
      <c r="E171" s="2113"/>
      <c r="F171" s="2113"/>
      <c r="G171" s="2114"/>
      <c r="H171" s="2113"/>
      <c r="I171" s="2114"/>
      <c r="J171" s="2113"/>
      <c r="K171" s="2113"/>
      <c r="L171" s="2114"/>
      <c r="M171" s="2113"/>
      <c r="N171" s="2113"/>
      <c r="O171" s="2114"/>
      <c r="P171" s="2113"/>
      <c r="Q171" s="2113"/>
      <c r="R171" s="2115"/>
    </row>
    <row r="172" spans="2:18" s="2099" customFormat="1">
      <c r="B172" s="2113"/>
      <c r="C172" s="2113"/>
      <c r="D172" s="2113"/>
      <c r="E172" s="2113"/>
      <c r="F172" s="2113"/>
      <c r="G172" s="2114"/>
      <c r="H172" s="2113"/>
      <c r="I172" s="2114"/>
      <c r="J172" s="2113"/>
      <c r="K172" s="2113"/>
      <c r="L172" s="2114"/>
      <c r="M172" s="2113"/>
      <c r="N172" s="2113"/>
      <c r="O172" s="2114"/>
      <c r="P172" s="2113"/>
      <c r="Q172" s="2113"/>
      <c r="R172" s="2115"/>
    </row>
    <row r="173" spans="2:18" s="2099" customFormat="1">
      <c r="B173" s="2113"/>
      <c r="C173" s="2113"/>
      <c r="D173" s="2113"/>
      <c r="E173" s="2113"/>
      <c r="F173" s="2113"/>
      <c r="G173" s="2114"/>
      <c r="H173" s="2113"/>
      <c r="I173" s="2114"/>
      <c r="J173" s="2113"/>
      <c r="K173" s="2113"/>
      <c r="L173" s="2114"/>
      <c r="M173" s="2113"/>
      <c r="N173" s="2113"/>
      <c r="O173" s="2114"/>
      <c r="P173" s="2113"/>
      <c r="Q173" s="2113"/>
      <c r="R173" s="2115"/>
    </row>
    <row r="174" spans="2:18" s="2099" customFormat="1">
      <c r="B174" s="2113"/>
      <c r="C174" s="2113"/>
      <c r="D174" s="2113"/>
      <c r="E174" s="2113"/>
      <c r="F174" s="2113"/>
      <c r="G174" s="2114"/>
      <c r="H174" s="2113"/>
      <c r="I174" s="2114"/>
      <c r="J174" s="2113"/>
      <c r="K174" s="2113"/>
      <c r="L174" s="2114"/>
      <c r="M174" s="2113"/>
      <c r="N174" s="2113"/>
      <c r="O174" s="2114"/>
      <c r="P174" s="2113"/>
      <c r="Q174" s="2113"/>
      <c r="R174" s="2115"/>
    </row>
    <row r="175" spans="2:18" s="2099" customFormat="1">
      <c r="B175" s="2113"/>
      <c r="C175" s="2113"/>
      <c r="D175" s="2113"/>
      <c r="E175" s="2113"/>
      <c r="F175" s="2113"/>
      <c r="G175" s="2114"/>
      <c r="H175" s="2113"/>
      <c r="I175" s="2114"/>
      <c r="J175" s="2113"/>
      <c r="K175" s="2113"/>
      <c r="L175" s="2114"/>
      <c r="M175" s="2113"/>
      <c r="N175" s="2113"/>
      <c r="O175" s="2114"/>
      <c r="P175" s="2113"/>
      <c r="Q175" s="2113"/>
      <c r="R175" s="2115"/>
    </row>
    <row r="176" spans="2:18" s="2099" customFormat="1">
      <c r="B176" s="2113"/>
      <c r="C176" s="2113"/>
      <c r="D176" s="2113"/>
      <c r="E176" s="2113"/>
      <c r="F176" s="2113"/>
      <c r="G176" s="2114"/>
      <c r="H176" s="2113"/>
      <c r="I176" s="2114"/>
      <c r="J176" s="2113"/>
      <c r="K176" s="2113"/>
      <c r="L176" s="2114"/>
      <c r="M176" s="2113"/>
      <c r="N176" s="2113"/>
      <c r="O176" s="2114"/>
      <c r="P176" s="2113"/>
      <c r="Q176" s="2113"/>
      <c r="R176" s="2115"/>
    </row>
    <row r="177" spans="1:18" s="2099" customFormat="1">
      <c r="B177" s="2113"/>
      <c r="C177" s="2113"/>
      <c r="D177" s="2113"/>
      <c r="E177" s="2113"/>
      <c r="F177" s="2113"/>
      <c r="G177" s="2114"/>
      <c r="H177" s="2113"/>
      <c r="I177" s="2114"/>
      <c r="J177" s="2113"/>
      <c r="K177" s="2113"/>
      <c r="L177" s="2114"/>
      <c r="M177" s="2113"/>
      <c r="N177" s="2113"/>
      <c r="O177" s="2114"/>
      <c r="P177" s="2113"/>
      <c r="Q177" s="2113"/>
      <c r="R177" s="2115"/>
    </row>
    <row r="178" spans="1:18" s="2099" customFormat="1">
      <c r="B178" s="2113"/>
      <c r="C178" s="2113"/>
      <c r="D178" s="2113"/>
      <c r="E178" s="2113"/>
      <c r="F178" s="2113"/>
      <c r="G178" s="2114"/>
      <c r="H178" s="2113"/>
      <c r="I178" s="2114"/>
      <c r="J178" s="2113"/>
      <c r="K178" s="2113"/>
      <c r="L178" s="2114"/>
      <c r="M178" s="2113"/>
      <c r="N178" s="2113"/>
      <c r="O178" s="2114"/>
      <c r="P178" s="2113"/>
      <c r="Q178" s="2113"/>
      <c r="R178" s="2115"/>
    </row>
    <row r="179" spans="1:18" s="2099" customFormat="1">
      <c r="B179" s="2113"/>
      <c r="C179" s="2113"/>
      <c r="D179" s="2113"/>
      <c r="E179" s="2113"/>
      <c r="F179" s="2113"/>
      <c r="G179" s="2114"/>
      <c r="H179" s="2113"/>
      <c r="I179" s="2114"/>
      <c r="J179" s="2113"/>
      <c r="K179" s="2113"/>
      <c r="L179" s="2114"/>
      <c r="M179" s="2113"/>
      <c r="N179" s="2113"/>
      <c r="O179" s="2114"/>
      <c r="P179" s="2113"/>
      <c r="Q179" s="2113"/>
      <c r="R179" s="2115"/>
    </row>
    <row r="180" spans="1:18" s="2099" customFormat="1">
      <c r="B180" s="2113"/>
      <c r="C180" s="2113"/>
      <c r="D180" s="2113"/>
      <c r="E180" s="2113"/>
      <c r="F180" s="2113"/>
      <c r="G180" s="2114"/>
      <c r="H180" s="2113"/>
      <c r="I180" s="2114"/>
      <c r="J180" s="2113"/>
      <c r="K180" s="2113"/>
      <c r="L180" s="2114"/>
      <c r="M180" s="2113"/>
      <c r="N180" s="2113"/>
      <c r="O180" s="2114"/>
      <c r="P180" s="2113"/>
      <c r="Q180" s="2113"/>
      <c r="R180" s="2115"/>
    </row>
    <row r="181" spans="1:18" s="2099" customFormat="1">
      <c r="B181" s="2113"/>
      <c r="C181" s="2113"/>
      <c r="D181" s="2113"/>
      <c r="E181" s="2113"/>
      <c r="F181" s="2113"/>
      <c r="G181" s="2114"/>
      <c r="H181" s="2113"/>
      <c r="I181" s="2114"/>
      <c r="J181" s="2113"/>
      <c r="K181" s="2113"/>
      <c r="L181" s="2114"/>
      <c r="M181" s="2113"/>
      <c r="N181" s="2113"/>
      <c r="O181" s="2114"/>
      <c r="P181" s="2113"/>
      <c r="Q181" s="2113"/>
      <c r="R181" s="2115"/>
    </row>
    <row r="182" spans="1:18" s="2099" customFormat="1">
      <c r="B182" s="2113"/>
      <c r="C182" s="2113"/>
      <c r="D182" s="2113"/>
      <c r="E182" s="2113"/>
      <c r="F182" s="2113"/>
      <c r="G182" s="2114"/>
      <c r="H182" s="2113"/>
      <c r="I182" s="2114"/>
      <c r="J182" s="2113"/>
      <c r="K182" s="2113"/>
      <c r="L182" s="2114"/>
      <c r="M182" s="2113"/>
      <c r="N182" s="2113"/>
      <c r="O182" s="2114"/>
      <c r="P182" s="2113"/>
      <c r="Q182" s="2113"/>
      <c r="R182" s="2115"/>
    </row>
    <row r="183" spans="1:18" s="2099" customFormat="1">
      <c r="B183" s="2113"/>
      <c r="C183" s="2113"/>
      <c r="D183" s="2113"/>
      <c r="E183" s="2113"/>
      <c r="F183" s="2113"/>
      <c r="G183" s="2114"/>
      <c r="H183" s="2113"/>
      <c r="I183" s="2114"/>
      <c r="J183" s="2113"/>
      <c r="K183" s="2113"/>
      <c r="L183" s="2114"/>
      <c r="M183" s="2113"/>
      <c r="N183" s="2113"/>
      <c r="O183" s="2114"/>
      <c r="P183" s="2113"/>
      <c r="Q183" s="2113"/>
      <c r="R183" s="2115"/>
    </row>
    <row r="184" spans="1:18" s="2099" customFormat="1">
      <c r="B184" s="2113"/>
      <c r="C184" s="2113"/>
      <c r="D184" s="2113"/>
      <c r="E184" s="2113"/>
      <c r="F184" s="2113"/>
      <c r="G184" s="2114"/>
      <c r="H184" s="2113"/>
      <c r="I184" s="2114"/>
      <c r="J184" s="2113"/>
      <c r="K184" s="2113"/>
      <c r="L184" s="2114"/>
      <c r="M184" s="2113"/>
      <c r="N184" s="2113"/>
      <c r="O184" s="2114"/>
      <c r="P184" s="2113"/>
      <c r="Q184" s="2113"/>
      <c r="R184" s="2115"/>
    </row>
    <row r="185" spans="1:18" s="2099" customFormat="1">
      <c r="B185" s="2113"/>
      <c r="C185" s="2113"/>
      <c r="D185" s="2113"/>
      <c r="E185" s="2113"/>
      <c r="F185" s="2113"/>
      <c r="G185" s="2114"/>
      <c r="H185" s="2113"/>
      <c r="I185" s="2114"/>
      <c r="J185" s="2113"/>
      <c r="K185" s="2113"/>
      <c r="L185" s="2114"/>
      <c r="M185" s="2113"/>
      <c r="N185" s="2113"/>
      <c r="O185" s="2114"/>
      <c r="P185" s="2113"/>
      <c r="Q185" s="2113"/>
      <c r="R185" s="2115"/>
    </row>
    <row r="186" spans="1:18">
      <c r="A186" s="2099"/>
      <c r="B186" s="2113"/>
      <c r="C186" s="2113"/>
      <c r="E186" s="2113"/>
      <c r="F186" s="2113"/>
      <c r="G186" s="2114"/>
    </row>
    <row r="187" spans="1:18">
      <c r="A187" s="2099"/>
      <c r="B187" s="2113"/>
      <c r="C187" s="2113"/>
      <c r="E187" s="2113"/>
      <c r="F187" s="2113"/>
      <c r="G187" s="2114"/>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1" sqref="E31"/>
    </sheetView>
  </sheetViews>
  <sheetFormatPr defaultColWidth="14.625" defaultRowHeight="13.5"/>
  <cols>
    <col min="1" max="1" width="24.375" customWidth="1"/>
  </cols>
  <sheetData>
    <row r="1" spans="1:9" ht="16.5">
      <c r="A1" s="3014" t="s">
        <v>2816</v>
      </c>
      <c r="B1" s="3014">
        <f>SUM(B14:B23)</f>
        <v>88039.929999999338</v>
      </c>
      <c r="C1" s="3015"/>
      <c r="D1" s="3015"/>
      <c r="E1" s="3015"/>
      <c r="F1" s="3015"/>
      <c r="G1" s="3019"/>
    </row>
    <row r="2" spans="1:9" ht="16.5">
      <c r="A2" s="3014" t="s">
        <v>2817</v>
      </c>
      <c r="B2" s="3014">
        <f>SUM(C14:C23)</f>
        <v>4968.7000000000498</v>
      </c>
      <c r="C2" s="3015"/>
      <c r="D2" s="3015"/>
      <c r="E2" s="3015"/>
      <c r="F2" s="3015"/>
      <c r="G2" s="3019"/>
    </row>
    <row r="3" spans="1:9" ht="16.5">
      <c r="A3" s="3014" t="s">
        <v>2818</v>
      </c>
      <c r="B3" s="3017">
        <f>项目基本情况!D2</f>
        <v>42916</v>
      </c>
      <c r="C3" s="3015"/>
      <c r="D3" s="3015"/>
      <c r="E3" s="3015"/>
      <c r="F3" s="3015"/>
      <c r="G3" s="3019"/>
    </row>
    <row r="4" spans="1:9" ht="33">
      <c r="A4" s="3014" t="s">
        <v>2819</v>
      </c>
      <c r="B4" s="3014" t="s">
        <v>2820</v>
      </c>
      <c r="C4" s="3014" t="s">
        <v>2821</v>
      </c>
      <c r="D4" s="3014" t="s">
        <v>2822</v>
      </c>
      <c r="E4" s="3015"/>
      <c r="F4" s="3019"/>
      <c r="G4" s="3019"/>
    </row>
    <row r="5" spans="1:9" ht="16.5">
      <c r="A5" s="3014" t="s">
        <v>2823</v>
      </c>
      <c r="B5" s="3014">
        <f ca="1">SUM(D14:D23)</f>
        <v>143304</v>
      </c>
      <c r="C5" s="3014">
        <f ca="1">ROUND(B5*10000/$B$1,0)</f>
        <v>16277</v>
      </c>
      <c r="D5" s="3014">
        <f ca="1">ROUND(B5*10000/$B$2,0)</f>
        <v>288413</v>
      </c>
      <c r="E5" s="3015"/>
      <c r="F5" s="3019"/>
      <c r="G5" s="3019"/>
    </row>
    <row r="6" spans="1:9" ht="16.5">
      <c r="A6" s="3014" t="s">
        <v>2824</v>
      </c>
      <c r="B6" s="3014">
        <f ca="1">SUM(G14:G23)</f>
        <v>143304</v>
      </c>
      <c r="C6" s="3014">
        <f t="shared" ref="C6:C8" ca="1" si="0">ROUND(B6*10000/$B$1,0)</f>
        <v>16277</v>
      </c>
      <c r="D6" s="3014">
        <f t="shared" ref="D6:D8" ca="1" si="1">ROUND(B6*10000/$B$2,0)</f>
        <v>288413</v>
      </c>
      <c r="E6" s="3015"/>
      <c r="F6" s="3019"/>
      <c r="G6" s="3019"/>
    </row>
    <row r="7" spans="1:9" ht="16.5">
      <c r="A7" s="3014" t="s">
        <v>2825</v>
      </c>
      <c r="B7" s="3014">
        <f>SUM(H14:H23)</f>
        <v>0</v>
      </c>
      <c r="C7" s="3014">
        <f>ROUND(B7*10000/$B$1,0)</f>
        <v>0</v>
      </c>
      <c r="D7" s="3014">
        <f t="shared" si="1"/>
        <v>0</v>
      </c>
      <c r="E7" s="3015"/>
      <c r="F7" s="3019"/>
      <c r="G7" s="3019"/>
    </row>
    <row r="8" spans="1:9" ht="16.5">
      <c r="A8" s="3014" t="s">
        <v>2826</v>
      </c>
      <c r="B8" s="3014">
        <f>SUM(I14:I23)</f>
        <v>0</v>
      </c>
      <c r="C8" s="3014">
        <f t="shared" si="0"/>
        <v>0</v>
      </c>
      <c r="D8" s="3014">
        <f t="shared" si="1"/>
        <v>0</v>
      </c>
      <c r="E8" s="3015"/>
      <c r="F8" s="3019"/>
      <c r="G8" s="3019"/>
    </row>
    <row r="9" spans="1:9" ht="16.5">
      <c r="A9" s="3014" t="s">
        <v>2827</v>
      </c>
      <c r="B9" s="3020"/>
      <c r="C9" s="3015"/>
      <c r="D9" s="3015"/>
      <c r="E9" s="3015"/>
      <c r="F9" s="3019"/>
      <c r="G9" s="3019"/>
    </row>
    <row r="10" spans="1:9" ht="16.5">
      <c r="A10" s="3014" t="s">
        <v>2828</v>
      </c>
      <c r="B10" s="3020"/>
      <c r="C10" s="3015"/>
      <c r="D10" s="3015"/>
      <c r="E10" s="3015"/>
      <c r="F10" s="3019"/>
      <c r="G10" s="3019"/>
    </row>
    <row r="11" spans="1:9" ht="16.5">
      <c r="A11" s="3014" t="s">
        <v>2844</v>
      </c>
      <c r="B11" s="3020"/>
      <c r="C11" s="3015"/>
      <c r="D11" s="3015"/>
      <c r="E11" s="3015"/>
      <c r="F11" s="3019"/>
      <c r="G11" s="3019"/>
    </row>
    <row r="12" spans="1:9" ht="16.5">
      <c r="A12" s="3015"/>
      <c r="B12" s="3015"/>
      <c r="C12" s="3015"/>
      <c r="D12" s="3015"/>
      <c r="E12" s="3015"/>
      <c r="F12" s="3019"/>
      <c r="G12" s="3019"/>
    </row>
    <row r="13" spans="1:9" ht="33">
      <c r="A13" s="3024" t="s">
        <v>2843</v>
      </c>
      <c r="B13" s="3018" t="s">
        <v>2816</v>
      </c>
      <c r="C13" s="3018" t="s">
        <v>2817</v>
      </c>
      <c r="D13" s="3018" t="s">
        <v>2829</v>
      </c>
      <c r="E13" s="3014" t="s">
        <v>2821</v>
      </c>
      <c r="F13" s="3014" t="s">
        <v>2822</v>
      </c>
      <c r="G13" s="3018" t="s">
        <v>2830</v>
      </c>
      <c r="H13" s="3018" t="s">
        <v>2831</v>
      </c>
      <c r="I13" s="3018" t="s">
        <v>2832</v>
      </c>
    </row>
    <row r="14" spans="1:9" ht="16.5">
      <c r="A14" s="3021" t="s">
        <v>2842</v>
      </c>
      <c r="B14" s="3018">
        <f>项目基本情况!C12</f>
        <v>88039.929999999338</v>
      </c>
      <c r="C14" s="3018">
        <f>项目基本情况!C13</f>
        <v>4968.7000000000498</v>
      </c>
      <c r="D14" s="3018">
        <f ca="1">IF('数据-取费表'!B3="万元",IF(A14="估价对象1（结果表）",结果表!H121,'结果表 (1修多)'!H124),IF(A14="估价对象1（结果表）",结果表!H121,'结果表 (1修多)'!H124)/10000)</f>
        <v>143304</v>
      </c>
      <c r="E14" s="3018">
        <f ca="1">ROUND(D14*10000/B14,0)</f>
        <v>16277</v>
      </c>
      <c r="F14" s="3018">
        <f ca="1">ROUND(D14*10000/C14,0)</f>
        <v>288413</v>
      </c>
      <c r="G14" s="3018">
        <f ca="1">IF('数据-取费表'!B3="万元",IF(A14="估价对象1（结果表）",结果表!D125,'结果表 (1修多)'!D128),IF(A14="估价对象1（结果表）",结果表!D125,'结果表 (1修多)'!D128)/10000)</f>
        <v>143304</v>
      </c>
      <c r="H14" s="3018" t="str">
        <f>IF('数据-取费表'!B3="万元",IF(A14="估价对象1（结果表）",结果表!D127,'结果表 (1修多)'!D130),IF(A14="估价对象1（结果表）",结果表!D127,'结果表 (1修多)'!D130)/10000)</f>
        <v>——</v>
      </c>
      <c r="I14" s="3018" t="str">
        <f>IF('数据-取费表'!B3="万元",IF(A14="估价对象1（结果表）",结果表!D129,'结果表 (1修多)'!D132),IF(A14="估价对象1（结果表）",结果表!D129,'结果表 (1修多)'!D132)/10000)</f>
        <v>——</v>
      </c>
    </row>
    <row r="15" spans="1:9" ht="16.5">
      <c r="A15" s="3016" t="s">
        <v>2833</v>
      </c>
      <c r="B15" s="3022"/>
      <c r="C15" s="3022"/>
      <c r="D15" s="3022"/>
      <c r="E15" s="3018" t="e">
        <f t="shared" ref="E15:E23" si="2">ROUND(D15*10000/B15,0)</f>
        <v>#DIV/0!</v>
      </c>
      <c r="F15" s="3018" t="e">
        <f t="shared" ref="F15:F23" si="3">ROUND(D15*10000/C15,0)</f>
        <v>#DIV/0!</v>
      </c>
      <c r="G15" s="3023"/>
      <c r="H15" s="3023"/>
      <c r="I15" s="3022"/>
    </row>
    <row r="16" spans="1:9" ht="16.5">
      <c r="A16" s="3016" t="s">
        <v>2834</v>
      </c>
      <c r="B16" s="3022"/>
      <c r="C16" s="3022"/>
      <c r="D16" s="3022"/>
      <c r="E16" s="3018" t="e">
        <f t="shared" si="2"/>
        <v>#DIV/0!</v>
      </c>
      <c r="F16" s="3018" t="e">
        <f t="shared" si="3"/>
        <v>#DIV/0!</v>
      </c>
      <c r="G16" s="3023"/>
      <c r="H16" s="3023"/>
      <c r="I16" s="3022"/>
    </row>
    <row r="17" spans="1:9" ht="16.5">
      <c r="A17" s="3016" t="s">
        <v>2835</v>
      </c>
      <c r="B17" s="3022"/>
      <c r="C17" s="3022"/>
      <c r="D17" s="3022"/>
      <c r="E17" s="3018" t="e">
        <f t="shared" si="2"/>
        <v>#DIV/0!</v>
      </c>
      <c r="F17" s="3018" t="e">
        <f t="shared" si="3"/>
        <v>#DIV/0!</v>
      </c>
      <c r="G17" s="3023"/>
      <c r="H17" s="3023"/>
      <c r="I17" s="3022"/>
    </row>
    <row r="18" spans="1:9" ht="16.5">
      <c r="A18" s="3016" t="s">
        <v>2836</v>
      </c>
      <c r="B18" s="3022"/>
      <c r="C18" s="3022"/>
      <c r="D18" s="3022"/>
      <c r="E18" s="3018" t="e">
        <f t="shared" si="2"/>
        <v>#DIV/0!</v>
      </c>
      <c r="F18" s="3018" t="e">
        <f t="shared" si="3"/>
        <v>#DIV/0!</v>
      </c>
      <c r="G18" s="3022"/>
      <c r="H18" s="3022"/>
      <c r="I18" s="3022"/>
    </row>
    <row r="19" spans="1:9" ht="16.5">
      <c r="A19" s="3016" t="s">
        <v>2837</v>
      </c>
      <c r="B19" s="3022"/>
      <c r="C19" s="3022"/>
      <c r="D19" s="3022"/>
      <c r="E19" s="3018" t="e">
        <f t="shared" si="2"/>
        <v>#DIV/0!</v>
      </c>
      <c r="F19" s="3018" t="e">
        <f t="shared" si="3"/>
        <v>#DIV/0!</v>
      </c>
      <c r="G19" s="3022"/>
      <c r="H19" s="3022"/>
      <c r="I19" s="3022"/>
    </row>
    <row r="20" spans="1:9" ht="16.5">
      <c r="A20" s="3016" t="s">
        <v>2838</v>
      </c>
      <c r="B20" s="3022"/>
      <c r="C20" s="3022"/>
      <c r="D20" s="3022"/>
      <c r="E20" s="3018" t="e">
        <f t="shared" si="2"/>
        <v>#DIV/0!</v>
      </c>
      <c r="F20" s="3018" t="e">
        <f t="shared" si="3"/>
        <v>#DIV/0!</v>
      </c>
      <c r="G20" s="3022"/>
      <c r="H20" s="3022"/>
      <c r="I20" s="3022"/>
    </row>
    <row r="21" spans="1:9" ht="16.5">
      <c r="A21" s="3016" t="s">
        <v>2839</v>
      </c>
      <c r="B21" s="3022"/>
      <c r="C21" s="3022"/>
      <c r="D21" s="3022"/>
      <c r="E21" s="3018" t="e">
        <f t="shared" si="2"/>
        <v>#DIV/0!</v>
      </c>
      <c r="F21" s="3018" t="e">
        <f t="shared" si="3"/>
        <v>#DIV/0!</v>
      </c>
      <c r="G21" s="3022"/>
      <c r="H21" s="3022"/>
      <c r="I21" s="3022"/>
    </row>
    <row r="22" spans="1:9" ht="16.5">
      <c r="A22" s="3016" t="s">
        <v>2840</v>
      </c>
      <c r="B22" s="3022"/>
      <c r="C22" s="3022"/>
      <c r="D22" s="3022"/>
      <c r="E22" s="3018" t="e">
        <f t="shared" si="2"/>
        <v>#DIV/0!</v>
      </c>
      <c r="F22" s="3018" t="e">
        <f t="shared" si="3"/>
        <v>#DIV/0!</v>
      </c>
      <c r="G22" s="3022"/>
      <c r="H22" s="3022"/>
      <c r="I22" s="3022"/>
    </row>
    <row r="23" spans="1:9" ht="16.5">
      <c r="A23" s="3016" t="s">
        <v>2841</v>
      </c>
      <c r="B23" s="3022"/>
      <c r="C23" s="3022"/>
      <c r="D23" s="3022"/>
      <c r="E23" s="3014" t="e">
        <f t="shared" si="2"/>
        <v>#DIV/0!</v>
      </c>
      <c r="F23" s="3014" t="e">
        <f t="shared" si="3"/>
        <v>#DIV/0!</v>
      </c>
      <c r="G23" s="3022"/>
      <c r="H23" s="3022"/>
      <c r="I23" s="3022"/>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669</v>
      </c>
      <c r="B1" s="1059"/>
      <c r="C1" s="1059"/>
      <c r="D1" s="1059"/>
      <c r="E1" s="1059"/>
      <c r="F1" s="1059"/>
      <c r="G1" s="1059"/>
      <c r="H1" s="1059"/>
      <c r="I1" s="1059"/>
    </row>
    <row r="2" spans="1:12" ht="21.75" customHeight="1">
      <c r="A2" s="3380" t="str">
        <f>项目基本情况!B1</f>
        <v>浙江省杭州市房地产抵押价值预评估</v>
      </c>
      <c r="B2" s="3380"/>
      <c r="C2" s="3380"/>
      <c r="D2" s="3380"/>
      <c r="E2" s="3380"/>
      <c r="F2" s="3380"/>
      <c r="G2" s="3380"/>
      <c r="H2" s="3380"/>
      <c r="I2" s="3380"/>
    </row>
    <row r="3" spans="1:12" ht="12">
      <c r="A3" s="3383" t="s">
        <v>8</v>
      </c>
      <c r="B3" s="3384"/>
      <c r="C3" s="3384"/>
      <c r="D3" s="3384"/>
      <c r="E3" s="3384"/>
      <c r="F3" s="3384"/>
      <c r="G3" s="3384"/>
      <c r="H3" s="3384"/>
      <c r="I3" s="3384"/>
    </row>
    <row r="4" spans="1:12" ht="13.5">
      <c r="A4" s="237" t="s">
        <v>9</v>
      </c>
      <c r="B4" s="1809" t="s">
        <v>10</v>
      </c>
      <c r="C4" s="238"/>
      <c r="D4" s="238"/>
      <c r="E4" s="3386" t="s">
        <v>670</v>
      </c>
      <c r="F4" s="3387"/>
      <c r="G4" s="3387"/>
      <c r="H4" s="3387"/>
      <c r="I4" s="3388"/>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2" t="s">
        <v>11</v>
      </c>
      <c r="B5" s="3369">
        <v>25</v>
      </c>
      <c r="C5" s="3364"/>
      <c r="D5" s="3382"/>
      <c r="E5" s="272" t="s">
        <v>713</v>
      </c>
      <c r="F5" s="239"/>
      <c r="G5" s="239"/>
      <c r="H5" s="239"/>
      <c r="I5" s="240"/>
    </row>
    <row r="6" spans="1:12" ht="12.75">
      <c r="A6" s="3352"/>
      <c r="B6" s="3369"/>
      <c r="C6" s="3385"/>
      <c r="D6" s="3382"/>
      <c r="E6" s="272" t="s">
        <v>714</v>
      </c>
      <c r="F6" s="239"/>
      <c r="G6" s="239"/>
      <c r="H6" s="239"/>
      <c r="I6" s="240"/>
    </row>
    <row r="7" spans="1:12" ht="12.75">
      <c r="A7" s="3352"/>
      <c r="B7" s="3369"/>
      <c r="C7" s="3365"/>
      <c r="D7" s="3382"/>
      <c r="E7" s="272" t="s">
        <v>715</v>
      </c>
      <c r="F7" s="239"/>
      <c r="G7" s="239"/>
      <c r="H7" s="239"/>
      <c r="I7" s="240"/>
    </row>
    <row r="8" spans="1:12" ht="12.75">
      <c r="A8" s="3352" t="s">
        <v>12</v>
      </c>
      <c r="B8" s="3369">
        <v>15</v>
      </c>
      <c r="C8" s="3364"/>
      <c r="D8" s="3382"/>
      <c r="E8" s="272" t="s">
        <v>716</v>
      </c>
      <c r="F8" s="239"/>
      <c r="G8" s="239"/>
      <c r="H8" s="239"/>
      <c r="I8" s="240"/>
    </row>
    <row r="9" spans="1:12" ht="12.75">
      <c r="A9" s="3352"/>
      <c r="B9" s="3369"/>
      <c r="C9" s="3365"/>
      <c r="D9" s="3382"/>
      <c r="E9" s="272" t="s">
        <v>717</v>
      </c>
      <c r="F9" s="239"/>
      <c r="G9" s="239"/>
      <c r="H9" s="239"/>
      <c r="I9" s="240"/>
    </row>
    <row r="10" spans="1:12" ht="12.75">
      <c r="A10" s="3352" t="s">
        <v>13</v>
      </c>
      <c r="B10" s="3369">
        <v>15</v>
      </c>
      <c r="C10" s="3364"/>
      <c r="D10" s="3382"/>
      <c r="E10" s="272" t="s">
        <v>718</v>
      </c>
      <c r="F10" s="239"/>
      <c r="G10" s="239"/>
      <c r="H10" s="239"/>
      <c r="I10" s="240"/>
    </row>
    <row r="11" spans="1:12" ht="12.75">
      <c r="A11" s="3352"/>
      <c r="B11" s="3369"/>
      <c r="C11" s="3365"/>
      <c r="D11" s="3382"/>
      <c r="E11" s="272" t="s">
        <v>719</v>
      </c>
      <c r="F11" s="239"/>
      <c r="G11" s="239"/>
      <c r="H11" s="239"/>
      <c r="I11" s="240"/>
    </row>
    <row r="12" spans="1:12" ht="12.75">
      <c r="A12" s="3352" t="s">
        <v>14</v>
      </c>
      <c r="B12" s="3369">
        <v>15</v>
      </c>
      <c r="C12" s="3364"/>
      <c r="D12" s="3382"/>
      <c r="E12" s="272" t="s">
        <v>720</v>
      </c>
      <c r="F12" s="239"/>
      <c r="G12" s="239"/>
      <c r="H12" s="239"/>
      <c r="I12" s="240"/>
    </row>
    <row r="13" spans="1:12" ht="12.75">
      <c r="A13" s="3352"/>
      <c r="B13" s="3369"/>
      <c r="C13" s="3365"/>
      <c r="D13" s="3382"/>
      <c r="E13" s="272" t="s">
        <v>721</v>
      </c>
      <c r="F13" s="239"/>
      <c r="G13" s="239"/>
      <c r="H13" s="239"/>
      <c r="I13" s="240"/>
    </row>
    <row r="14" spans="1:12" ht="12.75">
      <c r="A14" s="3352" t="s">
        <v>15</v>
      </c>
      <c r="B14" s="3369">
        <v>30</v>
      </c>
      <c r="C14" s="3364"/>
      <c r="D14" s="3382"/>
      <c r="E14" s="272" t="s">
        <v>722</v>
      </c>
      <c r="F14" s="239"/>
      <c r="G14" s="239"/>
      <c r="H14" s="239"/>
      <c r="I14" s="240"/>
    </row>
    <row r="15" spans="1:12" ht="12.75">
      <c r="A15" s="3352"/>
      <c r="B15" s="3369"/>
      <c r="C15" s="3385"/>
      <c r="D15" s="3382"/>
      <c r="E15" s="272" t="s">
        <v>723</v>
      </c>
      <c r="F15" s="239"/>
      <c r="G15" s="239"/>
      <c r="H15" s="239"/>
      <c r="I15" s="240"/>
    </row>
    <row r="16" spans="1:12" ht="12.75">
      <c r="A16" s="3352"/>
      <c r="B16" s="3369"/>
      <c r="C16" s="3365"/>
      <c r="D16" s="3382"/>
      <c r="E16" s="272" t="s">
        <v>724</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185</v>
      </c>
      <c r="B19" s="244" t="s">
        <v>18</v>
      </c>
      <c r="C19" s="275" t="e">
        <f ca="1">SUMIF(INDIRECT("'"&amp;C4&amp;"'"&amp;"!A:A"),结果表!B19,INDIRECT("'"&amp;C4&amp;"'"&amp;"!B:B"))</f>
        <v>#REF!</v>
      </c>
      <c r="D19" s="276" t="e">
        <f ca="1">SUMIF(INDIRECT("'"&amp;D4&amp;"'"&amp;"!A:A"),结果表!B19,INDIRECT("'"&amp;D4&amp;"'"&amp;"!B:B"))</f>
        <v>#REF!</v>
      </c>
      <c r="E19" s="243" t="s">
        <v>184</v>
      </c>
      <c r="F19" s="244" t="s">
        <v>18</v>
      </c>
      <c r="G19" s="277" t="e">
        <f ca="1">ROUND(C19*$C$18+D19*$D$18,0)</f>
        <v>#REF!</v>
      </c>
      <c r="H19" s="2014" t="str">
        <f>'数据-取费表'!B3</f>
        <v>万元</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237</v>
      </c>
      <c r="I20" s="1059"/>
    </row>
    <row r="21" spans="1:35" ht="15" customHeight="1" thickBot="1">
      <c r="A21" s="248"/>
      <c r="B21" s="249"/>
      <c r="C21" s="1210"/>
      <c r="D21" s="1211"/>
      <c r="E21" s="248"/>
      <c r="F21" s="249"/>
      <c r="G21" s="281"/>
      <c r="H21" s="250"/>
      <c r="I21" s="1059"/>
    </row>
    <row r="22" spans="1:35" ht="15" thickBot="1">
      <c r="A22" s="173" t="s">
        <v>186</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91" t="s">
        <v>182</v>
      </c>
      <c r="B24" s="244" t="s">
        <v>18</v>
      </c>
      <c r="C24" s="277">
        <f>D30</f>
        <v>0</v>
      </c>
      <c r="D24" s="251"/>
      <c r="E24" s="1059"/>
      <c r="F24" s="1059"/>
      <c r="G24" s="1059"/>
      <c r="H24" s="1059"/>
      <c r="I24" s="1059"/>
    </row>
    <row r="25" spans="1:35" ht="21.75" customHeight="1">
      <c r="A25" s="3392"/>
      <c r="B25" s="246" t="s">
        <v>19</v>
      </c>
      <c r="C25" s="282">
        <f>IF(B30=0,0,C30)</f>
        <v>0</v>
      </c>
      <c r="D25" s="252"/>
      <c r="E25" s="1059"/>
      <c r="F25" s="1059"/>
      <c r="G25" s="1059"/>
      <c r="H25" s="1059"/>
      <c r="I25" s="1059"/>
    </row>
    <row r="26" spans="1:35" ht="13.5" customHeight="1">
      <c r="A26" s="253" t="s">
        <v>183</v>
      </c>
      <c r="B26" s="254" t="s">
        <v>120</v>
      </c>
      <c r="C26" s="254" t="s">
        <v>121</v>
      </c>
      <c r="D26" s="255" t="s">
        <v>122</v>
      </c>
      <c r="E26" s="1059"/>
      <c r="F26" s="1059"/>
      <c r="G26" s="1059"/>
      <c r="H26" s="1059"/>
      <c r="I26" s="1059"/>
    </row>
    <row r="27" spans="1:35" ht="14.25">
      <c r="A27" s="2880"/>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181</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3" t="s">
        <v>180</v>
      </c>
      <c r="B32" s="2016" t="str">
        <f>'数据-取费表'!B4</f>
        <v>总价</v>
      </c>
      <c r="C32" s="1974" t="e">
        <f ca="1">IF(B32="总价",G19-C24,G20-C25)</f>
        <v>#REF!</v>
      </c>
      <c r="D32" s="1059" t="str">
        <f>IF(B32="楼面单价","元/平方米",H19)</f>
        <v>万元</v>
      </c>
      <c r="E32" s="1059"/>
      <c r="F32" s="1059"/>
      <c r="G32" s="1059"/>
      <c r="H32" s="1059"/>
      <c r="I32" s="1059"/>
    </row>
    <row r="33" spans="1:16" ht="13.5">
      <c r="A33" s="1970" t="s">
        <v>671</v>
      </c>
      <c r="B33" s="1971"/>
      <c r="C33" s="1972"/>
      <c r="D33" s="1887"/>
      <c r="E33" s="1885" t="s">
        <v>2005</v>
      </c>
      <c r="F33" s="1882" t="str">
        <f>IF(B32="楼面单价","取值（单价）","取值（总价）")</f>
        <v>取值（总价）</v>
      </c>
      <c r="G33" s="1059"/>
      <c r="H33" s="1059"/>
      <c r="I33" s="1059"/>
    </row>
    <row r="34" spans="1:16" ht="15">
      <c r="A34" s="259"/>
      <c r="B34" s="260" t="s">
        <v>674</v>
      </c>
      <c r="C34" s="289" t="e">
        <f ca="1">IF(D33="自定义",F34,C32-C35)</f>
        <v>#REF!</v>
      </c>
      <c r="D34" s="1886">
        <f ca="1">IF(D33="自定义",ROUND(C34/C32,3),1-D35)</f>
        <v>0.64900000000000002</v>
      </c>
      <c r="E34" s="1883" t="s">
        <v>2006</v>
      </c>
      <c r="F34" s="3010">
        <v>2000</v>
      </c>
      <c r="G34" s="1059"/>
      <c r="H34" s="1059"/>
      <c r="I34" s="1059"/>
    </row>
    <row r="35" spans="1:16" ht="15.75" thickBot="1">
      <c r="A35" s="262"/>
      <c r="B35" s="263" t="s">
        <v>676</v>
      </c>
      <c r="C35" s="290" t="e">
        <f ca="1">IF(D33="自定义",F35,ROUND(C32*D35,0))</f>
        <v>#REF!</v>
      </c>
      <c r="D35" s="1881">
        <f ca="1">IF(D33="自定义",ROUND(C35/C32,3),IF(D33="成本法成本比率",成本法!C56,IF(D33="收益法收益比率",收益法!J38,收益法!J41)))</f>
        <v>0.35099999999999998</v>
      </c>
      <c r="E35" s="1884" t="s">
        <v>2007</v>
      </c>
      <c r="F35" s="296">
        <v>4460</v>
      </c>
      <c r="G35" s="1059"/>
      <c r="H35" s="1059"/>
      <c r="I35" s="1059"/>
    </row>
    <row r="36" spans="1:16" ht="15.75" thickBot="1">
      <c r="A36" s="3366" t="s">
        <v>672</v>
      </c>
      <c r="B36" s="258" t="s">
        <v>673</v>
      </c>
      <c r="C36" s="286">
        <v>0</v>
      </c>
      <c r="D36" s="1888"/>
      <c r="E36" s="1794"/>
      <c r="F36" s="1794"/>
      <c r="G36" s="1059"/>
      <c r="H36" s="1059"/>
      <c r="I36" s="1059"/>
    </row>
    <row r="37" spans="1:16" ht="15.75" thickBot="1">
      <c r="A37" s="3367"/>
      <c r="B37" s="5" t="s">
        <v>675</v>
      </c>
      <c r="C37" s="288">
        <v>0</v>
      </c>
      <c r="D37" s="8"/>
      <c r="E37" s="8"/>
      <c r="F37" s="1794"/>
      <c r="G37" s="8"/>
      <c r="H37" s="8"/>
      <c r="I37" s="8"/>
    </row>
    <row r="38" spans="1:16" ht="15.75" thickBot="1">
      <c r="A38" s="3368"/>
      <c r="B38" s="261" t="s">
        <v>677</v>
      </c>
      <c r="C38" s="1001">
        <v>0</v>
      </c>
      <c r="D38" s="1062" t="s">
        <v>678</v>
      </c>
      <c r="E38" s="8"/>
      <c r="F38" s="1794"/>
      <c r="G38" s="8"/>
      <c r="H38" s="8"/>
      <c r="I38" s="8"/>
    </row>
    <row r="39" spans="1:16" ht="13.5">
      <c r="A39" s="245" t="s">
        <v>679</v>
      </c>
      <c r="B39" s="264" t="s">
        <v>680</v>
      </c>
      <c r="C39" s="265" t="s">
        <v>681</v>
      </c>
      <c r="D39" s="265" t="s">
        <v>682</v>
      </c>
      <c r="E39" s="266" t="s">
        <v>683</v>
      </c>
      <c r="F39" s="1794"/>
      <c r="G39" s="8"/>
      <c r="H39" s="8"/>
      <c r="I39" s="8"/>
    </row>
    <row r="40" spans="1:16" ht="13.5">
      <c r="A40" s="1063" t="s">
        <v>684</v>
      </c>
      <c r="B40" s="291"/>
      <c r="C40" s="292"/>
      <c r="D40" s="292"/>
      <c r="E40" s="293"/>
      <c r="F40" s="1794"/>
      <c r="G40" s="8"/>
      <c r="H40" s="8"/>
      <c r="I40" s="8"/>
    </row>
    <row r="41" spans="1:16" ht="13.5">
      <c r="A41" s="1063" t="s">
        <v>685</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686</v>
      </c>
      <c r="B44" s="1068"/>
      <c r="C44" s="1068"/>
      <c r="D44" s="1069"/>
      <c r="E44" s="1069"/>
      <c r="F44" s="1070"/>
      <c r="G44" s="1070"/>
      <c r="H44" s="1070"/>
      <c r="I44" s="1070"/>
      <c r="J44" s="1227" t="s">
        <v>213</v>
      </c>
      <c r="K44" s="1228"/>
      <c r="L44" s="1228"/>
      <c r="M44" s="1228"/>
      <c r="N44" s="1228"/>
      <c r="O44" s="1228"/>
      <c r="P44" s="1226"/>
    </row>
    <row r="45" spans="1:16" ht="14.25" customHeight="1" thickBot="1">
      <c r="A45" s="3373" t="s">
        <v>705</v>
      </c>
      <c r="B45" s="3374"/>
      <c r="C45" s="3375"/>
      <c r="D45" s="297" t="e">
        <f ca="1">ROUND(I102*F45,0)</f>
        <v>#REF!</v>
      </c>
      <c r="E45" s="298" t="s">
        <v>706</v>
      </c>
      <c r="F45" s="299">
        <v>1</v>
      </c>
      <c r="G45" s="300" t="s">
        <v>707</v>
      </c>
      <c r="H45" s="1059"/>
      <c r="I45" s="1059"/>
      <c r="J45" s="3445" t="s">
        <v>214</v>
      </c>
      <c r="K45" s="3445"/>
      <c r="L45" s="3445"/>
      <c r="M45" s="3445"/>
      <c r="N45" s="3445"/>
      <c r="O45" s="3445"/>
      <c r="P45" s="1226"/>
    </row>
    <row r="46" spans="1:16" ht="14.25" customHeight="1">
      <c r="A46" s="3356" t="s">
        <v>298</v>
      </c>
      <c r="B46" s="3357"/>
      <c r="C46" s="3357"/>
      <c r="D46" s="3357"/>
      <c r="E46" s="3357"/>
      <c r="F46" s="3357"/>
      <c r="G46" s="3358"/>
      <c r="H46" s="1071"/>
      <c r="I46" s="1025"/>
      <c r="J46" s="3027">
        <v>1</v>
      </c>
      <c r="K46" s="3445" t="s">
        <v>215</v>
      </c>
      <c r="L46" s="3445"/>
      <c r="M46" s="3446" t="str">
        <f>项目基本情况!B1</f>
        <v>浙江省杭州市房地产抵押价值预评估</v>
      </c>
      <c r="N46" s="3446"/>
      <c r="O46" s="3446"/>
      <c r="P46" s="1226"/>
    </row>
    <row r="47" spans="1:16" ht="12" customHeight="1">
      <c r="A47" s="302" t="s">
        <v>299</v>
      </c>
      <c r="B47" s="303"/>
      <c r="C47" s="304"/>
      <c r="D47" s="305" t="s">
        <v>300</v>
      </c>
      <c r="E47" s="197" t="s">
        <v>301</v>
      </c>
      <c r="F47" s="306" t="s">
        <v>708</v>
      </c>
      <c r="G47" s="307" t="s">
        <v>709</v>
      </c>
      <c r="H47" s="1071"/>
      <c r="I47" s="1025"/>
      <c r="J47" s="3027">
        <v>2</v>
      </c>
      <c r="K47" s="3445" t="s">
        <v>216</v>
      </c>
      <c r="L47" s="3445"/>
      <c r="M47" s="3447">
        <f>'数据-取费表'!B2</f>
        <v>42916</v>
      </c>
      <c r="N47" s="3447"/>
      <c r="O47" s="3447"/>
      <c r="P47" s="1226"/>
    </row>
    <row r="48" spans="1:16" ht="25.5">
      <c r="A48" s="3370" t="s">
        <v>302</v>
      </c>
      <c r="B48" s="3371"/>
      <c r="C48" s="3371"/>
      <c r="D48" s="272" t="e">
        <f ca="1">IF(H48="情况1",0,IF(H48="情况2",D52,IF(H48="情况3",D53,IF(H48="情况4",D54))))</f>
        <v>#REF!</v>
      </c>
      <c r="E48" s="1806" t="str">
        <f>IF(H48="情况4","(销售额-原购置价)×税（费）率","销售额×税（费）率")</f>
        <v>销售额×税（费）率</v>
      </c>
      <c r="F48" s="308">
        <f>IF(H48="情况1","免征",'数据-取费表'!E29)</f>
        <v>5.6000000000000001E-2</v>
      </c>
      <c r="G48" s="267" t="s">
        <v>687</v>
      </c>
      <c r="H48" s="1220" t="s">
        <v>1041</v>
      </c>
      <c r="I48" s="1071"/>
      <c r="J48" s="3027">
        <v>3</v>
      </c>
      <c r="K48" s="3445" t="s">
        <v>688</v>
      </c>
      <c r="L48" s="3445"/>
      <c r="M48" s="3448" t="e">
        <f ca="1">I102</f>
        <v>#REF!</v>
      </c>
      <c r="N48" s="3448"/>
      <c r="O48" s="3448"/>
      <c r="P48" s="1226"/>
    </row>
    <row r="49" spans="1:16" ht="25.5" customHeight="1">
      <c r="A49" s="309" t="s">
        <v>710</v>
      </c>
      <c r="B49" s="3361" t="s">
        <v>711</v>
      </c>
      <c r="C49" s="3361"/>
      <c r="D49" s="310">
        <v>0</v>
      </c>
      <c r="E49" s="196" t="s">
        <v>712</v>
      </c>
      <c r="F49" s="201" t="s">
        <v>176</v>
      </c>
      <c r="G49" s="3438"/>
      <c r="H49" s="1059"/>
      <c r="I49" s="1072"/>
      <c r="J49" s="3027">
        <v>4</v>
      </c>
      <c r="K49" s="3445" t="str">
        <f>IF(项目基本情况!F5="房地产抵押价值","房地产抵押价值","抵押担保权已注销时的房地产抵押价值")</f>
        <v>房地产抵押价值</v>
      </c>
      <c r="L49" s="3445"/>
      <c r="M49" s="3448" t="str">
        <f>IF(项目基本情况!E8="房地产抵押价值",I110,I112)</f>
        <v>——</v>
      </c>
      <c r="N49" s="3448"/>
      <c r="O49" s="3448"/>
      <c r="P49" s="1226"/>
    </row>
    <row r="50" spans="1:16" ht="25.5" customHeight="1">
      <c r="A50" s="311"/>
      <c r="B50" s="3361" t="s">
        <v>305</v>
      </c>
      <c r="C50" s="3361"/>
      <c r="D50" s="312"/>
      <c r="E50" s="204"/>
      <c r="F50" s="313"/>
      <c r="G50" s="3439"/>
      <c r="H50" s="1059"/>
      <c r="I50" s="1072"/>
      <c r="J50" s="3445" t="s">
        <v>217</v>
      </c>
      <c r="K50" s="3445"/>
      <c r="L50" s="3445"/>
      <c r="M50" s="3445"/>
      <c r="N50" s="3445"/>
      <c r="O50" s="3445"/>
      <c r="P50" s="1226"/>
    </row>
    <row r="51" spans="1:16" ht="12" customHeight="1">
      <c r="A51" s="314"/>
      <c r="B51" s="3361" t="s">
        <v>306</v>
      </c>
      <c r="C51" s="3361"/>
      <c r="D51" s="315"/>
      <c r="E51" s="203"/>
      <c r="F51" s="313"/>
      <c r="G51" s="3440"/>
      <c r="H51" s="1059"/>
      <c r="I51" s="1072"/>
      <c r="J51" s="3025" t="s">
        <v>218</v>
      </c>
      <c r="K51" s="3445" t="s">
        <v>219</v>
      </c>
      <c r="L51" s="3445"/>
      <c r="M51" s="3025" t="s">
        <v>220</v>
      </c>
      <c r="N51" s="3025" t="s">
        <v>221</v>
      </c>
      <c r="O51" s="3025" t="s">
        <v>222</v>
      </c>
      <c r="P51" s="1226"/>
    </row>
    <row r="52" spans="1:16" ht="24" customHeight="1">
      <c r="A52" s="316" t="s">
        <v>307</v>
      </c>
      <c r="B52" s="3361" t="s">
        <v>308</v>
      </c>
      <c r="C52" s="3361"/>
      <c r="D52" s="315" t="e">
        <f ca="1">ROUND(D45*'数据-取费表'!E29/(1+'数据-取费表'!F30),0)</f>
        <v>#REF!</v>
      </c>
      <c r="E52" s="193" t="s">
        <v>309</v>
      </c>
      <c r="F52" s="317">
        <f>'数据-取费表'!E29</f>
        <v>5.6000000000000001E-2</v>
      </c>
      <c r="G52" s="268"/>
      <c r="H52" s="1059"/>
      <c r="I52" s="1072"/>
      <c r="J52" s="3027">
        <v>1</v>
      </c>
      <c r="K52" s="3402" t="s">
        <v>689</v>
      </c>
      <c r="L52" s="3402"/>
      <c r="M52" s="1229" t="e">
        <f ca="1">D48</f>
        <v>#REF!</v>
      </c>
      <c r="N52" s="3026" t="str">
        <f>E48</f>
        <v>销售额×税（费）率</v>
      </c>
      <c r="O52" s="1230">
        <f>F48</f>
        <v>5.6000000000000001E-2</v>
      </c>
      <c r="P52" s="1226"/>
    </row>
    <row r="53" spans="1:16" ht="12" customHeight="1">
      <c r="A53" s="316" t="s">
        <v>310</v>
      </c>
      <c r="B53" s="3362" t="s">
        <v>311</v>
      </c>
      <c r="C53" s="3363"/>
      <c r="D53" s="315" t="e">
        <f ca="1">ROUND(D45*'数据-取费表'!E29/(1+'数据-取费表'!F30),0)</f>
        <v>#REF!</v>
      </c>
      <c r="E53" s="193" t="s">
        <v>309</v>
      </c>
      <c r="F53" s="317">
        <f>'数据-取费表'!E29</f>
        <v>5.6000000000000001E-2</v>
      </c>
      <c r="G53" s="268"/>
      <c r="H53" s="1059"/>
      <c r="I53" s="1072"/>
      <c r="J53" s="3027">
        <v>2</v>
      </c>
      <c r="K53" s="3402" t="s">
        <v>690</v>
      </c>
      <c r="L53" s="3402"/>
      <c r="M53" s="1229" t="e">
        <f t="shared" ref="M53:O54" ca="1" si="1">D55</f>
        <v>#REF!</v>
      </c>
      <c r="N53" s="3026" t="str">
        <f t="shared" si="1"/>
        <v>销售额×税（费）率</v>
      </c>
      <c r="O53" s="1230">
        <f t="shared" si="1"/>
        <v>5.0000000000000001E-4</v>
      </c>
      <c r="P53" s="1226"/>
    </row>
    <row r="54" spans="1:16" ht="12" customHeight="1">
      <c r="A54" s="316" t="s">
        <v>312</v>
      </c>
      <c r="B54" s="3362" t="s">
        <v>313</v>
      </c>
      <c r="C54" s="3363"/>
      <c r="D54" s="315" t="e">
        <f ca="1">C68</f>
        <v>#REF!</v>
      </c>
      <c r="E54" s="203" t="s">
        <v>314</v>
      </c>
      <c r="F54" s="317">
        <f>'数据-取费表'!E29</f>
        <v>5.6000000000000001E-2</v>
      </c>
      <c r="G54" s="268"/>
      <c r="H54" s="1073"/>
      <c r="I54" s="1072"/>
      <c r="J54" s="3027">
        <v>3</v>
      </c>
      <c r="K54" s="3402" t="s">
        <v>691</v>
      </c>
      <c r="L54" s="3402"/>
      <c r="M54" s="1229" t="e">
        <f t="shared" ca="1" si="1"/>
        <v>#REF!</v>
      </c>
      <c r="N54" s="3026" t="str">
        <f t="shared" si="1"/>
        <v>增值额×税（费）率</v>
      </c>
      <c r="O54" s="1231" t="str">
        <f t="shared" si="1"/>
        <v>——</v>
      </c>
      <c r="P54" s="1226"/>
    </row>
    <row r="55" spans="1:16" ht="24" customHeight="1">
      <c r="A55" s="3376" t="s">
        <v>315</v>
      </c>
      <c r="B55" s="3371"/>
      <c r="C55" s="3371"/>
      <c r="D55" s="318" t="e">
        <f ca="1">IF(H55="个人住宅",0,ROUND(D45*I55,0))</f>
        <v>#REF!</v>
      </c>
      <c r="E55" s="193" t="s">
        <v>316</v>
      </c>
      <c r="F55" s="317">
        <f>IF(H55="正常",I55,"免征")</f>
        <v>5.0000000000000001E-4</v>
      </c>
      <c r="G55" s="268"/>
      <c r="H55" s="1220" t="s">
        <v>156</v>
      </c>
      <c r="I55" s="319">
        <f>'数据-取费表'!E37</f>
        <v>5.0000000000000001E-4</v>
      </c>
      <c r="J55" s="3027">
        <f>IF(H59="非个人房产","",4)</f>
        <v>4</v>
      </c>
      <c r="K55" s="3402" t="str">
        <f>IF(H59="非个人房产","——","个人所得税")</f>
        <v>个人所得税</v>
      </c>
      <c r="L55" s="3402"/>
      <c r="M55" s="1232" t="e">
        <f ca="1">D59</f>
        <v>#REF!</v>
      </c>
      <c r="N55" s="1233" t="str">
        <f>E59</f>
        <v>销售额×税（费）率</v>
      </c>
      <c r="O55" s="1234">
        <f>F59</f>
        <v>0.01</v>
      </c>
      <c r="P55" s="1226"/>
    </row>
    <row r="56" spans="1:16" ht="24.75">
      <c r="A56" s="3376" t="s">
        <v>317</v>
      </c>
      <c r="B56" s="3371"/>
      <c r="C56" s="3371"/>
      <c r="D56" s="318" t="e">
        <f ca="1">IF(H56="个人住宅",D57,D58)</f>
        <v>#REF!</v>
      </c>
      <c r="E56" s="193" t="s">
        <v>318</v>
      </c>
      <c r="F56" s="317" t="str">
        <f>IF(H56="正常",F58,"免征")</f>
        <v>——</v>
      </c>
      <c r="G56" s="1074" t="s">
        <v>692</v>
      </c>
      <c r="H56" s="1219" t="s">
        <v>156</v>
      </c>
      <c r="I56" s="167"/>
      <c r="J56" s="3027" t="str">
        <f>IF(项目基本情况!I6="上海银行",IF(J55="",4,J55+1),"")</f>
        <v/>
      </c>
      <c r="K56" s="3421" t="str">
        <f>IF(项目基本情况!I6="上海银行","其他处置费用","")</f>
        <v/>
      </c>
      <c r="L56" s="3422"/>
      <c r="M56" s="1229" t="str">
        <f>IF(项目基本情况!I6="上海银行",M69,"")</f>
        <v/>
      </c>
      <c r="N56" s="3436" t="str">
        <f>IF(项目基本情况!I6="上海银行","包含处置中涉及的律师、诉讼、拍卖、评估等费用","")</f>
        <v/>
      </c>
      <c r="O56" s="3437"/>
      <c r="P56" s="1226"/>
    </row>
    <row r="57" spans="1:16" ht="12.75">
      <c r="A57" s="316" t="s">
        <v>303</v>
      </c>
      <c r="B57" s="3359" t="s">
        <v>319</v>
      </c>
      <c r="C57" s="3372"/>
      <c r="D57" s="320">
        <v>0</v>
      </c>
      <c r="E57" s="196" t="s">
        <v>304</v>
      </c>
      <c r="F57" s="287"/>
      <c r="G57" s="268"/>
      <c r="H57" s="167"/>
      <c r="I57" s="167"/>
      <c r="J57" s="3451">
        <f>IF(AND(J55="",J56=""),4,IF(项目基本情况!I6="上海银行",J56+1,J55+1))</f>
        <v>5</v>
      </c>
      <c r="K57" s="3402" t="s">
        <v>693</v>
      </c>
      <c r="L57" s="1235" t="s">
        <v>223</v>
      </c>
      <c r="M57" s="1236"/>
      <c r="N57" s="1237">
        <f ca="1">SUMIF(M52:M56,"&lt;9e307")</f>
        <v>0</v>
      </c>
      <c r="O57" s="1238"/>
      <c r="P57" s="3028" t="e">
        <f ca="1">N57/M49</f>
        <v>#VALUE!</v>
      </c>
    </row>
    <row r="58" spans="1:16" ht="24.75">
      <c r="A58" s="316" t="s">
        <v>307</v>
      </c>
      <c r="B58" s="3359" t="s">
        <v>320</v>
      </c>
      <c r="C58" s="3360"/>
      <c r="D58" s="318" t="e">
        <f ca="1">IF(H58="转让取得",C81,C97)</f>
        <v>#REF!</v>
      </c>
      <c r="E58" s="193" t="s">
        <v>318</v>
      </c>
      <c r="F58" s="197" t="s">
        <v>176</v>
      </c>
      <c r="G58" s="268"/>
      <c r="H58" s="1219" t="s">
        <v>1040</v>
      </c>
      <c r="I58" s="167"/>
      <c r="J58" s="3451"/>
      <c r="K58" s="3402"/>
      <c r="L58" s="1235" t="s">
        <v>224</v>
      </c>
      <c r="M58" s="1239"/>
      <c r="N58" s="1240" t="str">
        <f ca="1">IF(H19="元",NUMBERSTRING(INT(N57),2)&amp;"元整",NUMBERSTRING(INT(N57*10000),2)&amp;"元整")</f>
        <v>零元整</v>
      </c>
      <c r="O58" s="1241"/>
      <c r="P58" s="1226"/>
    </row>
    <row r="59" spans="1:16" ht="26.25" thickBot="1">
      <c r="A59" s="3377" t="s">
        <v>321</v>
      </c>
      <c r="B59" s="3378"/>
      <c r="C59" s="3378"/>
      <c r="D59" s="321" t="e">
        <f ca="1">IF(H59="非个人房产","——",IF(H59="个人住宅",0,ROUND(D45*I59,0)))</f>
        <v>#REF!</v>
      </c>
      <c r="E59" s="322" t="str">
        <f>IF(H59="非个人房产","——","销售额×税（费）率")</f>
        <v>销售额×税（费）率</v>
      </c>
      <c r="F59" s="323">
        <f>IF(H59="非个人房产","——",IF(H59="个人住宅","免征",I59))</f>
        <v>0.01</v>
      </c>
      <c r="G59" s="1075" t="s">
        <v>173</v>
      </c>
      <c r="H59" s="1219" t="s">
        <v>2854</v>
      </c>
      <c r="I59" s="324">
        <v>0.01</v>
      </c>
      <c r="J59" s="3400">
        <f>J57+1</f>
        <v>6</v>
      </c>
      <c r="K59" s="3402" t="s">
        <v>177</v>
      </c>
      <c r="L59" s="3026" t="s">
        <v>223</v>
      </c>
      <c r="M59" s="1242"/>
      <c r="N59" s="1243" t="e">
        <f ca="1">M49-N57</f>
        <v>#VALUE!</v>
      </c>
      <c r="O59" s="1244"/>
      <c r="P59" s="1226"/>
    </row>
    <row r="60" spans="1:16" ht="12" customHeight="1">
      <c r="A60" s="1715"/>
      <c r="B60" s="1059"/>
      <c r="C60" s="1059"/>
      <c r="D60" s="1059"/>
      <c r="E60" s="167"/>
      <c r="F60" s="167"/>
      <c r="G60" s="167"/>
      <c r="H60" s="168"/>
      <c r="I60" s="1059"/>
      <c r="J60" s="3401"/>
      <c r="K60" s="3402"/>
      <c r="L60" s="1235" t="s">
        <v>224</v>
      </c>
      <c r="M60" s="1239"/>
      <c r="N60" s="1240" t="e">
        <f ca="1">IF(H19="元",NUMBERSTRING(INT(N59),2)&amp;"元整",NUMBERSTRING(INT(N59*10000),2)&amp;"元整")</f>
        <v>#VALUE!</v>
      </c>
      <c r="O60" s="1241"/>
      <c r="P60" s="1226"/>
    </row>
    <row r="61" spans="1:16" ht="13.5" thickBot="1">
      <c r="A61" s="3379" t="s">
        <v>322</v>
      </c>
      <c r="B61" s="3379"/>
      <c r="C61" s="3379"/>
      <c r="D61" s="3379"/>
      <c r="E61" s="3379"/>
      <c r="F61" s="167"/>
      <c r="G61" s="167"/>
      <c r="H61" s="168"/>
      <c r="I61" s="1059"/>
      <c r="J61" s="3027">
        <f>J59+1</f>
        <v>7</v>
      </c>
      <c r="K61" s="3402" t="s">
        <v>225</v>
      </c>
      <c r="L61" s="3402"/>
      <c r="M61" s="1245"/>
      <c r="N61" s="1246" t="e">
        <f ca="1">IF(H19="元",ROUND(N59/项目基本情况!C12,0),ROUND(N59*10000/项目基本情况!C12,0))</f>
        <v>#VALUE!</v>
      </c>
      <c r="O61" s="1247"/>
      <c r="P61" s="1226"/>
    </row>
    <row r="62" spans="1:16" ht="12.75">
      <c r="A62" s="3389" t="s">
        <v>323</v>
      </c>
      <c r="B62" s="3390"/>
      <c r="C62" s="1807"/>
      <c r="D62" s="1807" t="s">
        <v>331</v>
      </c>
      <c r="E62" s="325" t="s">
        <v>332</v>
      </c>
      <c r="F62" s="167"/>
      <c r="G62" s="167"/>
      <c r="H62" s="168"/>
      <c r="I62" s="1059"/>
      <c r="J62" s="1226"/>
      <c r="K62" s="1226"/>
      <c r="L62" s="1226"/>
      <c r="M62" s="1226"/>
      <c r="N62" s="1226"/>
      <c r="O62" s="1226"/>
      <c r="P62" s="1226"/>
    </row>
    <row r="63" spans="1:16" ht="12.75">
      <c r="A63" s="326">
        <v>1</v>
      </c>
      <c r="B63" s="327" t="s">
        <v>324</v>
      </c>
      <c r="C63" s="328" t="e">
        <f ca="1">ROUND((C64+C65)/(1+'数据-取费表'!F30),0)</f>
        <v>#REF!</v>
      </c>
      <c r="D63" s="329"/>
      <c r="E63" s="330"/>
      <c r="F63" s="167"/>
      <c r="G63" s="167"/>
      <c r="H63" s="168"/>
      <c r="I63" s="1059"/>
      <c r="J63" s="3423" t="s">
        <v>2845</v>
      </c>
      <c r="K63" s="3032" t="s">
        <v>2846</v>
      </c>
      <c r="L63" s="3033" t="e">
        <f>IF(M49&gt;10000,M49*0.5%,IF(AND(M49&gt;1000,M49&lt;=10000),M49*1%,IF(AND(M49&gt;100,M49&lt;=1000),M49*3%,IF(AND(M49&gt;10,M49&lt;=100),M49*5%,M49*8%))))</f>
        <v>#VALUE!</v>
      </c>
      <c r="M63" s="197" t="e">
        <f>ROUND(L63,1)</f>
        <v>#VALUE!</v>
      </c>
      <c r="N63" s="1226"/>
      <c r="O63" s="1226"/>
      <c r="P63" s="1226"/>
    </row>
    <row r="64" spans="1:16" ht="12.75">
      <c r="A64" s="331" t="s">
        <v>226</v>
      </c>
      <c r="B64" s="332" t="s">
        <v>325</v>
      </c>
      <c r="C64" s="333" t="e">
        <f ca="1">D45</f>
        <v>#REF!</v>
      </c>
      <c r="D64" s="334" t="s">
        <v>167</v>
      </c>
      <c r="E64" s="335"/>
      <c r="F64" s="167"/>
      <c r="G64" s="167"/>
      <c r="H64" s="168"/>
      <c r="I64" s="1059"/>
      <c r="J64" s="3423"/>
      <c r="K64" s="3032" t="s">
        <v>2847</v>
      </c>
      <c r="L64" s="3033"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4" t="s">
        <v>2848</v>
      </c>
      <c r="O64" s="1226"/>
      <c r="P64" s="1226"/>
    </row>
    <row r="65" spans="1:35" ht="12.75">
      <c r="A65" s="331" t="s">
        <v>227</v>
      </c>
      <c r="B65" s="332" t="s">
        <v>326</v>
      </c>
      <c r="C65" s="336"/>
      <c r="D65" s="334"/>
      <c r="E65" s="335"/>
      <c r="F65" s="167"/>
      <c r="G65" s="167"/>
      <c r="H65" s="168"/>
      <c r="I65" s="1059"/>
      <c r="J65" s="3423"/>
      <c r="K65" s="3032" t="s">
        <v>2849</v>
      </c>
      <c r="L65" s="3033" t="e">
        <f>IF(M49&gt;1000,M49*0.1%,IF(AND(M49&gt;500,M49&lt;=1000),M49*0.5%,IF(AND(M49&gt;50,M49&lt;=500),M49*1%,IF(AND(M49&gt;1,M49&lt;=50),M49*1.5%))))</f>
        <v>#VALUE!</v>
      </c>
      <c r="M65" s="197" t="e">
        <f t="shared" si="2"/>
        <v>#VALUE!</v>
      </c>
      <c r="N65" s="3034" t="s">
        <v>2848</v>
      </c>
      <c r="O65" s="1226"/>
      <c r="P65" s="1226"/>
    </row>
    <row r="66" spans="1:35" ht="12.75">
      <c r="A66" s="337" t="s">
        <v>175</v>
      </c>
      <c r="B66" s="338" t="s">
        <v>327</v>
      </c>
      <c r="C66" s="339"/>
      <c r="D66" s="340" t="s">
        <v>167</v>
      </c>
      <c r="E66" s="3060" t="s">
        <v>2888</v>
      </c>
      <c r="F66" s="167"/>
      <c r="G66" s="167"/>
      <c r="H66" s="168"/>
      <c r="I66" s="1059"/>
      <c r="J66" s="3423"/>
      <c r="K66" s="3032" t="s">
        <v>2850</v>
      </c>
      <c r="L66" s="3033" t="e">
        <f>M49*0.5%</f>
        <v>#VALUE!</v>
      </c>
      <c r="M66" s="197" t="e">
        <f>IF(L66&gt;0.5,0.5,ROUND(L66,0))</f>
        <v>#VALUE!</v>
      </c>
      <c r="N66" s="3034" t="s">
        <v>2851</v>
      </c>
      <c r="O66" s="1226"/>
      <c r="P66" s="1226"/>
    </row>
    <row r="67" spans="1:35" ht="12.75">
      <c r="A67" s="337" t="s">
        <v>168</v>
      </c>
      <c r="B67" s="338" t="s">
        <v>328</v>
      </c>
      <c r="C67" s="341" t="e">
        <f ca="1">C63-C66</f>
        <v>#REF!</v>
      </c>
      <c r="D67" s="334" t="s">
        <v>167</v>
      </c>
      <c r="E67" s="335"/>
      <c r="F67" s="167"/>
      <c r="G67" s="167"/>
      <c r="H67" s="168"/>
      <c r="I67" s="1059"/>
      <c r="J67" s="3423"/>
      <c r="K67" s="3032" t="s">
        <v>2852</v>
      </c>
      <c r="L67" s="3033"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174</v>
      </c>
      <c r="B68" s="343" t="s">
        <v>329</v>
      </c>
      <c r="C68" s="344" t="e">
        <f ca="1">IF(C67&lt;=0,0,ROUND(C67*D68,0))</f>
        <v>#REF!</v>
      </c>
      <c r="D68" s="345">
        <f>'数据-取费表'!E29</f>
        <v>5.6000000000000001E-2</v>
      </c>
      <c r="E68" s="346"/>
      <c r="F68" s="167"/>
      <c r="G68" s="167"/>
      <c r="H68" s="168"/>
      <c r="I68" s="1059"/>
      <c r="J68" s="3423"/>
      <c r="K68" s="3032" t="s">
        <v>2853</v>
      </c>
      <c r="L68" s="3033"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6"/>
      <c r="F69" s="167"/>
      <c r="G69" s="167"/>
      <c r="H69" s="168"/>
      <c r="I69" s="1059"/>
      <c r="J69" s="3423"/>
      <c r="K69" s="3032" t="s">
        <v>192</v>
      </c>
      <c r="L69" s="3035"/>
      <c r="M69" s="197" t="e">
        <f>ROUND(SUM(M63:M68),0)</f>
        <v>#VALUE!</v>
      </c>
      <c r="N69" s="3028"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93" t="s">
        <v>330</v>
      </c>
      <c r="B70" s="3394"/>
      <c r="C70" s="3394"/>
      <c r="D70" s="3394"/>
      <c r="E70" s="3394"/>
      <c r="F70" s="3394"/>
      <c r="G70" s="3394"/>
      <c r="H70" s="3394"/>
      <c r="I70" s="1080"/>
      <c r="O70" s="2121"/>
      <c r="P70" s="2121"/>
      <c r="Q70" s="2121"/>
      <c r="R70" s="2121"/>
      <c r="S70" s="2121"/>
      <c r="T70" s="2121"/>
      <c r="U70" s="2121"/>
      <c r="V70" s="2121"/>
      <c r="W70" s="2121"/>
      <c r="X70" s="2121"/>
      <c r="Y70" s="2121"/>
      <c r="Z70" s="2121"/>
      <c r="AA70" s="1248"/>
      <c r="AB70" s="1248"/>
      <c r="AC70" s="1248"/>
      <c r="AD70" s="1248"/>
      <c r="AE70" s="1248"/>
      <c r="AF70" s="1248"/>
      <c r="AG70" s="1248"/>
      <c r="AH70" s="1248"/>
      <c r="AI70" s="1248"/>
    </row>
    <row r="71" spans="1:35" s="1081" customFormat="1" ht="14.25">
      <c r="A71" s="3389" t="s">
        <v>323</v>
      </c>
      <c r="B71" s="3390"/>
      <c r="C71" s="1807"/>
      <c r="D71" s="1807" t="s">
        <v>331</v>
      </c>
      <c r="E71" s="347" t="s">
        <v>332</v>
      </c>
      <c r="F71" s="348"/>
      <c r="G71" s="348"/>
      <c r="H71" s="349"/>
      <c r="I71" s="1082"/>
      <c r="O71" s="2121"/>
      <c r="P71" s="2121"/>
      <c r="Q71" s="2121"/>
      <c r="R71" s="2121"/>
      <c r="S71" s="2121"/>
      <c r="T71" s="2121"/>
      <c r="U71" s="2121"/>
      <c r="V71" s="2121"/>
      <c r="W71" s="2121"/>
      <c r="X71" s="2121"/>
      <c r="Y71" s="2121"/>
      <c r="Z71" s="2121"/>
      <c r="AA71" s="1248"/>
      <c r="AB71" s="1248"/>
      <c r="AC71" s="1248"/>
      <c r="AD71" s="1248"/>
      <c r="AE71" s="1248"/>
      <c r="AF71" s="1248"/>
      <c r="AG71" s="1248"/>
      <c r="AH71" s="1248"/>
      <c r="AI71" s="1248"/>
    </row>
    <row r="72" spans="1:35" s="1081" customFormat="1" ht="14.25">
      <c r="A72" s="350">
        <v>1</v>
      </c>
      <c r="B72" s="338" t="s">
        <v>333</v>
      </c>
      <c r="C72" s="341" t="e">
        <f ca="1">ROUND(D45/(1+'数据-取费表'!F30),0)</f>
        <v>#REF!</v>
      </c>
      <c r="D72" s="334" t="s">
        <v>167</v>
      </c>
      <c r="E72" s="2429" t="s">
        <v>2416</v>
      </c>
      <c r="F72" s="1803"/>
      <c r="G72" s="1803"/>
      <c r="H72" s="351"/>
      <c r="I72" s="1082"/>
      <c r="O72" s="2121"/>
      <c r="P72" s="2121"/>
      <c r="Q72" s="2121"/>
      <c r="R72" s="2121"/>
      <c r="S72" s="2121"/>
      <c r="T72" s="2121"/>
      <c r="U72" s="2121"/>
      <c r="V72" s="2121"/>
      <c r="W72" s="2121"/>
      <c r="X72" s="2121"/>
      <c r="Y72" s="2121"/>
      <c r="Z72" s="2121"/>
      <c r="AA72" s="1248"/>
      <c r="AB72" s="1248"/>
      <c r="AC72" s="1248"/>
      <c r="AD72" s="1248"/>
      <c r="AE72" s="1248"/>
      <c r="AF72" s="1248"/>
      <c r="AG72" s="1248"/>
      <c r="AH72" s="1248"/>
      <c r="AI72" s="1248"/>
    </row>
    <row r="73" spans="1:35" s="1081" customFormat="1" ht="14.25">
      <c r="A73" s="352">
        <v>2</v>
      </c>
      <c r="B73" s="306" t="s">
        <v>334</v>
      </c>
      <c r="C73" s="341" t="e">
        <f ca="1">C74+C78</f>
        <v>#REF!</v>
      </c>
      <c r="D73" s="334" t="s">
        <v>167</v>
      </c>
      <c r="E73" s="1804"/>
      <c r="F73" s="1803"/>
      <c r="G73" s="1803"/>
      <c r="H73" s="351"/>
      <c r="I73" s="1082"/>
      <c r="O73" s="2121"/>
      <c r="P73" s="2121"/>
      <c r="Q73" s="2121"/>
      <c r="R73" s="2121"/>
      <c r="S73" s="2121"/>
      <c r="T73" s="2121"/>
      <c r="U73" s="2121"/>
      <c r="V73" s="2121"/>
      <c r="W73" s="2121"/>
      <c r="X73" s="2121"/>
      <c r="Y73" s="2121"/>
      <c r="Z73" s="2121"/>
      <c r="AA73" s="1248"/>
      <c r="AB73" s="1248"/>
      <c r="AC73" s="1248"/>
      <c r="AD73" s="1248"/>
      <c r="AE73" s="1248"/>
      <c r="AF73" s="1248"/>
      <c r="AG73" s="1248"/>
      <c r="AH73" s="1248"/>
      <c r="AI73" s="1248"/>
    </row>
    <row r="74" spans="1:35" s="1081" customFormat="1" ht="24">
      <c r="A74" s="353" t="s">
        <v>228</v>
      </c>
      <c r="B74" s="332" t="s">
        <v>335</v>
      </c>
      <c r="C74" s="334">
        <f>ROUND(IF(G77="2016年5月1日后购买",C75/(1+'数据-取费表'!F30)+C76+C77,C75+C76+C77),0)</f>
        <v>0</v>
      </c>
      <c r="D74" s="334" t="s">
        <v>167</v>
      </c>
      <c r="E74" s="1804"/>
      <c r="F74" s="1803"/>
      <c r="G74" s="1803"/>
      <c r="H74" s="351"/>
      <c r="I74" s="1082"/>
      <c r="O74" s="2121"/>
      <c r="P74" s="2121"/>
      <c r="Q74" s="2121"/>
      <c r="R74" s="2121"/>
      <c r="S74" s="2121"/>
      <c r="T74" s="2121"/>
      <c r="U74" s="2121"/>
      <c r="V74" s="2121"/>
      <c r="W74" s="2121"/>
      <c r="X74" s="2121"/>
      <c r="Y74" s="2121"/>
      <c r="Z74" s="2121"/>
      <c r="AA74" s="1248"/>
      <c r="AB74" s="1248"/>
      <c r="AC74" s="1248"/>
      <c r="AD74" s="1248"/>
      <c r="AE74" s="1248"/>
      <c r="AF74" s="1248"/>
      <c r="AG74" s="1248"/>
      <c r="AH74" s="1248"/>
      <c r="AI74" s="1248"/>
    </row>
    <row r="75" spans="1:35" s="1081" customFormat="1" ht="13.5">
      <c r="A75" s="353" t="s">
        <v>229</v>
      </c>
      <c r="B75" s="332" t="s">
        <v>336</v>
      </c>
      <c r="C75" s="354"/>
      <c r="D75" s="334" t="s">
        <v>167</v>
      </c>
      <c r="E75" s="355" t="s">
        <v>337</v>
      </c>
      <c r="F75" s="1215" t="s">
        <v>1038</v>
      </c>
      <c r="G75" s="355" t="s">
        <v>702</v>
      </c>
      <c r="H75" s="356"/>
      <c r="I75" s="1024"/>
      <c r="O75" s="2121"/>
      <c r="P75" s="2121"/>
      <c r="Q75" s="2121"/>
      <c r="R75" s="2121"/>
      <c r="S75" s="2121"/>
      <c r="T75" s="2121"/>
      <c r="U75" s="2121"/>
      <c r="V75" s="2121"/>
      <c r="W75" s="2121"/>
      <c r="X75" s="2121"/>
      <c r="Y75" s="2121"/>
      <c r="Z75" s="2121"/>
      <c r="AA75" s="1248"/>
      <c r="AB75" s="1248"/>
      <c r="AC75" s="1248"/>
      <c r="AD75" s="1248"/>
      <c r="AE75" s="1248"/>
      <c r="AF75" s="1248"/>
      <c r="AG75" s="1248"/>
      <c r="AH75" s="1248"/>
      <c r="AI75" s="1248"/>
    </row>
    <row r="76" spans="1:35" s="1081" customFormat="1" ht="24.75" customHeight="1">
      <c r="A76" s="353" t="s">
        <v>230</v>
      </c>
      <c r="B76" s="357" t="s">
        <v>338</v>
      </c>
      <c r="C76" s="334">
        <f>IF(F75="购房发票",ROUND(C75*H75*D76,0),0)</f>
        <v>0</v>
      </c>
      <c r="D76" s="358">
        <v>0.05</v>
      </c>
      <c r="E76" s="3362" t="s">
        <v>339</v>
      </c>
      <c r="F76" s="3361"/>
      <c r="G76" s="3361"/>
      <c r="H76" s="3381"/>
      <c r="I76" s="1082"/>
      <c r="O76" s="2121"/>
      <c r="P76" s="2121"/>
      <c r="Q76" s="2121"/>
      <c r="R76" s="2121"/>
      <c r="S76" s="2121"/>
      <c r="T76" s="2121"/>
      <c r="U76" s="2121"/>
      <c r="V76" s="2121"/>
      <c r="W76" s="2121"/>
      <c r="X76" s="2121"/>
      <c r="Y76" s="2121"/>
      <c r="Z76" s="2121"/>
      <c r="AA76" s="1248"/>
      <c r="AB76" s="1248"/>
      <c r="AC76" s="1248"/>
      <c r="AD76" s="1248"/>
      <c r="AE76" s="1248"/>
      <c r="AF76" s="1248"/>
      <c r="AG76" s="1248"/>
      <c r="AH76" s="1248"/>
      <c r="AI76" s="1248"/>
    </row>
    <row r="77" spans="1:35" s="1081" customFormat="1" ht="24.75" customHeight="1">
      <c r="A77" s="353" t="s">
        <v>231</v>
      </c>
      <c r="B77" s="332" t="s">
        <v>340</v>
      </c>
      <c r="C77" s="334">
        <f>ROUND(IF(G77="个人住宅",0,IF(G77="2016年5月1日前购买",C75*D77,C75*D77/(1+'数据-取费表'!F30))),0)</f>
        <v>0</v>
      </c>
      <c r="D77" s="359">
        <f>'数据-取费表'!E36+'数据-取费表'!E37</f>
        <v>3.0499999999999999E-2</v>
      </c>
      <c r="E77" s="195" t="s">
        <v>703</v>
      </c>
      <c r="F77" s="360"/>
      <c r="G77" s="1216" t="s">
        <v>2414</v>
      </c>
      <c r="H77" s="1808" t="str">
        <f>IF(G77="个人买卖住房","免征印花税"," ")</f>
        <v xml:space="preserve"> </v>
      </c>
      <c r="I77" s="1082"/>
      <c r="J77" s="2121"/>
      <c r="K77" s="2121"/>
      <c r="L77" s="2121"/>
      <c r="M77" s="2121"/>
      <c r="N77" s="2121"/>
      <c r="O77" s="2121"/>
      <c r="P77" s="2121"/>
      <c r="Q77" s="2121"/>
      <c r="R77" s="2121"/>
      <c r="S77" s="2121"/>
      <c r="T77" s="2121"/>
      <c r="U77" s="2121"/>
      <c r="V77" s="2121"/>
      <c r="W77" s="2121"/>
      <c r="X77" s="2121"/>
      <c r="Y77" s="2121"/>
      <c r="Z77" s="2121"/>
      <c r="AA77" s="1248"/>
      <c r="AB77" s="1248"/>
      <c r="AC77" s="1248"/>
      <c r="AD77" s="1248"/>
      <c r="AE77" s="1248"/>
      <c r="AF77" s="1248"/>
      <c r="AG77" s="1248"/>
      <c r="AH77" s="1248"/>
      <c r="AI77" s="1248"/>
    </row>
    <row r="78" spans="1:35" s="1081" customFormat="1" ht="24.75" customHeight="1">
      <c r="A78" s="353" t="s">
        <v>232</v>
      </c>
      <c r="B78" s="332" t="s">
        <v>341</v>
      </c>
      <c r="C78" s="361" t="e">
        <f ca="1">ROUND(D45*D78/(1+'数据-取费表'!F30),0)</f>
        <v>#REF!</v>
      </c>
      <c r="D78" s="362">
        <f>'数据-取费表'!E31</f>
        <v>6.000000000000001E-3</v>
      </c>
      <c r="E78" s="3353" t="s">
        <v>2415</v>
      </c>
      <c r="F78" s="3354"/>
      <c r="G78" s="3354"/>
      <c r="H78" s="3355"/>
      <c r="I78" s="1083"/>
      <c r="J78" s="2121"/>
      <c r="K78" s="2121"/>
      <c r="L78" s="2121"/>
      <c r="M78" s="2121"/>
      <c r="N78" s="2121"/>
      <c r="O78" s="2121"/>
      <c r="P78" s="2121"/>
      <c r="Q78" s="2121"/>
      <c r="R78" s="2121"/>
      <c r="S78" s="2121"/>
      <c r="T78" s="2121"/>
      <c r="U78" s="2121"/>
      <c r="V78" s="2121"/>
      <c r="W78" s="2121"/>
      <c r="X78" s="2121"/>
      <c r="Y78" s="2121"/>
      <c r="Z78" s="2121"/>
      <c r="AA78" s="1248"/>
      <c r="AB78" s="1248"/>
      <c r="AC78" s="1248"/>
      <c r="AD78" s="1248"/>
      <c r="AE78" s="1248"/>
      <c r="AF78" s="1248"/>
      <c r="AG78" s="1248"/>
      <c r="AH78" s="1248"/>
      <c r="AI78" s="1248"/>
    </row>
    <row r="79" spans="1:35" s="1081" customFormat="1" ht="14.25">
      <c r="A79" s="363" t="s">
        <v>168</v>
      </c>
      <c r="B79" s="338" t="s">
        <v>342</v>
      </c>
      <c r="C79" s="341" t="e">
        <f ca="1">C72-C73</f>
        <v>#REF!</v>
      </c>
      <c r="D79" s="334" t="s">
        <v>167</v>
      </c>
      <c r="E79" s="1804"/>
      <c r="F79" s="1803"/>
      <c r="G79" s="1803"/>
      <c r="H79" s="351"/>
      <c r="I79" s="1082"/>
      <c r="J79" s="2121"/>
      <c r="K79" s="2121"/>
      <c r="L79" s="2121"/>
      <c r="M79" s="2121"/>
      <c r="N79" s="2121"/>
      <c r="O79" s="2121"/>
      <c r="P79" s="2121"/>
      <c r="Q79" s="2121"/>
      <c r="R79" s="2121"/>
      <c r="S79" s="2121"/>
      <c r="T79" s="2121"/>
      <c r="U79" s="2121"/>
      <c r="V79" s="2121"/>
      <c r="W79" s="2121"/>
      <c r="X79" s="2121"/>
      <c r="Y79" s="2121"/>
      <c r="Z79" s="2121"/>
      <c r="AA79" s="1248"/>
      <c r="AB79" s="1248"/>
      <c r="AC79" s="1248"/>
      <c r="AD79" s="1248"/>
      <c r="AE79" s="1248"/>
      <c r="AF79" s="1248"/>
      <c r="AG79" s="1248"/>
      <c r="AH79" s="1248"/>
      <c r="AI79" s="1248"/>
    </row>
    <row r="80" spans="1:35" s="1081" customFormat="1" ht="24">
      <c r="A80" s="363" t="s">
        <v>169</v>
      </c>
      <c r="B80" s="338" t="s">
        <v>343</v>
      </c>
      <c r="C80" s="364" t="e">
        <f ca="1">IF(C79&lt;=0,0,C79/C73)</f>
        <v>#REF!</v>
      </c>
      <c r="D80" s="334" t="s">
        <v>167</v>
      </c>
      <c r="E80" s="195" t="e">
        <f ca="1">IF(C80&gt;=200%,"增值额超过扣除项目金额200%",IF(C80&gt;=100%,"增值额超过扣除项目金额100%，未超过200%",IF(C80&gt;=50%,"增值额超过扣除项目金额50%，未超过100%",IF(C80&lt;50%,"增值额未超过扣除项目金额50%"))))</f>
        <v>#REF!</v>
      </c>
      <c r="F80" s="1803"/>
      <c r="G80" s="1803"/>
      <c r="H80" s="351"/>
      <c r="I80" s="1082"/>
      <c r="J80" s="2121"/>
      <c r="K80" s="2121"/>
      <c r="L80" s="2121"/>
      <c r="M80" s="2121"/>
      <c r="N80" s="2121"/>
      <c r="O80" s="2121"/>
      <c r="P80" s="2121"/>
      <c r="Q80" s="2121"/>
      <c r="R80" s="2121"/>
      <c r="S80" s="2121"/>
      <c r="T80" s="2121"/>
      <c r="U80" s="2121"/>
      <c r="V80" s="2121"/>
      <c r="W80" s="2121"/>
      <c r="X80" s="2121"/>
      <c r="Y80" s="2121"/>
      <c r="Z80" s="2121"/>
      <c r="AA80" s="1248"/>
      <c r="AB80" s="1248"/>
      <c r="AC80" s="1248"/>
      <c r="AD80" s="1248"/>
      <c r="AE80" s="1248"/>
      <c r="AF80" s="1248"/>
      <c r="AG80" s="1248"/>
      <c r="AH80" s="1248"/>
      <c r="AI80" s="1248"/>
    </row>
    <row r="81" spans="1:35" s="1081" customFormat="1" ht="24.75" thickBot="1">
      <c r="A81" s="365" t="s">
        <v>170</v>
      </c>
      <c r="B81" s="343" t="s">
        <v>344</v>
      </c>
      <c r="C81" s="366" t="e">
        <f ca="1">ROUND(IF(C79&lt;=0,0,IF(C80&gt;=200%,C79*60%-C73*35%,IF(C80&gt;=100%,C79*50%-C73*15%,IF(C80&gt;=50%,C79*40%-C73*5%,IF(C80&lt;50%,C79*30%,0))))),0)</f>
        <v>#REF!</v>
      </c>
      <c r="D81" s="367" t="s">
        <v>167</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9"/>
      <c r="G81" s="369"/>
      <c r="H81" s="370"/>
      <c r="I81" s="1082"/>
      <c r="J81" s="2121"/>
      <c r="K81" s="2121"/>
      <c r="L81" s="2121"/>
      <c r="M81" s="2121"/>
      <c r="N81" s="2121"/>
      <c r="O81" s="2121"/>
      <c r="P81" s="2121"/>
      <c r="Q81" s="2121"/>
      <c r="R81" s="2121"/>
      <c r="S81" s="2121"/>
      <c r="T81" s="2121"/>
      <c r="U81" s="2121"/>
      <c r="V81" s="2121"/>
      <c r="W81" s="2121"/>
      <c r="X81" s="2121"/>
      <c r="Y81" s="2121"/>
      <c r="Z81" s="2121"/>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1"/>
      <c r="K82" s="2121"/>
      <c r="L82" s="2121"/>
      <c r="M82" s="2121"/>
      <c r="N82" s="2121"/>
      <c r="O82" s="2121"/>
      <c r="P82" s="2121"/>
      <c r="Q82" s="2121"/>
      <c r="R82" s="2121"/>
      <c r="S82" s="2121"/>
      <c r="T82" s="2121"/>
      <c r="U82" s="2121"/>
      <c r="V82" s="2121"/>
      <c r="W82" s="2121"/>
      <c r="X82" s="2121"/>
      <c r="Y82" s="2121"/>
      <c r="Z82" s="2121"/>
      <c r="AA82" s="1248"/>
      <c r="AB82" s="1248"/>
      <c r="AC82" s="1248"/>
      <c r="AD82" s="1248"/>
      <c r="AE82" s="1248"/>
      <c r="AF82" s="1248"/>
      <c r="AG82" s="1248"/>
      <c r="AH82" s="1248"/>
      <c r="AI82" s="1248"/>
    </row>
    <row r="83" spans="1:35" s="1081" customFormat="1" ht="14.25" thickBot="1">
      <c r="A83" s="3393" t="s">
        <v>345</v>
      </c>
      <c r="B83" s="3394"/>
      <c r="C83" s="3394"/>
      <c r="D83" s="3394"/>
      <c r="E83" s="3394"/>
      <c r="F83" s="3394"/>
      <c r="G83" s="3394"/>
      <c r="H83" s="3394"/>
      <c r="I83" s="1024"/>
      <c r="J83" s="2121"/>
      <c r="K83" s="2121"/>
      <c r="L83" s="2121"/>
      <c r="M83" s="2121"/>
      <c r="N83" s="2121"/>
      <c r="O83" s="2121"/>
      <c r="P83" s="2121"/>
      <c r="Q83" s="2121"/>
      <c r="R83" s="2121"/>
      <c r="S83" s="2121"/>
      <c r="T83" s="2121"/>
      <c r="U83" s="2121"/>
      <c r="V83" s="2121"/>
      <c r="W83" s="2121"/>
      <c r="X83" s="2121"/>
      <c r="Y83" s="2121"/>
      <c r="Z83" s="2121"/>
      <c r="AA83" s="1248"/>
      <c r="AB83" s="1248"/>
      <c r="AC83" s="1248"/>
      <c r="AD83" s="1248"/>
      <c r="AE83" s="1248"/>
      <c r="AF83" s="1248"/>
      <c r="AG83" s="1248"/>
      <c r="AH83" s="1248"/>
      <c r="AI83" s="1248"/>
    </row>
    <row r="84" spans="1:35" s="1081" customFormat="1" ht="13.5">
      <c r="A84" s="3389" t="s">
        <v>323</v>
      </c>
      <c r="B84" s="3390"/>
      <c r="C84" s="1807"/>
      <c r="D84" s="1807" t="s">
        <v>331</v>
      </c>
      <c r="E84" s="347" t="s">
        <v>332</v>
      </c>
      <c r="F84" s="348"/>
      <c r="G84" s="348"/>
      <c r="H84" s="371"/>
      <c r="I84" s="1024"/>
      <c r="J84" s="2121"/>
      <c r="K84" s="2121"/>
      <c r="L84" s="2121"/>
      <c r="M84" s="2121"/>
      <c r="N84" s="2121"/>
      <c r="O84" s="2121"/>
      <c r="P84" s="2121"/>
      <c r="Q84" s="2121"/>
      <c r="R84" s="2121"/>
      <c r="S84" s="2121"/>
      <c r="T84" s="2121"/>
      <c r="U84" s="2121"/>
      <c r="V84" s="2121"/>
      <c r="W84" s="2121"/>
      <c r="X84" s="2121"/>
      <c r="Y84" s="2121"/>
      <c r="Z84" s="2121"/>
      <c r="AA84" s="1248"/>
      <c r="AB84" s="1248"/>
      <c r="AC84" s="1248"/>
      <c r="AD84" s="1248"/>
      <c r="AE84" s="1248"/>
      <c r="AF84" s="1248"/>
      <c r="AG84" s="1248"/>
      <c r="AH84" s="1248"/>
      <c r="AI84" s="1248"/>
    </row>
    <row r="85" spans="1:35" s="1081" customFormat="1" ht="24">
      <c r="A85" s="350">
        <v>1</v>
      </c>
      <c r="B85" s="338" t="s">
        <v>333</v>
      </c>
      <c r="C85" s="341" t="e">
        <f ca="1">ROUND(D45/(1+'数据-取费表'!F30),0)</f>
        <v>#REF!</v>
      </c>
      <c r="D85" s="334" t="s">
        <v>167</v>
      </c>
      <c r="E85" s="2428" t="s">
        <v>2413</v>
      </c>
      <c r="F85" s="1803"/>
      <c r="G85" s="1803"/>
      <c r="H85" s="372"/>
      <c r="I85" s="1024"/>
      <c r="J85" s="2121"/>
      <c r="K85" s="2121"/>
      <c r="L85" s="2121"/>
      <c r="M85" s="2121"/>
      <c r="N85" s="2121"/>
      <c r="O85" s="2121"/>
      <c r="P85" s="2121"/>
      <c r="Q85" s="2121"/>
      <c r="R85" s="2121"/>
      <c r="S85" s="2121"/>
      <c r="T85" s="2121"/>
      <c r="U85" s="2121"/>
      <c r="V85" s="2121"/>
      <c r="W85" s="2121"/>
      <c r="X85" s="2121"/>
      <c r="Y85" s="2121"/>
      <c r="Z85" s="2121"/>
      <c r="AA85" s="1248"/>
      <c r="AB85" s="1248"/>
      <c r="AC85" s="1248"/>
      <c r="AD85" s="1248"/>
      <c r="AE85" s="1248"/>
      <c r="AF85" s="1248"/>
      <c r="AG85" s="1248"/>
      <c r="AH85" s="1248"/>
      <c r="AI85" s="1248"/>
    </row>
    <row r="86" spans="1:35" s="1081" customFormat="1" ht="13.5">
      <c r="A86" s="352">
        <v>2</v>
      </c>
      <c r="B86" s="306" t="s">
        <v>334</v>
      </c>
      <c r="C86" s="341" t="e">
        <f ca="1">IF(H88="仅含出让金",C87+C90+C91+C92+C93+C94,C87+C91+C92+C93+C94)</f>
        <v>#REF!</v>
      </c>
      <c r="D86" s="373"/>
      <c r="E86" s="1804"/>
      <c r="F86" s="1803"/>
      <c r="G86" s="1803"/>
      <c r="H86" s="372"/>
      <c r="I86" s="1024"/>
      <c r="J86" s="2121"/>
      <c r="K86" s="2121"/>
      <c r="L86" s="2121"/>
      <c r="M86" s="2121"/>
      <c r="N86" s="2121"/>
      <c r="O86" s="2121"/>
      <c r="P86" s="2121"/>
      <c r="Q86" s="2121"/>
      <c r="R86" s="2121"/>
      <c r="S86" s="2121"/>
      <c r="T86" s="2121"/>
      <c r="U86" s="2121"/>
      <c r="V86" s="2121"/>
      <c r="W86" s="2121"/>
      <c r="X86" s="2121"/>
      <c r="Y86" s="2121"/>
      <c r="Z86" s="2121"/>
      <c r="AA86" s="1248"/>
      <c r="AB86" s="1248"/>
      <c r="AC86" s="1248"/>
      <c r="AD86" s="1248"/>
      <c r="AE86" s="1248"/>
      <c r="AF86" s="1248"/>
      <c r="AG86" s="1248"/>
      <c r="AH86" s="1248"/>
      <c r="AI86" s="1248"/>
    </row>
    <row r="87" spans="1:35" s="1081" customFormat="1" ht="13.5">
      <c r="A87" s="353" t="s">
        <v>228</v>
      </c>
      <c r="B87" s="332" t="s">
        <v>346</v>
      </c>
      <c r="C87" s="361">
        <f>C88+C89</f>
        <v>0</v>
      </c>
      <c r="D87" s="362"/>
      <c r="E87" s="1800"/>
      <c r="F87" s="1801"/>
      <c r="G87" s="1801"/>
      <c r="H87" s="1802"/>
      <c r="I87" s="1024"/>
      <c r="J87" s="2121"/>
      <c r="K87" s="2121"/>
      <c r="L87" s="2121"/>
      <c r="M87" s="2121"/>
      <c r="N87" s="2121"/>
      <c r="O87" s="2121"/>
      <c r="P87" s="2121"/>
      <c r="Q87" s="2121"/>
      <c r="R87" s="2121"/>
      <c r="S87" s="2121"/>
      <c r="T87" s="2121"/>
      <c r="U87" s="2121"/>
      <c r="V87" s="2121"/>
      <c r="W87" s="2121"/>
      <c r="X87" s="2121"/>
      <c r="Y87" s="2121"/>
      <c r="Z87" s="2121"/>
      <c r="AA87" s="1248"/>
      <c r="AB87" s="1248"/>
      <c r="AC87" s="1248"/>
      <c r="AD87" s="1248"/>
      <c r="AE87" s="1248"/>
      <c r="AF87" s="1248"/>
      <c r="AG87" s="1248"/>
      <c r="AH87" s="1248"/>
      <c r="AI87" s="1248"/>
    </row>
    <row r="88" spans="1:35" s="1081" customFormat="1" ht="13.5">
      <c r="A88" s="353" t="s">
        <v>229</v>
      </c>
      <c r="B88" s="332" t="s">
        <v>347</v>
      </c>
      <c r="C88" s="374"/>
      <c r="D88" s="362"/>
      <c r="E88" s="375" t="s">
        <v>348</v>
      </c>
      <c r="F88" s="1801"/>
      <c r="G88" s="376" t="s">
        <v>349</v>
      </c>
      <c r="H88" s="1217"/>
      <c r="I88" s="1024"/>
      <c r="J88" s="2121"/>
      <c r="K88" s="2121"/>
      <c r="L88" s="2121"/>
      <c r="M88" s="2121"/>
      <c r="N88" s="2121"/>
      <c r="O88" s="2121"/>
      <c r="P88" s="2121"/>
      <c r="Q88" s="2121"/>
      <c r="R88" s="2121"/>
      <c r="S88" s="2121"/>
      <c r="T88" s="2121"/>
      <c r="U88" s="2121"/>
      <c r="V88" s="2121"/>
      <c r="W88" s="2121"/>
      <c r="X88" s="2121"/>
      <c r="Y88" s="2121"/>
      <c r="Z88" s="2121"/>
      <c r="AA88" s="1248"/>
      <c r="AB88" s="1248"/>
      <c r="AC88" s="1248"/>
      <c r="AD88" s="1248"/>
      <c r="AE88" s="1248"/>
      <c r="AF88" s="1248"/>
      <c r="AG88" s="1248"/>
      <c r="AH88" s="1248"/>
      <c r="AI88" s="1248"/>
    </row>
    <row r="89" spans="1:35" s="1081" customFormat="1" ht="13.5">
      <c r="A89" s="353" t="s">
        <v>230</v>
      </c>
      <c r="B89" s="332" t="s">
        <v>340</v>
      </c>
      <c r="C89" s="361">
        <f>ROUND(C88*D89,0)</f>
        <v>0</v>
      </c>
      <c r="D89" s="362">
        <f>'数据-取费表'!E36+'数据-取费表'!E37</f>
        <v>3.0499999999999999E-2</v>
      </c>
      <c r="E89" s="375" t="s">
        <v>350</v>
      </c>
      <c r="F89" s="1801"/>
      <c r="G89" s="1801"/>
      <c r="H89" s="1802"/>
      <c r="I89" s="1024"/>
      <c r="J89" s="2121"/>
      <c r="K89" s="2121"/>
      <c r="L89" s="2121"/>
      <c r="M89" s="2121"/>
      <c r="N89" s="2121"/>
      <c r="O89" s="2121"/>
      <c r="P89" s="2121"/>
      <c r="Q89" s="2121"/>
      <c r="R89" s="2121"/>
      <c r="S89" s="2121"/>
      <c r="T89" s="2121"/>
      <c r="U89" s="2121"/>
      <c r="V89" s="2121"/>
      <c r="W89" s="2121"/>
      <c r="X89" s="2121"/>
      <c r="Y89" s="2121"/>
      <c r="Z89" s="2121"/>
      <c r="AA89" s="1248"/>
      <c r="AB89" s="1248"/>
      <c r="AC89" s="1248"/>
      <c r="AD89" s="1248"/>
      <c r="AE89" s="1248"/>
      <c r="AF89" s="1248"/>
      <c r="AG89" s="1248"/>
      <c r="AH89" s="1248"/>
      <c r="AI89" s="1248"/>
    </row>
    <row r="90" spans="1:35" s="1081" customFormat="1" ht="13.5">
      <c r="A90" s="353" t="s">
        <v>232</v>
      </c>
      <c r="B90" s="332" t="s">
        <v>351</v>
      </c>
      <c r="C90" s="374"/>
      <c r="D90" s="362"/>
      <c r="E90" s="375" t="str">
        <f>IF(H88="-","土地取得成本中已包含该笔费用"," ")</f>
        <v xml:space="preserve"> </v>
      </c>
      <c r="F90" s="1801"/>
      <c r="G90" s="1801"/>
      <c r="H90" s="1802"/>
      <c r="I90" s="1024"/>
      <c r="J90" s="2121"/>
      <c r="K90" s="2121"/>
      <c r="L90" s="2121"/>
      <c r="M90" s="2121"/>
      <c r="N90" s="2121"/>
      <c r="O90" s="2121"/>
      <c r="P90" s="2121"/>
      <c r="Q90" s="2121"/>
      <c r="R90" s="2121"/>
      <c r="S90" s="2121"/>
      <c r="T90" s="2121"/>
      <c r="U90" s="2121"/>
      <c r="V90" s="2121"/>
      <c r="W90" s="2121"/>
      <c r="X90" s="2121"/>
      <c r="Y90" s="2121"/>
      <c r="Z90" s="2121"/>
      <c r="AA90" s="1248"/>
      <c r="AB90" s="1248"/>
      <c r="AC90" s="1248"/>
      <c r="AD90" s="1248"/>
      <c r="AE90" s="1248"/>
      <c r="AF90" s="1248"/>
      <c r="AG90" s="1248"/>
      <c r="AH90" s="1248"/>
      <c r="AI90" s="1248"/>
    </row>
    <row r="91" spans="1:35" s="1081" customFormat="1" ht="30.75" customHeight="1">
      <c r="A91" s="353" t="s">
        <v>233</v>
      </c>
      <c r="B91" s="332" t="s">
        <v>352</v>
      </c>
      <c r="C91" s="361">
        <f>IF(H91="——",成本法!C33,I91)</f>
        <v>0</v>
      </c>
      <c r="D91" s="362"/>
      <c r="E91" s="3425" t="s">
        <v>704</v>
      </c>
      <c r="F91" s="3354"/>
      <c r="G91" s="3354"/>
      <c r="H91" s="1218" t="s">
        <v>2199</v>
      </c>
      <c r="I91" s="2011"/>
      <c r="J91" s="2121"/>
      <c r="K91" s="2121"/>
      <c r="L91" s="2121"/>
      <c r="M91" s="2121"/>
      <c r="N91" s="2121"/>
      <c r="O91" s="2121"/>
      <c r="P91" s="2121"/>
      <c r="Q91" s="2121"/>
      <c r="R91" s="2121"/>
      <c r="S91" s="2121"/>
      <c r="T91" s="2121"/>
      <c r="U91" s="2121"/>
      <c r="V91" s="2121"/>
      <c r="W91" s="2121"/>
      <c r="X91" s="2121"/>
      <c r="Y91" s="2121"/>
      <c r="Z91" s="2121"/>
      <c r="AA91" s="1248"/>
      <c r="AB91" s="1248"/>
      <c r="AC91" s="1248"/>
      <c r="AD91" s="1248"/>
      <c r="AE91" s="1248"/>
      <c r="AF91" s="1248"/>
      <c r="AG91" s="1248"/>
      <c r="AH91" s="1248"/>
      <c r="AI91" s="1248"/>
    </row>
    <row r="92" spans="1:35" s="1081" customFormat="1" ht="25.5" customHeight="1">
      <c r="A92" s="353" t="s">
        <v>234</v>
      </c>
      <c r="B92" s="332" t="s">
        <v>353</v>
      </c>
      <c r="C92" s="361">
        <f>ROUND((C87+C90+C91)*D92,0)</f>
        <v>0</v>
      </c>
      <c r="D92" s="362">
        <v>0.1</v>
      </c>
      <c r="E92" s="3425" t="s">
        <v>354</v>
      </c>
      <c r="F92" s="3354"/>
      <c r="G92" s="3354"/>
      <c r="H92" s="3355"/>
      <c r="I92" s="1024"/>
      <c r="J92" s="2121"/>
      <c r="K92" s="2121"/>
      <c r="L92" s="2121"/>
      <c r="M92" s="2121"/>
      <c r="N92" s="2121"/>
      <c r="O92" s="2121"/>
      <c r="P92" s="2121"/>
      <c r="Q92" s="2121"/>
      <c r="R92" s="2121"/>
      <c r="S92" s="2121"/>
      <c r="T92" s="2121"/>
      <c r="U92" s="2121"/>
      <c r="V92" s="2121"/>
      <c r="W92" s="2121"/>
      <c r="X92" s="2121"/>
      <c r="Y92" s="2121"/>
      <c r="Z92" s="2121"/>
      <c r="AA92" s="1248"/>
      <c r="AB92" s="1248"/>
      <c r="AC92" s="1248"/>
      <c r="AD92" s="1248"/>
      <c r="AE92" s="1248"/>
      <c r="AF92" s="1248"/>
      <c r="AG92" s="1248"/>
      <c r="AH92" s="1248"/>
      <c r="AI92" s="1248"/>
    </row>
    <row r="93" spans="1:35" s="1081" customFormat="1" ht="25.5" customHeight="1">
      <c r="A93" s="353" t="s">
        <v>235</v>
      </c>
      <c r="B93" s="332" t="s">
        <v>341</v>
      </c>
      <c r="C93" s="361" t="e">
        <f ca="1">ROUND(D45*D93/(1+'数据-取费表'!F30),0)</f>
        <v>#REF!</v>
      </c>
      <c r="D93" s="362">
        <f>'数据-取费表'!E31</f>
        <v>6.000000000000001E-3</v>
      </c>
      <c r="E93" s="3353" t="s">
        <v>2415</v>
      </c>
      <c r="F93" s="3354"/>
      <c r="G93" s="3354"/>
      <c r="H93" s="3355"/>
      <c r="I93" s="1024"/>
      <c r="J93" s="2121"/>
      <c r="K93" s="2121"/>
      <c r="L93" s="2121"/>
      <c r="M93" s="2121"/>
      <c r="N93" s="2121"/>
      <c r="O93" s="2121"/>
      <c r="P93" s="2121"/>
      <c r="Q93" s="2121"/>
      <c r="R93" s="2121"/>
      <c r="S93" s="2121"/>
      <c r="T93" s="2121"/>
      <c r="U93" s="2121"/>
      <c r="V93" s="2121"/>
      <c r="W93" s="2121"/>
      <c r="X93" s="2121"/>
      <c r="Y93" s="2121"/>
      <c r="Z93" s="2121"/>
      <c r="AA93" s="1248"/>
      <c r="AB93" s="1248"/>
      <c r="AC93" s="1248"/>
      <c r="AD93" s="1248"/>
      <c r="AE93" s="1248"/>
      <c r="AF93" s="1248"/>
      <c r="AG93" s="1248"/>
      <c r="AH93" s="1248"/>
      <c r="AI93" s="1248"/>
    </row>
    <row r="94" spans="1:35" s="1081" customFormat="1" ht="25.5" customHeight="1">
      <c r="A94" s="353" t="s">
        <v>236</v>
      </c>
      <c r="B94" s="332" t="s">
        <v>355</v>
      </c>
      <c r="C94" s="361">
        <f>ROUND((C87+C90+C91)*D94,0)</f>
        <v>0</v>
      </c>
      <c r="D94" s="362">
        <v>0.2</v>
      </c>
      <c r="E94" s="3425" t="s">
        <v>356</v>
      </c>
      <c r="F94" s="3354"/>
      <c r="G94" s="3354"/>
      <c r="H94" s="3355"/>
      <c r="I94" s="1024"/>
      <c r="J94" s="2121"/>
      <c r="K94" s="2121"/>
      <c r="L94" s="2121"/>
      <c r="M94" s="2121"/>
      <c r="N94" s="2121"/>
      <c r="O94" s="2121"/>
      <c r="P94" s="2121"/>
      <c r="Q94" s="2121"/>
      <c r="R94" s="2121"/>
      <c r="S94" s="2121"/>
      <c r="T94" s="2121"/>
      <c r="U94" s="2121"/>
      <c r="V94" s="2121"/>
      <c r="W94" s="2121"/>
      <c r="X94" s="2121"/>
      <c r="Y94" s="2121"/>
      <c r="Z94" s="2121"/>
      <c r="AA94" s="1248"/>
      <c r="AB94" s="1248"/>
      <c r="AC94" s="1248"/>
      <c r="AD94" s="1248"/>
      <c r="AE94" s="1248"/>
      <c r="AF94" s="1248"/>
      <c r="AG94" s="1248"/>
      <c r="AH94" s="1248"/>
      <c r="AI94" s="1248"/>
    </row>
    <row r="95" spans="1:35" s="1081" customFormat="1" ht="13.5">
      <c r="A95" s="363" t="s">
        <v>168</v>
      </c>
      <c r="B95" s="338" t="s">
        <v>342</v>
      </c>
      <c r="C95" s="341" t="e">
        <f ca="1">ROUND(C85-C86,0)</f>
        <v>#REF!</v>
      </c>
      <c r="D95" s="334" t="s">
        <v>167</v>
      </c>
      <c r="E95" s="1804"/>
      <c r="F95" s="1803"/>
      <c r="G95" s="1803"/>
      <c r="H95" s="372"/>
      <c r="I95" s="1024"/>
      <c r="J95" s="2121"/>
      <c r="K95" s="2121"/>
      <c r="L95" s="2121"/>
      <c r="M95" s="2121"/>
      <c r="N95" s="2121"/>
      <c r="O95" s="2121"/>
      <c r="P95" s="2121"/>
      <c r="Q95" s="2121"/>
      <c r="R95" s="2121"/>
      <c r="S95" s="2121"/>
      <c r="T95" s="2121"/>
      <c r="U95" s="2121"/>
      <c r="V95" s="2121"/>
      <c r="W95" s="2121"/>
      <c r="X95" s="2121"/>
      <c r="Y95" s="2121"/>
      <c r="Z95" s="2121"/>
      <c r="AA95" s="1248"/>
      <c r="AB95" s="1248"/>
      <c r="AC95" s="1248"/>
      <c r="AD95" s="1248"/>
      <c r="AE95" s="1248"/>
      <c r="AF95" s="1248"/>
      <c r="AG95" s="1248"/>
      <c r="AH95" s="1248"/>
      <c r="AI95" s="1248"/>
    </row>
    <row r="96" spans="1:35" s="1081" customFormat="1" ht="24">
      <c r="A96" s="363" t="s">
        <v>169</v>
      </c>
      <c r="B96" s="338" t="s">
        <v>343</v>
      </c>
      <c r="C96" s="364" t="e">
        <f ca="1">IF(C95&lt;=0,0,C95/C86)</f>
        <v>#REF!</v>
      </c>
      <c r="D96" s="334" t="s">
        <v>167</v>
      </c>
      <c r="E96" s="195" t="e">
        <f ca="1">IF(C96&gt;=200%,"增值额超过扣除项目金额200%",IF(C96&gt;=100%,"增值额超过扣除项目金额100%，未超过200%",IF(C96&gt;=50%,"增值额超过扣除项目金额50%，未超过100%",IF(C96&lt;50%,"增值额未超过扣除项目金额50%"))))</f>
        <v>#REF!</v>
      </c>
      <c r="F96" s="1803"/>
      <c r="G96" s="1803"/>
      <c r="H96" s="372"/>
      <c r="I96" s="1024"/>
      <c r="J96" s="2121"/>
      <c r="K96" s="2121"/>
      <c r="L96" s="2121"/>
      <c r="M96" s="2121"/>
      <c r="N96" s="2121"/>
      <c r="O96" s="2121"/>
      <c r="P96" s="2121"/>
      <c r="Q96" s="2121"/>
      <c r="R96" s="2121"/>
      <c r="S96" s="2121"/>
      <c r="T96" s="2121"/>
      <c r="U96" s="2121"/>
      <c r="V96" s="2121"/>
      <c r="W96" s="2121"/>
      <c r="X96" s="2121"/>
      <c r="Y96" s="2121"/>
      <c r="Z96" s="2121"/>
      <c r="AA96" s="1248"/>
      <c r="AB96" s="1248"/>
      <c r="AC96" s="1248"/>
      <c r="AD96" s="1248"/>
      <c r="AE96" s="1248"/>
      <c r="AF96" s="1248"/>
      <c r="AG96" s="1248"/>
      <c r="AH96" s="1248"/>
      <c r="AI96" s="1248"/>
    </row>
    <row r="97" spans="1:35" s="1081" customFormat="1" ht="24.75" thickBot="1">
      <c r="A97" s="365" t="s">
        <v>170</v>
      </c>
      <c r="B97" s="343" t="s">
        <v>344</v>
      </c>
      <c r="C97" s="366" t="e">
        <f ca="1">ROUND(IF(C95&lt;=0,0,IF(C96&gt;=200%,C95*60%-C86*35%,IF(C96&gt;=100%,C95*50%-C86*15%,IF(C96&gt;=50%,C95*40%-C86*5%,IF(C96&lt;50%,C95*30%,0))))),0)</f>
        <v>#REF!</v>
      </c>
      <c r="D97" s="367" t="s">
        <v>167</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9"/>
      <c r="G97" s="369"/>
      <c r="H97" s="377"/>
      <c r="I97" s="1024"/>
      <c r="J97" s="2121"/>
      <c r="K97" s="2121"/>
      <c r="L97" s="2121"/>
      <c r="M97" s="2121"/>
      <c r="N97" s="2121"/>
      <c r="O97" s="2121"/>
      <c r="P97" s="2121"/>
      <c r="Q97" s="2121"/>
      <c r="R97" s="2121"/>
      <c r="S97" s="2121"/>
      <c r="T97" s="2121"/>
      <c r="U97" s="2121"/>
      <c r="V97" s="2121"/>
      <c r="W97" s="2121"/>
      <c r="X97" s="2121"/>
      <c r="Y97" s="2121"/>
      <c r="Z97" s="2121"/>
      <c r="AA97" s="1248"/>
      <c r="AB97" s="1248"/>
      <c r="AC97" s="1248"/>
      <c r="AD97" s="1248"/>
      <c r="AE97" s="1248"/>
      <c r="AF97" s="1248"/>
      <c r="AG97" s="1248"/>
      <c r="AH97" s="1248"/>
      <c r="AI97" s="1248"/>
    </row>
    <row r="98" spans="1:35" ht="21.75" customHeight="1" thickBot="1">
      <c r="A98" s="1067" t="s">
        <v>238</v>
      </c>
      <c r="B98" s="1059"/>
      <c r="C98" s="1059"/>
      <c r="D98" s="1059"/>
      <c r="E98" s="167"/>
      <c r="F98" s="167"/>
      <c r="G98" s="167"/>
      <c r="H98" s="168"/>
      <c r="I98" s="1059"/>
    </row>
    <row r="99" spans="1:35" ht="14.25">
      <c r="A99" s="3418" t="s">
        <v>239</v>
      </c>
      <c r="B99" s="3419"/>
      <c r="C99" s="3419"/>
      <c r="D99" s="3420"/>
      <c r="E99" s="1059"/>
      <c r="F99" s="3430" t="s">
        <v>2759</v>
      </c>
      <c r="G99" s="3431"/>
      <c r="H99" s="3431"/>
      <c r="I99" s="3432"/>
    </row>
    <row r="100" spans="1:35" ht="14.25">
      <c r="A100" s="3433" t="s">
        <v>210</v>
      </c>
      <c r="B100" s="3434"/>
      <c r="C100" s="1084">
        <f>C4</f>
        <v>0</v>
      </c>
      <c r="D100" s="1085">
        <f>D4</f>
        <v>0</v>
      </c>
      <c r="E100" s="1059"/>
      <c r="F100" s="3318" t="s">
        <v>1852</v>
      </c>
      <c r="G100" s="3319"/>
      <c r="H100" s="3318" t="s">
        <v>2004</v>
      </c>
      <c r="I100" s="3435"/>
    </row>
    <row r="101" spans="1:35" ht="15.75">
      <c r="A101" s="3410" t="s">
        <v>211</v>
      </c>
      <c r="B101" s="1678" t="str">
        <f>IF(H19="元","总价（元）","总价（万元）")</f>
        <v>总价（万元）</v>
      </c>
      <c r="C101" s="1051" t="e">
        <f ca="1">C19</f>
        <v>#REF!</v>
      </c>
      <c r="D101" s="1052" t="e">
        <f ca="1">D19</f>
        <v>#REF!</v>
      </c>
      <c r="E101" s="1059"/>
      <c r="F101" s="3318" t="str">
        <f>项目基本情况!I1</f>
        <v>浙江省杭州市房地产</v>
      </c>
      <c r="G101" s="3319"/>
      <c r="H101" s="3316">
        <f>项目基本情况!C12</f>
        <v>88039.929999999338</v>
      </c>
      <c r="I101" s="3317"/>
    </row>
    <row r="102" spans="1:35" ht="15.75">
      <c r="A102" s="3410"/>
      <c r="B102" s="1678" t="s">
        <v>1853</v>
      </c>
      <c r="C102" s="1053" t="e">
        <f ca="1">C20</f>
        <v>#REF!</v>
      </c>
      <c r="D102" s="1054" t="e">
        <f ca="1">D20</f>
        <v>#REF!</v>
      </c>
      <c r="E102" s="1059"/>
      <c r="F102" s="3345" t="s">
        <v>1858</v>
      </c>
      <c r="G102" s="3346"/>
      <c r="H102" s="1878" t="str">
        <f>C106</f>
        <v>总价（万元）</v>
      </c>
      <c r="I102" s="3066" t="e">
        <f ca="1">H121</f>
        <v>#REF!</v>
      </c>
    </row>
    <row r="103" spans="1:35" ht="15">
      <c r="A103" s="3410" t="s">
        <v>212</v>
      </c>
      <c r="B103" s="1679" t="str">
        <f>B101</f>
        <v>总价（万元）</v>
      </c>
      <c r="C103" s="1055" t="e">
        <f ca="1">H121</f>
        <v>#REF!</v>
      </c>
      <c r="D103" s="1056"/>
      <c r="E103" s="1059"/>
      <c r="F103" s="3345"/>
      <c r="G103" s="3346"/>
      <c r="H103" s="1878" t="s">
        <v>1850</v>
      </c>
      <c r="I103" s="1766" t="e">
        <f ca="1">I121</f>
        <v>#REF!</v>
      </c>
    </row>
    <row r="104" spans="1:35" ht="15.75" thickBot="1">
      <c r="A104" s="3411"/>
      <c r="B104" s="1680" t="s">
        <v>1851</v>
      </c>
      <c r="C104" s="1057" t="e">
        <f ca="1">I121</f>
        <v>#REF!</v>
      </c>
      <c r="D104" s="1058"/>
      <c r="E104" s="1059"/>
      <c r="F104" s="3428"/>
      <c r="G104" s="3429"/>
      <c r="H104" s="3412"/>
      <c r="I104" s="3413"/>
    </row>
    <row r="105" spans="1:35" ht="15.75">
      <c r="A105" s="3418" t="s">
        <v>2758</v>
      </c>
      <c r="B105" s="3419"/>
      <c r="C105" s="3419"/>
      <c r="D105" s="3420"/>
      <c r="E105" s="1059"/>
      <c r="F105" s="3416" t="s">
        <v>1959</v>
      </c>
      <c r="G105" s="3417"/>
      <c r="H105" s="1879" t="str">
        <f>C108</f>
        <v>总额（万元）</v>
      </c>
      <c r="I105" s="3066">
        <f>SUMIF(I106:I108,"&lt;9E307")</f>
        <v>0</v>
      </c>
    </row>
    <row r="106" spans="1:35" ht="15">
      <c r="A106" s="3332" t="s">
        <v>2417</v>
      </c>
      <c r="B106" s="3333"/>
      <c r="C106" s="1878" t="str">
        <f>B101</f>
        <v>总价（万元）</v>
      </c>
      <c r="D106" s="1767" t="e">
        <f ca="1">H121</f>
        <v>#REF!</v>
      </c>
      <c r="E106" s="1059"/>
      <c r="F106" s="3334" t="s">
        <v>1855</v>
      </c>
      <c r="G106" s="3335"/>
      <c r="H106" s="1879" t="str">
        <f>C109</f>
        <v>总额（万元）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32"/>
      <c r="B107" s="3333"/>
      <c r="C107" s="1878" t="s">
        <v>1963</v>
      </c>
      <c r="D107" s="1768" t="e">
        <f ca="1">I121</f>
        <v>#REF!</v>
      </c>
      <c r="E107" s="1059"/>
      <c r="F107" s="3334" t="s">
        <v>1856</v>
      </c>
      <c r="G107" s="3335"/>
      <c r="H107" s="1879" t="str">
        <f>C110</f>
        <v>总额（万元）</v>
      </c>
      <c r="I107" s="1766">
        <f>C37</f>
        <v>0</v>
      </c>
      <c r="K107" s="2122"/>
    </row>
    <row r="108" spans="1:35" ht="15">
      <c r="A108" s="3339" t="s">
        <v>1959</v>
      </c>
      <c r="B108" s="3340"/>
      <c r="C108" s="1879" t="str">
        <f>IF(H19="元","总额（元）","总额（万元）")</f>
        <v>总额（万元）</v>
      </c>
      <c r="D108" s="1767">
        <f>IF(D36="正常操作",I106+I107+I108,I107+I108)</f>
        <v>0</v>
      </c>
      <c r="E108" s="1059"/>
      <c r="F108" s="3334" t="s">
        <v>1857</v>
      </c>
      <c r="G108" s="3335"/>
      <c r="H108" s="1879" t="str">
        <f>C111</f>
        <v>总额（万元）</v>
      </c>
      <c r="I108" s="1766">
        <f>C38</f>
        <v>0</v>
      </c>
    </row>
    <row r="109" spans="1:35" ht="14.25">
      <c r="A109" s="3334" t="s">
        <v>1855</v>
      </c>
      <c r="B109" s="3335"/>
      <c r="C109" s="1879" t="str">
        <f>C108</f>
        <v>总额（万元）</v>
      </c>
      <c r="D109" s="855">
        <f>IF(D36="同一抵押权人同一抵押物续贷",C36&amp;"（未扣减，详见特别提示）",C36)</f>
        <v>0</v>
      </c>
      <c r="E109" s="1059"/>
      <c r="F109" s="3428"/>
      <c r="G109" s="3429"/>
      <c r="H109" s="3414"/>
      <c r="I109" s="3415"/>
    </row>
    <row r="110" spans="1:35" ht="28.5" customHeight="1">
      <c r="A110" s="3334" t="s">
        <v>1856</v>
      </c>
      <c r="B110" s="3335"/>
      <c r="C110" s="1879" t="str">
        <f>C108</f>
        <v>总额（万元）</v>
      </c>
      <c r="D110" s="855">
        <f>C37</f>
        <v>0</v>
      </c>
      <c r="E110" s="1059"/>
      <c r="F110" s="3320" t="str">
        <f>IF(项目基本情况!F5="已注销","——","3.房地产抵押价值")</f>
        <v>3.房地产抵押价值</v>
      </c>
      <c r="G110" s="3321"/>
      <c r="H110" s="3072" t="str">
        <f>C112</f>
        <v>总价（万元）</v>
      </c>
      <c r="I110" s="3073" t="e">
        <f ca="1">IF(F110="——","——",I102-I105)</f>
        <v>#REF!</v>
      </c>
    </row>
    <row r="111" spans="1:35" ht="14.25">
      <c r="A111" s="3334" t="s">
        <v>1857</v>
      </c>
      <c r="B111" s="3335"/>
      <c r="C111" s="1879" t="str">
        <f>C108</f>
        <v>总额（万元）</v>
      </c>
      <c r="D111" s="855">
        <f>C38</f>
        <v>0</v>
      </c>
      <c r="E111" s="1059"/>
      <c r="F111" s="3449"/>
      <c r="G111" s="3450"/>
      <c r="H111" s="1878" t="s">
        <v>1850</v>
      </c>
      <c r="I111" s="3074" t="e">
        <f ca="1">D113</f>
        <v>#REF!</v>
      </c>
    </row>
    <row r="112" spans="1:35" ht="26.25" customHeight="1">
      <c r="A112" s="3332" t="str">
        <f>IF(项目基本情况!F5="已注销","——","3.房地产抵押价值")</f>
        <v>3.房地产抵押价值</v>
      </c>
      <c r="B112" s="3333"/>
      <c r="C112" s="1878" t="str">
        <f>B101</f>
        <v>总价（万元）</v>
      </c>
      <c r="D112" s="1767" t="e">
        <f ca="1">IF(A112="——","——",D106-D108)</f>
        <v>#REF!</v>
      </c>
      <c r="E112" s="1059"/>
      <c r="F112" s="3320" t="str">
        <f>IF(项目基本情况!F5="已注销及未注销","4.抵押担保权已注销时的房地产抵押价值",IF(项目基本情况!F5="已注销","3.抵押担保权已注销时的房地产抵押价值","——"))</f>
        <v>——</v>
      </c>
      <c r="G112" s="3321"/>
      <c r="H112" s="3072" t="str">
        <f>C114</f>
        <v>总价（万元）</v>
      </c>
      <c r="I112" s="3073" t="str">
        <f>IF(F112="——","——",I102-I107-I108)</f>
        <v>——</v>
      </c>
    </row>
    <row r="113" spans="1:15" ht="14.25">
      <c r="A113" s="3332"/>
      <c r="B113" s="3333"/>
      <c r="C113" s="1878" t="s">
        <v>1850</v>
      </c>
      <c r="D113" s="1768" t="e">
        <f ca="1">ROUND(IF(D112=D106,D107,IF(H19="元",D112/项目基本情况!C12,D112*10000/项目基本情况!C12)),0)</f>
        <v>#REF!</v>
      </c>
      <c r="E113" s="1059"/>
      <c r="F113" s="3449"/>
      <c r="G113" s="3450"/>
      <c r="H113" s="1878" t="s">
        <v>1850</v>
      </c>
      <c r="I113" s="3075" t="str">
        <f>D115</f>
        <v>——</v>
      </c>
    </row>
    <row r="114" spans="1:15" ht="15.75">
      <c r="A114" s="3332" t="str">
        <f>IF(项目基本情况!F5="已注销及未注销","4.抵押担保权已注销时的房地产抵押价值",IF(项目基本情况!F5="已注销","3.抵押担保权已注销时的房地产抵押价值","——"))</f>
        <v>——</v>
      </c>
      <c r="B114" s="3333"/>
      <c r="C114" s="1878" t="str">
        <f>B101</f>
        <v>总价（万元）</v>
      </c>
      <c r="D114" s="1767" t="str">
        <f>IF(A114="——","——",D106-D110-D111)</f>
        <v>——</v>
      </c>
      <c r="E114" s="1059"/>
      <c r="F114" s="3320" t="str">
        <f>IF(项目基本情况!G5="抵押净值",IF(OR(项目基本情况!F5="已注销",项目基本情况!F5="房地产抵押价值"),"4.抵押净值","5.抵押净值"),"——")</f>
        <v>——</v>
      </c>
      <c r="G114" s="3321"/>
      <c r="H114" s="1878" t="str">
        <f>C116</f>
        <v>总价（万元）</v>
      </c>
      <c r="I114" s="3066" t="str">
        <f>IF(F114="——","——",N59)</f>
        <v>——</v>
      </c>
    </row>
    <row r="115" spans="1:15" ht="15.75" thickBot="1">
      <c r="A115" s="3332"/>
      <c r="B115" s="3333"/>
      <c r="C115" s="1878" t="s">
        <v>1850</v>
      </c>
      <c r="D115" s="1768" t="str">
        <f>IF(A114="——","——",ROUND(IF(D114=D106,D107,IF(H19="元",D114/项目基本情况!C12,D114*10000/项目基本情况!C12)),0))</f>
        <v>——</v>
      </c>
      <c r="E115" s="1059"/>
      <c r="F115" s="3322"/>
      <c r="G115" s="3323"/>
      <c r="H115" s="1880" t="s">
        <v>1850</v>
      </c>
      <c r="I115" s="3076" t="e">
        <f ca="1">D117</f>
        <v>#REF!</v>
      </c>
    </row>
    <row r="116" spans="1:15" ht="15">
      <c r="A116" s="3332" t="str">
        <f>IF(项目基本情况!G5="抵押净值",IF(OR(项目基本情况!F5="已注销",项目基本情况!F5="房地产抵押价值"),"4.抵押净值","5.抵押净值"),"——")</f>
        <v>——</v>
      </c>
      <c r="B116" s="3333"/>
      <c r="C116" s="1878" t="str">
        <f>B101</f>
        <v>总价（万元）</v>
      </c>
      <c r="D116" s="1767" t="str">
        <f>IF(A116="——","——",N59)</f>
        <v>——</v>
      </c>
      <c r="E116" s="1059"/>
      <c r="F116" s="3444"/>
      <c r="G116" s="3444"/>
      <c r="H116" s="3397"/>
      <c r="I116" s="3397"/>
      <c r="N116" s="1889"/>
      <c r="O116" s="1889"/>
    </row>
    <row r="117" spans="1:15" ht="15" thickBot="1">
      <c r="A117" s="3337"/>
      <c r="B117" s="3338"/>
      <c r="C117" s="1880" t="s">
        <v>1850</v>
      </c>
      <c r="D117" s="1769" t="e">
        <f ca="1">IF(D116=D112,D113,IF(A116="——","——",N61))</f>
        <v>#REF!</v>
      </c>
      <c r="E117" s="1059"/>
      <c r="F117" s="3312" t="str">
        <f>IF(B32="总价","（以上估价结果中单价为总价除以建筑面积得出）","（以上估价结果中总价为楼面单价乘以建筑面积得出）")</f>
        <v>（以上估价结果中单价为总价除以建筑面积得出）</v>
      </c>
      <c r="G117" s="3312"/>
      <c r="H117" s="3312"/>
      <c r="I117" s="3312"/>
      <c r="N117" s="1889"/>
      <c r="O117" s="1889"/>
    </row>
    <row r="118" spans="1:15" ht="13.5">
      <c r="A118" s="3398" t="s">
        <v>2889</v>
      </c>
      <c r="B118" s="3399"/>
      <c r="C118" s="3399"/>
      <c r="D118" s="3399"/>
      <c r="E118" s="3399"/>
      <c r="F118" s="3399"/>
      <c r="G118" s="3399"/>
      <c r="H118" s="3399"/>
      <c r="I118" s="3399"/>
    </row>
    <row r="119" spans="1:15" ht="13.5">
      <c r="A119" s="3313" t="s">
        <v>3</v>
      </c>
      <c r="B119" s="3343" t="s">
        <v>1879</v>
      </c>
      <c r="C119" s="3343" t="s">
        <v>694</v>
      </c>
      <c r="D119" s="3426" t="s">
        <v>209</v>
      </c>
      <c r="E119" s="3427"/>
      <c r="F119" s="3314" t="s">
        <v>1880</v>
      </c>
      <c r="G119" s="3314"/>
      <c r="H119" s="3314" t="s">
        <v>4</v>
      </c>
      <c r="I119" s="3424"/>
    </row>
    <row r="120" spans="1:15" ht="13.5">
      <c r="A120" s="3313"/>
      <c r="B120" s="3344"/>
      <c r="C120" s="3344"/>
      <c r="D120" s="1799" t="s">
        <v>5</v>
      </c>
      <c r="E120" s="1799" t="s">
        <v>695</v>
      </c>
      <c r="F120" s="1799" t="s">
        <v>5</v>
      </c>
      <c r="G120" s="1799" t="s">
        <v>6</v>
      </c>
      <c r="H120" s="1799" t="s">
        <v>5</v>
      </c>
      <c r="I120" s="1810" t="s">
        <v>6</v>
      </c>
    </row>
    <row r="121" spans="1:15" ht="27">
      <c r="A121" s="1798" t="str">
        <f>项目基本情况!I1</f>
        <v>浙江省杭州市房地产</v>
      </c>
      <c r="B121" s="1805">
        <f>项目基本情况!C12</f>
        <v>88039.929999999338</v>
      </c>
      <c r="C121" s="1805">
        <f>项目基本情况!C13</f>
        <v>4968.7000000000498</v>
      </c>
      <c r="D121" s="1805" t="e">
        <f ca="1">ROUND(IF(B32="总价",C34,IF('数据-取费表'!B3="万元",E121*B121/10000,E121*B121)),0)</f>
        <v>#REF!</v>
      </c>
      <c r="E121" s="1805" t="e">
        <f ca="1">ROUND(IF(B32="楼面单价",C34,IF(H19="元",D121/B121,D121*10000/B121)),0)</f>
        <v>#REF!</v>
      </c>
      <c r="F121" s="1805" t="e">
        <f ca="1">ROUND(IF(B32="总价",C35,IF('数据-取费表'!B3="万元",G121*B121/10000,G121*B121)),0)</f>
        <v>#REF!</v>
      </c>
      <c r="G121" s="1805" t="e">
        <f ca="1">ROUND(IF(B32="楼面单价",C35,IF(H19="元",F121/B121,F121*10000/B121)),0)</f>
        <v>#REF!</v>
      </c>
      <c r="H121" s="1805" t="e">
        <f ca="1">ROUND(IF(B32="总价",C32,IF('数据-取费表'!B3="万元",I121*B121/10000,I121*B121)),0)</f>
        <v>#REF!</v>
      </c>
      <c r="I121" s="855" t="e">
        <f ca="1">ROUND(IF(B32="楼面单价",C32,IF(H19="元",H121/B121,H121*10000/B121)),0)</f>
        <v>#REF!</v>
      </c>
    </row>
    <row r="122" spans="1:15" ht="13.5">
      <c r="A122" s="3313" t="s">
        <v>7</v>
      </c>
      <c r="B122" s="3314"/>
      <c r="C122" s="3314"/>
      <c r="D122" s="3347" t="e">
        <f ca="1">IF(H19="元",NUMBERSTRING(INT(D121),2)&amp;"元整",NUMBERSTRING(INT(D121*10000),2)&amp;"元整")</f>
        <v>#REF!</v>
      </c>
      <c r="E122" s="3403"/>
      <c r="F122" s="3347" t="e">
        <f ca="1">IF(H19="元",NUMBERSTRING(INT(F121),2)&amp;"元整",NUMBERSTRING(INT(F121*10000),2)&amp;"元整")</f>
        <v>#REF!</v>
      </c>
      <c r="G122" s="3403"/>
      <c r="H122" s="3347" t="e">
        <f ca="1">IF(H19="元",NUMBERSTRING(INT(H121),2)&amp;"元整",NUMBERSTRING(INT(H121*10000),2)&amp;"元整")</f>
        <v>#REF!</v>
      </c>
      <c r="I122" s="3348"/>
    </row>
    <row r="123" spans="1:15" ht="15">
      <c r="A123" s="3404" t="str">
        <f>MID(A108,3,LEN(A108)-2)</f>
        <v>估价师所知悉的法定优先受偿款</v>
      </c>
      <c r="B123" s="3405"/>
      <c r="C123" s="3406"/>
      <c r="D123" s="3324">
        <f>I105</f>
        <v>0</v>
      </c>
      <c r="E123" s="3325"/>
      <c r="F123" s="3325"/>
      <c r="G123" s="3325"/>
      <c r="H123" s="3325"/>
      <c r="I123" s="3326"/>
    </row>
    <row r="124" spans="1:15" ht="13.5">
      <c r="A124" s="3407" t="s">
        <v>7</v>
      </c>
      <c r="B124" s="3408"/>
      <c r="C124" s="3409"/>
      <c r="D124" s="3327">
        <f>H109</f>
        <v>0</v>
      </c>
      <c r="E124" s="3328"/>
      <c r="F124" s="3328"/>
      <c r="G124" s="3328"/>
      <c r="H124" s="3328"/>
      <c r="I124" s="3329"/>
    </row>
    <row r="125" spans="1:15" ht="15">
      <c r="A125" s="3330" t="str">
        <f>MID(A112,3,LEN(A112)-2)</f>
        <v>房地产抵押价值</v>
      </c>
      <c r="B125" s="3331"/>
      <c r="C125" s="3331"/>
      <c r="D125" s="3324" t="e">
        <f ca="1">I110</f>
        <v>#REF!</v>
      </c>
      <c r="E125" s="3325"/>
      <c r="F125" s="3325"/>
      <c r="G125" s="3325"/>
      <c r="H125" s="3325"/>
      <c r="I125" s="3326"/>
    </row>
    <row r="126" spans="1:15" ht="13.5">
      <c r="A126" s="3313" t="s">
        <v>7</v>
      </c>
      <c r="B126" s="3314"/>
      <c r="C126" s="3314"/>
      <c r="D126" s="3327" t="e">
        <f ca="1">I111</f>
        <v>#REF!</v>
      </c>
      <c r="E126" s="3328"/>
      <c r="F126" s="3328"/>
      <c r="G126" s="3328"/>
      <c r="H126" s="3328"/>
      <c r="I126" s="3329"/>
    </row>
    <row r="127" spans="1:15" ht="15.75" thickBot="1">
      <c r="A127" s="3330" t="str">
        <f>MID(A114,3,LEN(A114)-2)</f>
        <v/>
      </c>
      <c r="B127" s="3331"/>
      <c r="C127" s="3331"/>
      <c r="D127" s="3441" t="str">
        <f>I112</f>
        <v>——</v>
      </c>
      <c r="E127" s="3442"/>
      <c r="F127" s="3442"/>
      <c r="G127" s="3442"/>
      <c r="H127" s="3442"/>
      <c r="I127" s="3443"/>
    </row>
    <row r="128" spans="1:15" ht="15" thickTop="1" thickBot="1">
      <c r="A128" s="3313" t="s">
        <v>7</v>
      </c>
      <c r="B128" s="3314"/>
      <c r="C128" s="3315"/>
      <c r="D128" s="3396" t="str">
        <f>I113</f>
        <v>——</v>
      </c>
      <c r="E128" s="3396"/>
      <c r="F128" s="3396"/>
      <c r="G128" s="3396"/>
      <c r="H128" s="3396"/>
      <c r="I128" s="3396"/>
    </row>
    <row r="129" spans="1:9" ht="16.5" thickTop="1" thickBot="1">
      <c r="A129" s="3330" t="str">
        <f>MID(F114,3,LEN(F114)-2)</f>
        <v/>
      </c>
      <c r="B129" s="3331"/>
      <c r="C129" s="3395"/>
      <c r="D129" s="3336" t="str">
        <f>I114</f>
        <v>——</v>
      </c>
      <c r="E129" s="3336"/>
      <c r="F129" s="3336"/>
      <c r="G129" s="3336"/>
      <c r="H129" s="3336"/>
      <c r="I129" s="3336"/>
    </row>
    <row r="130" spans="1:9" ht="15" thickTop="1" thickBot="1">
      <c r="A130" s="3341" t="s">
        <v>7</v>
      </c>
      <c r="B130" s="3342"/>
      <c r="C130" s="3342"/>
      <c r="D130" s="3349">
        <f>H116</f>
        <v>0</v>
      </c>
      <c r="E130" s="3350"/>
      <c r="F130" s="3350"/>
      <c r="G130" s="3350"/>
      <c r="H130" s="3350"/>
      <c r="I130" s="3351"/>
    </row>
    <row r="131" spans="1:9" ht="12">
      <c r="A131" s="1756" t="str">
        <f>IF(H19="元","单位：平方米、元、元/平方米（币种：人民币）","单位：平方米、万元、元/平方米（币种：人民币）")</f>
        <v>单位：平方米、万元、元/平方米（币种：人民币）</v>
      </c>
      <c r="B131" s="1756"/>
      <c r="C131" s="1756"/>
      <c r="D131" s="1756"/>
      <c r="E131" s="1756"/>
      <c r="F131" s="1756"/>
      <c r="G131" s="1756"/>
      <c r="H131" s="1756"/>
      <c r="I131" s="1756"/>
    </row>
    <row r="132" spans="1:9" ht="12.75" thickBot="1">
      <c r="A132" s="3311" t="str">
        <f>IF(B32="总价","（以上估价结果中楼面单价为总价除以建筑面积得出）","（以上估价结果中总价为楼面单价乘以建筑面积得出）")</f>
        <v>（以上估价结果中楼面单价为总价除以建筑面积得出）</v>
      </c>
      <c r="B132" s="3311"/>
      <c r="C132" s="3311"/>
      <c r="D132" s="3311"/>
      <c r="E132" s="3311"/>
      <c r="F132" s="3311"/>
      <c r="G132" s="3311"/>
      <c r="H132" s="3311"/>
      <c r="I132" s="3311"/>
    </row>
    <row r="133" spans="1:9" ht="21.75" customHeight="1">
      <c r="A133" s="1890" t="s">
        <v>696</v>
      </c>
      <c r="B133" s="1891"/>
      <c r="C133" s="1892" t="s">
        <v>150</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89"/>
      <c r="G136" s="1889"/>
      <c r="H136" s="1889"/>
      <c r="I136" s="1889"/>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697</v>
      </c>
      <c r="G139" s="1261"/>
      <c r="H139" s="1261"/>
      <c r="I139" s="1262" t="s">
        <v>698</v>
      </c>
    </row>
    <row r="140" spans="1:9" ht="21.75" customHeight="1">
      <c r="A140" s="1259"/>
      <c r="B140" s="1263" t="s">
        <v>699</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700</v>
      </c>
    </row>
    <row r="143" spans="1:9" ht="21.75" customHeight="1">
      <c r="A143" s="1259"/>
      <c r="B143" s="1263" t="s">
        <v>701</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700</v>
      </c>
    </row>
    <row r="146" spans="1:35" ht="21.75" customHeight="1">
      <c r="A146" s="1259"/>
      <c r="B146" s="1263"/>
      <c r="C146" s="1264"/>
      <c r="D146" s="1265"/>
      <c r="E146" s="1265"/>
      <c r="F146" s="1266"/>
      <c r="G146" s="1259"/>
      <c r="H146" s="1259"/>
      <c r="I146" s="1259"/>
    </row>
    <row r="147" spans="1:35" s="1889"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89"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89"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0"/>
      <c r="B1" s="1329"/>
    </row>
    <row r="2" spans="1:7">
      <c r="A2" s="2020"/>
      <c r="B2" s="1329"/>
    </row>
    <row r="3" spans="1:7">
      <c r="A3" s="2020"/>
      <c r="B3" s="1329"/>
    </row>
    <row r="4" spans="1:7">
      <c r="A4" s="2020"/>
      <c r="B4" s="1329"/>
    </row>
    <row r="5" spans="1:7">
      <c r="A5" s="2020"/>
      <c r="B5" s="1329"/>
    </row>
    <row r="6" spans="1:7">
      <c r="A6" s="2020"/>
      <c r="B6" s="1329"/>
    </row>
    <row r="7" spans="1:7">
      <c r="A7" s="2020"/>
      <c r="B7" s="1329"/>
    </row>
    <row r="8" spans="1:7">
      <c r="A8" s="2023" t="s">
        <v>2206</v>
      </c>
      <c r="B8" s="2022" t="s">
        <v>2205</v>
      </c>
      <c r="C8" s="1746"/>
    </row>
    <row r="9" spans="1:7">
      <c r="A9" s="2020"/>
      <c r="B9" s="1859" t="str">
        <f>项目基本情况!B1</f>
        <v>浙江省杭州市房地产抵押价值预评估</v>
      </c>
      <c r="C9" s="1747"/>
      <c r="D9" s="1748"/>
      <c r="E9" s="1748"/>
      <c r="F9" s="1748"/>
      <c r="G9" s="1748"/>
    </row>
    <row r="10" spans="1:7">
      <c r="A10" s="2020"/>
      <c r="B10" s="1859"/>
      <c r="C10" s="1747"/>
      <c r="D10" s="1748"/>
      <c r="E10" s="1748"/>
      <c r="F10" s="1748"/>
      <c r="G10" s="1748"/>
    </row>
    <row r="11" spans="1:7">
      <c r="A11" s="2023" t="s">
        <v>2206</v>
      </c>
      <c r="B11" s="2022" t="s">
        <v>2207</v>
      </c>
      <c r="C11" s="1746"/>
    </row>
    <row r="12" spans="1:7">
      <c r="A12" s="2020"/>
      <c r="B12" s="1858" t="str">
        <f>项目基本情况!B4</f>
        <v>杭州名城博园置业有限公司</v>
      </c>
      <c r="C12" s="1746"/>
    </row>
    <row r="13" spans="1:7">
      <c r="A13" s="2020"/>
      <c r="B13" s="1858"/>
      <c r="C13" s="1746"/>
    </row>
    <row r="14" spans="1:7">
      <c r="A14" s="2023" t="s">
        <v>2206</v>
      </c>
      <c r="B14" s="2022" t="s">
        <v>2208</v>
      </c>
      <c r="C14" s="1746"/>
    </row>
    <row r="15" spans="1:7">
      <c r="A15" s="2020"/>
      <c r="B15" s="1858" t="s">
        <v>1941</v>
      </c>
      <c r="C15" s="1746"/>
    </row>
    <row r="16" spans="1:7">
      <c r="A16" s="2020"/>
      <c r="B16" s="1858"/>
      <c r="C16" s="1746"/>
    </row>
    <row r="17" spans="1:5">
      <c r="A17" s="2023" t="s">
        <v>2206</v>
      </c>
      <c r="B17" s="2022" t="s">
        <v>2209</v>
      </c>
      <c r="C17" s="1746"/>
    </row>
    <row r="18" spans="1:5" s="1750" customFormat="1">
      <c r="A18" s="2021"/>
      <c r="B18" s="1858" t="str">
        <f ca="1">CONCATENATE(项目基本情况!B3,"（注册号:",项目基本情况!C3,"）、",项目基本情况!D3,"（注册号:",项目基本情况!E3,")")</f>
        <v>梁津（注册号:1119970066）、王鹏（注册号:1120050019)</v>
      </c>
      <c r="C18" s="1749"/>
      <c r="E18" s="1749"/>
    </row>
    <row r="19" spans="1:5">
      <c r="A19" s="2020"/>
      <c r="B19" s="1858"/>
      <c r="C19" s="1746"/>
    </row>
    <row r="20" spans="1:5">
      <c r="A20" s="2023" t="s">
        <v>2206</v>
      </c>
      <c r="B20" s="2022" t="s">
        <v>2210</v>
      </c>
      <c r="C20" s="1746"/>
    </row>
    <row r="21" spans="1:5">
      <c r="A21" s="2020"/>
      <c r="B21" s="1858" t="str">
        <f>"康正预评字"&amp;项目基本情况!G1&amp;"号"</f>
        <v>康正预评字号</v>
      </c>
    </row>
    <row r="22" spans="1:5">
      <c r="A22" s="2020"/>
      <c r="B22" s="1329"/>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4" zoomScale="85" zoomScaleNormal="100" zoomScaleSheetLayoutView="85" zoomScalePageLayoutView="80" workbookViewId="0">
      <selection activeCell="L36" sqref="L36"/>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669</v>
      </c>
      <c r="B1" s="1059"/>
      <c r="C1" s="1059"/>
      <c r="D1" s="1059"/>
      <c r="E1" s="1059"/>
      <c r="F1" s="1059"/>
      <c r="G1" s="1059"/>
      <c r="H1" s="1059"/>
      <c r="I1" s="1059"/>
    </row>
    <row r="2" spans="1:12" ht="21.75" customHeight="1">
      <c r="A2" s="3462" t="s">
        <v>2213</v>
      </c>
      <c r="B2" s="3462"/>
      <c r="C2" s="3462"/>
      <c r="D2" s="3462"/>
      <c r="E2" s="3462"/>
      <c r="F2" s="3462"/>
      <c r="G2" s="3462"/>
      <c r="H2" s="3462"/>
      <c r="I2" s="3462"/>
    </row>
    <row r="3" spans="1:12" ht="12">
      <c r="A3" s="3383" t="s">
        <v>8</v>
      </c>
      <c r="B3" s="3384"/>
      <c r="C3" s="3384"/>
      <c r="D3" s="3384"/>
      <c r="E3" s="3384"/>
      <c r="F3" s="3384"/>
      <c r="G3" s="3384"/>
      <c r="H3" s="3384"/>
      <c r="I3" s="3384"/>
    </row>
    <row r="4" spans="1:12" ht="13.5">
      <c r="A4" s="237" t="s">
        <v>9</v>
      </c>
      <c r="B4" s="2036" t="s">
        <v>10</v>
      </c>
      <c r="C4" s="238" t="s">
        <v>6384</v>
      </c>
      <c r="D4" s="238" t="s">
        <v>6385</v>
      </c>
      <c r="E4" s="3386" t="s">
        <v>670</v>
      </c>
      <c r="F4" s="3387"/>
      <c r="G4" s="3387"/>
      <c r="H4" s="3387"/>
      <c r="I4" s="3388"/>
      <c r="K4" s="1226" t="str">
        <f>IF(ISNUMBER(FIND("比较法",'结果表 (1修多)'!C4)),"比较法",IF(ISNUMBER(FIND("成本法",'结果表 (1修多)'!C4)),"成本法",IF(ISNUMBER(FIND("假设开发法",'结果表 (1修多)'!C4)),"假设开发法",IF(ISNUMBER(FIND("收益法",'结果表 (1修多)'!C4)),"收益法","基准地价系数修正法"))))</f>
        <v>比较法</v>
      </c>
      <c r="L4" s="122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352" t="s">
        <v>11</v>
      </c>
      <c r="B5" s="3369">
        <v>25</v>
      </c>
      <c r="C5" s="3364"/>
      <c r="D5" s="3382"/>
      <c r="E5" s="272" t="s">
        <v>713</v>
      </c>
      <c r="F5" s="239"/>
      <c r="G5" s="239"/>
      <c r="H5" s="239"/>
      <c r="I5" s="240"/>
    </row>
    <row r="6" spans="1:12" ht="12.75">
      <c r="A6" s="3352"/>
      <c r="B6" s="3369"/>
      <c r="C6" s="3385"/>
      <c r="D6" s="3382"/>
      <c r="E6" s="272" t="s">
        <v>714</v>
      </c>
      <c r="F6" s="239"/>
      <c r="G6" s="239"/>
      <c r="H6" s="239"/>
      <c r="I6" s="240"/>
    </row>
    <row r="7" spans="1:12" ht="12.75">
      <c r="A7" s="3352"/>
      <c r="B7" s="3369"/>
      <c r="C7" s="3365"/>
      <c r="D7" s="3382"/>
      <c r="E7" s="272" t="s">
        <v>715</v>
      </c>
      <c r="F7" s="239"/>
      <c r="G7" s="239"/>
      <c r="H7" s="239"/>
      <c r="I7" s="240"/>
    </row>
    <row r="8" spans="1:12" ht="12.75">
      <c r="A8" s="3352" t="s">
        <v>12</v>
      </c>
      <c r="B8" s="3369">
        <v>15</v>
      </c>
      <c r="C8" s="3364"/>
      <c r="D8" s="3382"/>
      <c r="E8" s="272" t="s">
        <v>716</v>
      </c>
      <c r="F8" s="239"/>
      <c r="G8" s="239"/>
      <c r="H8" s="239"/>
      <c r="I8" s="240"/>
    </row>
    <row r="9" spans="1:12" ht="12.75">
      <c r="A9" s="3352"/>
      <c r="B9" s="3369"/>
      <c r="C9" s="3365"/>
      <c r="D9" s="3382"/>
      <c r="E9" s="272" t="s">
        <v>717</v>
      </c>
      <c r="F9" s="239"/>
      <c r="G9" s="239"/>
      <c r="H9" s="239"/>
      <c r="I9" s="240"/>
    </row>
    <row r="10" spans="1:12" ht="12.75">
      <c r="A10" s="3352" t="s">
        <v>13</v>
      </c>
      <c r="B10" s="3369">
        <v>15</v>
      </c>
      <c r="C10" s="3364"/>
      <c r="D10" s="3382"/>
      <c r="E10" s="272" t="s">
        <v>718</v>
      </c>
      <c r="F10" s="239"/>
      <c r="G10" s="239"/>
      <c r="H10" s="239"/>
      <c r="I10" s="240"/>
    </row>
    <row r="11" spans="1:12" ht="12.75">
      <c r="A11" s="3352"/>
      <c r="B11" s="3369"/>
      <c r="C11" s="3365"/>
      <c r="D11" s="3382"/>
      <c r="E11" s="272" t="s">
        <v>719</v>
      </c>
      <c r="F11" s="239"/>
      <c r="G11" s="239"/>
      <c r="H11" s="239"/>
      <c r="I11" s="240"/>
    </row>
    <row r="12" spans="1:12" ht="12.75">
      <c r="A12" s="3352" t="s">
        <v>14</v>
      </c>
      <c r="B12" s="3369">
        <v>15</v>
      </c>
      <c r="C12" s="3364"/>
      <c r="D12" s="3382"/>
      <c r="E12" s="272" t="s">
        <v>720</v>
      </c>
      <c r="F12" s="239"/>
      <c r="G12" s="239"/>
      <c r="H12" s="239"/>
      <c r="I12" s="240"/>
    </row>
    <row r="13" spans="1:12" ht="12.75">
      <c r="A13" s="3352"/>
      <c r="B13" s="3369"/>
      <c r="C13" s="3365"/>
      <c r="D13" s="3382"/>
      <c r="E13" s="272" t="s">
        <v>721</v>
      </c>
      <c r="F13" s="239"/>
      <c r="G13" s="239"/>
      <c r="H13" s="239"/>
      <c r="I13" s="240"/>
    </row>
    <row r="14" spans="1:12" ht="12.75">
      <c r="A14" s="3352" t="s">
        <v>15</v>
      </c>
      <c r="B14" s="3369">
        <v>30</v>
      </c>
      <c r="C14" s="3364">
        <v>8</v>
      </c>
      <c r="D14" s="3382">
        <f>10-C14</f>
        <v>2</v>
      </c>
      <c r="E14" s="272" t="s">
        <v>722</v>
      </c>
      <c r="F14" s="239"/>
      <c r="G14" s="239"/>
      <c r="H14" s="239"/>
      <c r="I14" s="240"/>
    </row>
    <row r="15" spans="1:12" ht="12.75">
      <c r="A15" s="3352"/>
      <c r="B15" s="3369"/>
      <c r="C15" s="3385"/>
      <c r="D15" s="3382"/>
      <c r="E15" s="272" t="s">
        <v>723</v>
      </c>
      <c r="F15" s="239"/>
      <c r="G15" s="239"/>
      <c r="H15" s="239"/>
      <c r="I15" s="240"/>
    </row>
    <row r="16" spans="1:12" ht="12.75">
      <c r="A16" s="3352"/>
      <c r="B16" s="3369"/>
      <c r="C16" s="3365"/>
      <c r="D16" s="3382"/>
      <c r="E16" s="272" t="s">
        <v>724</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185</v>
      </c>
      <c r="B19" s="244" t="s">
        <v>18</v>
      </c>
      <c r="C19" s="275">
        <f ca="1">SUMIF(INDIRECT("'"&amp;C4&amp;"'"&amp;"!A:A"),'结果表 (1修多)'!B19,INDIRECT("'"&amp;C4&amp;"'"&amp;"!B:B"))</f>
        <v>154</v>
      </c>
      <c r="D19" s="276">
        <f ca="1">SUMIF(INDIRECT("'"&amp;D4&amp;"'"&amp;"!A:A"),'结果表 (1修多)'!B19,INDIRECT("'"&amp;D4&amp;"'"&amp;"!B:B"))</f>
        <v>88</v>
      </c>
      <c r="E19" s="243" t="s">
        <v>184</v>
      </c>
      <c r="F19" s="244" t="s">
        <v>18</v>
      </c>
      <c r="G19" s="277">
        <f ca="1">ROUND(C19*$C$18+D19*$D$18,0)</f>
        <v>141</v>
      </c>
      <c r="H19" s="2014" t="str">
        <f>'数据-取费表'!B3</f>
        <v>万元</v>
      </c>
      <c r="I19" s="1059"/>
    </row>
    <row r="20" spans="1:35" ht="14.25">
      <c r="A20" s="245"/>
      <c r="B20" s="246" t="s">
        <v>19</v>
      </c>
      <c r="C20" s="278">
        <f ca="1">SUMIF(INDIRECT("'"&amp;C4&amp;"'"&amp;"!A:A"),'结果表 (1修多)'!B20,INDIRECT("'"&amp;C4&amp;"'"&amp;"!B:B"))</f>
        <v>17426</v>
      </c>
      <c r="D20" s="279">
        <f ca="1">SUMIF(INDIRECT("'"&amp;D4&amp;"'"&amp;"!A:A"),'结果表 (1修多)'!B20,INDIRECT("'"&amp;D4&amp;"'"&amp;"!B:B"))</f>
        <v>9958</v>
      </c>
      <c r="E20" s="245"/>
      <c r="F20" s="246" t="s">
        <v>19</v>
      </c>
      <c r="G20" s="280">
        <f ca="1">ROUND(C20*$C$18+D20*$D$18,0)</f>
        <v>15932</v>
      </c>
      <c r="H20" s="247" t="s">
        <v>237</v>
      </c>
      <c r="I20" s="1059"/>
    </row>
    <row r="21" spans="1:35" ht="15" customHeight="1" thickBot="1">
      <c r="A21" s="248"/>
      <c r="B21" s="249"/>
      <c r="C21" s="1210"/>
      <c r="D21" s="1211"/>
      <c r="E21" s="248"/>
      <c r="F21" s="249"/>
      <c r="G21" s="281"/>
      <c r="H21" s="250"/>
      <c r="I21" s="1059"/>
    </row>
    <row r="22" spans="1:35" ht="15" thickBot="1">
      <c r="A22" s="173" t="s">
        <v>186</v>
      </c>
      <c r="B22" s="1212"/>
      <c r="C22" s="1213"/>
      <c r="D22" s="1214">
        <f ca="1">IF(C19&lt;D19,D19/C19-1,C19/D19-1)</f>
        <v>0.75</v>
      </c>
      <c r="E22" s="1059"/>
      <c r="F22" s="1059"/>
      <c r="G22" s="1059"/>
      <c r="H22" s="1059"/>
      <c r="I22" s="1059"/>
    </row>
    <row r="23" spans="1:35" ht="12.75" thickBot="1">
      <c r="A23" s="1059"/>
      <c r="B23" s="1059"/>
      <c r="C23" s="1059"/>
      <c r="D23" s="1059"/>
      <c r="E23" s="1059"/>
      <c r="F23" s="1059"/>
      <c r="G23" s="1059"/>
      <c r="H23" s="1059"/>
      <c r="I23" s="1059"/>
    </row>
    <row r="24" spans="1:35" ht="21.75" customHeight="1">
      <c r="A24" s="3391" t="s">
        <v>182</v>
      </c>
      <c r="B24" s="244" t="s">
        <v>18</v>
      </c>
      <c r="C24" s="277">
        <f>D30</f>
        <v>0</v>
      </c>
      <c r="D24" s="251"/>
      <c r="E24" s="1059"/>
      <c r="F24" s="1059"/>
      <c r="G24" s="1059"/>
      <c r="H24" s="1059"/>
      <c r="I24" s="1059"/>
    </row>
    <row r="25" spans="1:35" ht="21.75" customHeight="1">
      <c r="A25" s="3392"/>
      <c r="B25" s="246" t="s">
        <v>19</v>
      </c>
      <c r="C25" s="282">
        <f>IF(B30=0,0,C30)</f>
        <v>0</v>
      </c>
      <c r="D25" s="252"/>
      <c r="E25" s="1059"/>
      <c r="F25" s="1059"/>
      <c r="G25" s="1059"/>
      <c r="H25" s="1059"/>
      <c r="I25" s="1059"/>
    </row>
    <row r="26" spans="1:35" ht="13.5" customHeight="1">
      <c r="A26" s="253" t="s">
        <v>183</v>
      </c>
      <c r="B26" s="254" t="s">
        <v>120</v>
      </c>
      <c r="C26" s="254" t="s">
        <v>121</v>
      </c>
      <c r="D26" s="255" t="s">
        <v>122</v>
      </c>
      <c r="E26" s="1059"/>
      <c r="F26" s="1059"/>
      <c r="G26" s="1059"/>
      <c r="H26" s="1059"/>
      <c r="I26" s="1059"/>
    </row>
    <row r="27" spans="1:35" ht="14.25">
      <c r="A27" s="2880" t="s">
        <v>2760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4" t="s">
        <v>181</v>
      </c>
      <c r="B30" s="2045">
        <f>SUM(B27:B29)</f>
        <v>0</v>
      </c>
      <c r="C30" s="2045" t="e">
        <f>ROUND(D30*10000/B30,0)</f>
        <v>#DIV/0!</v>
      </c>
      <c r="D30" s="2045">
        <f>SUM(D27:D29)</f>
        <v>0</v>
      </c>
      <c r="E30" s="1059"/>
      <c r="F30" s="1059"/>
      <c r="G30" s="1059"/>
      <c r="H30" s="1059"/>
      <c r="I30" s="1059"/>
    </row>
    <row r="31" spans="1:35" s="1061" customFormat="1" ht="14.25" thickBot="1">
      <c r="A31" s="3453" t="s">
        <v>2215</v>
      </c>
      <c r="B31" s="3453"/>
      <c r="C31" s="3453"/>
      <c r="D31" s="3453"/>
      <c r="E31" s="3453"/>
      <c r="F31" s="3453"/>
      <c r="G31" s="3453"/>
      <c r="H31" s="3453"/>
      <c r="I31" s="3453"/>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0"/>
      <c r="B32" s="2291" t="s">
        <v>2267</v>
      </c>
      <c r="C32" s="2292">
        <f ca="1">典型户型修正!R27</f>
        <v>15932</v>
      </c>
      <c r="D32" s="1059" t="s">
        <v>2268</v>
      </c>
      <c r="E32" s="1059"/>
      <c r="F32" s="1059"/>
      <c r="G32" s="1059"/>
      <c r="H32" s="1059"/>
      <c r="I32" s="1059"/>
    </row>
    <row r="33" spans="1:16" ht="14.25">
      <c r="A33" s="2293" t="s">
        <v>2269</v>
      </c>
      <c r="B33" s="2289" t="s">
        <v>2270</v>
      </c>
      <c r="C33" s="2294">
        <f ca="1">典型户型修正!B2</f>
        <v>143304</v>
      </c>
      <c r="D33" s="2288" t="str">
        <f>IF('数据-取费表'!B3="万元","万元","元")</f>
        <v>万元</v>
      </c>
      <c r="E33" s="1059"/>
      <c r="F33" s="1059"/>
      <c r="G33" s="1059"/>
      <c r="H33" s="1059"/>
      <c r="I33" s="1059"/>
    </row>
    <row r="34" spans="1:16" ht="15" thickBot="1">
      <c r="A34" s="2295"/>
      <c r="B34" s="2296" t="s">
        <v>2271</v>
      </c>
      <c r="C34" s="1211">
        <f ca="1">典型户型修正!B3</f>
        <v>16277</v>
      </c>
      <c r="D34" s="1059" t="s">
        <v>2268</v>
      </c>
      <c r="E34" s="1059"/>
      <c r="F34" s="1059"/>
      <c r="G34" s="1059"/>
      <c r="H34" s="1059"/>
      <c r="I34" s="1059"/>
    </row>
    <row r="35" spans="1:16" ht="15">
      <c r="A35" s="2307"/>
      <c r="B35" s="2308" t="s">
        <v>674</v>
      </c>
      <c r="C35" s="2309">
        <f>IF('数据-取费表'!B3="万元",典型户型修正!V25,典型户型修正!U25)</f>
        <v>0</v>
      </c>
      <c r="D35" s="1059" t="str">
        <f>D33</f>
        <v>万元</v>
      </c>
      <c r="E35" s="1059"/>
      <c r="F35" s="1059"/>
      <c r="G35" s="1059"/>
      <c r="H35" s="1059"/>
      <c r="I35" s="1059"/>
    </row>
    <row r="36" spans="1:16" ht="15.75" thickBot="1">
      <c r="A36" s="262"/>
      <c r="B36" s="2310" t="s">
        <v>676</v>
      </c>
      <c r="C36" s="2311">
        <f>IF('数据-取费表'!B3="万元",典型户型修正!Y25,典型户型修正!X25)</f>
        <v>0</v>
      </c>
      <c r="D36" s="1059" t="str">
        <f>D33</f>
        <v>万元</v>
      </c>
      <c r="E36" s="1059"/>
      <c r="F36" s="1059"/>
      <c r="G36" s="1059"/>
      <c r="H36" s="1059"/>
      <c r="I36" s="1059"/>
    </row>
    <row r="37" spans="1:16" ht="15.75" thickBot="1">
      <c r="A37" s="3366" t="s">
        <v>672</v>
      </c>
      <c r="B37" s="258" t="s">
        <v>673</v>
      </c>
      <c r="C37" s="286"/>
      <c r="D37" s="1888"/>
      <c r="E37" s="1794"/>
      <c r="F37" s="1794"/>
      <c r="G37" s="1059"/>
      <c r="H37" s="1059"/>
      <c r="I37" s="1059"/>
    </row>
    <row r="38" spans="1:16" ht="15.75" thickBot="1">
      <c r="A38" s="3367"/>
      <c r="B38" s="5" t="s">
        <v>675</v>
      </c>
      <c r="C38" s="288"/>
      <c r="D38" s="8"/>
      <c r="E38" s="8"/>
      <c r="F38" s="1794"/>
      <c r="G38" s="8"/>
      <c r="H38" s="8"/>
      <c r="I38" s="8"/>
    </row>
    <row r="39" spans="1:16" ht="15.75" thickBot="1">
      <c r="A39" s="3368"/>
      <c r="B39" s="261" t="s">
        <v>677</v>
      </c>
      <c r="C39" s="1001"/>
      <c r="D39" s="1062" t="s">
        <v>678</v>
      </c>
      <c r="E39" s="8"/>
      <c r="F39" s="1794"/>
      <c r="G39" s="8"/>
      <c r="H39" s="8"/>
      <c r="I39" s="8"/>
    </row>
    <row r="40" spans="1:16" ht="13.5">
      <c r="A40" s="245" t="s">
        <v>679</v>
      </c>
      <c r="B40" s="264" t="s">
        <v>120</v>
      </c>
      <c r="C40" s="265" t="s">
        <v>121</v>
      </c>
      <c r="D40" s="265" t="s">
        <v>682</v>
      </c>
      <c r="E40" s="266" t="s">
        <v>122</v>
      </c>
      <c r="F40" s="1794"/>
      <c r="G40" s="8"/>
      <c r="H40" s="8"/>
      <c r="I40" s="8"/>
    </row>
    <row r="41" spans="1:16" ht="13.5">
      <c r="A41" s="1063" t="s">
        <v>684</v>
      </c>
      <c r="B41" s="291"/>
      <c r="C41" s="292"/>
      <c r="D41" s="292"/>
      <c r="E41" s="293"/>
      <c r="F41" s="1794"/>
      <c r="G41" s="8"/>
      <c r="H41" s="8"/>
      <c r="I41" s="8"/>
    </row>
    <row r="42" spans="1:16" ht="13.5">
      <c r="A42" s="1063" t="s">
        <v>685</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hidden="1">
      <c r="A45" s="1067" t="s">
        <v>686</v>
      </c>
      <c r="B45" s="1068"/>
      <c r="C45" s="1068"/>
      <c r="D45" s="1069"/>
      <c r="E45" s="1069"/>
      <c r="F45" s="1070"/>
      <c r="G45" s="1070"/>
      <c r="H45" s="1070"/>
      <c r="I45" s="1070"/>
      <c r="J45" s="1227" t="s">
        <v>213</v>
      </c>
      <c r="K45" s="1228"/>
      <c r="L45" s="1228"/>
      <c r="M45" s="1228"/>
      <c r="N45" s="1228"/>
      <c r="O45" s="1228"/>
      <c r="P45" s="1226"/>
    </row>
    <row r="46" spans="1:16" ht="14.25" hidden="1" customHeight="1" thickBot="1">
      <c r="A46" s="3373" t="s">
        <v>705</v>
      </c>
      <c r="B46" s="3374"/>
      <c r="C46" s="3375"/>
      <c r="D46" s="297">
        <f ca="1">ROUND(I103*F46,0)</f>
        <v>143304</v>
      </c>
      <c r="E46" s="298" t="s">
        <v>706</v>
      </c>
      <c r="F46" s="299">
        <v>1</v>
      </c>
      <c r="G46" s="300" t="s">
        <v>707</v>
      </c>
      <c r="H46" s="1059"/>
      <c r="I46" s="1059"/>
      <c r="J46" s="3445" t="s">
        <v>214</v>
      </c>
      <c r="K46" s="3445"/>
      <c r="L46" s="3445"/>
      <c r="M46" s="3445"/>
      <c r="N46" s="3445"/>
      <c r="O46" s="3445"/>
      <c r="P46" s="1226"/>
    </row>
    <row r="47" spans="1:16" ht="14.25" hidden="1" customHeight="1">
      <c r="A47" s="3356" t="s">
        <v>298</v>
      </c>
      <c r="B47" s="3357"/>
      <c r="C47" s="3357"/>
      <c r="D47" s="3357"/>
      <c r="E47" s="3357"/>
      <c r="F47" s="3357"/>
      <c r="G47" s="3358"/>
      <c r="H47" s="1071"/>
      <c r="I47" s="1025"/>
      <c r="J47" s="3027">
        <v>1</v>
      </c>
      <c r="K47" s="3445" t="s">
        <v>215</v>
      </c>
      <c r="L47" s="3445"/>
      <c r="M47" s="3463"/>
      <c r="N47" s="3463"/>
      <c r="O47" s="3463"/>
      <c r="P47" s="1226"/>
    </row>
    <row r="48" spans="1:16" ht="12" hidden="1" customHeight="1">
      <c r="A48" s="302" t="s">
        <v>299</v>
      </c>
      <c r="B48" s="303"/>
      <c r="C48" s="304"/>
      <c r="D48" s="305" t="s">
        <v>300</v>
      </c>
      <c r="E48" s="197" t="s">
        <v>301</v>
      </c>
      <c r="F48" s="306" t="s">
        <v>708</v>
      </c>
      <c r="G48" s="307" t="s">
        <v>709</v>
      </c>
      <c r="H48" s="1071"/>
      <c r="I48" s="1025"/>
      <c r="J48" s="3027">
        <v>2</v>
      </c>
      <c r="K48" s="3445" t="s">
        <v>216</v>
      </c>
      <c r="L48" s="3445"/>
      <c r="M48" s="3447">
        <f>'数据-取费表'!B2</f>
        <v>42916</v>
      </c>
      <c r="N48" s="3447"/>
      <c r="O48" s="3447"/>
      <c r="P48" s="1226"/>
    </row>
    <row r="49" spans="1:16" ht="25.5" hidden="1">
      <c r="A49" s="3370" t="s">
        <v>302</v>
      </c>
      <c r="B49" s="3371"/>
      <c r="C49" s="3371"/>
      <c r="D49" s="272">
        <f ca="1">IF(H49="情况1",0,IF(H49="情况2",D53,IF(H49="情况3",D54,IF(H49="情况4",D55))))</f>
        <v>7643</v>
      </c>
      <c r="E49" s="2033" t="str">
        <f>IF(H49="情况4","(销售额-原购置价)×税（费）率","销售额×税（费）率")</f>
        <v>销售额×税（费）率</v>
      </c>
      <c r="F49" s="308">
        <f>IF(H49="情况1","免征",'数据-取费表'!E29)</f>
        <v>5.6000000000000001E-2</v>
      </c>
      <c r="G49" s="267" t="s">
        <v>173</v>
      </c>
      <c r="H49" s="1220" t="s">
        <v>1041</v>
      </c>
      <c r="I49" s="1071"/>
      <c r="J49" s="3027">
        <v>3</v>
      </c>
      <c r="K49" s="3445" t="s">
        <v>688</v>
      </c>
      <c r="L49" s="3445"/>
      <c r="M49" s="3448">
        <f ca="1">I103</f>
        <v>143304</v>
      </c>
      <c r="N49" s="3448"/>
      <c r="O49" s="3448"/>
      <c r="P49" s="1226"/>
    </row>
    <row r="50" spans="1:16" ht="25.5" hidden="1" customHeight="1">
      <c r="A50" s="309" t="s">
        <v>303</v>
      </c>
      <c r="B50" s="3361" t="s">
        <v>711</v>
      </c>
      <c r="C50" s="3361"/>
      <c r="D50" s="310">
        <v>0</v>
      </c>
      <c r="E50" s="196" t="s">
        <v>304</v>
      </c>
      <c r="F50" s="201" t="s">
        <v>176</v>
      </c>
      <c r="G50" s="3438"/>
      <c r="H50" s="1059"/>
      <c r="I50" s="1072"/>
      <c r="J50" s="3027">
        <v>4</v>
      </c>
      <c r="K50" s="3445" t="str">
        <f>IF(项目基本情况!F5="房地产抵押价值","房地产抵押价值","抵押担保权已注销时的房地产抵押价值")</f>
        <v>房地产抵押价值</v>
      </c>
      <c r="L50" s="3445"/>
      <c r="M50" s="3448" t="str">
        <f>IF(项目基本情况!E8="房地产抵押价值",I111,I113)</f>
        <v>——</v>
      </c>
      <c r="N50" s="3448"/>
      <c r="O50" s="3448"/>
      <c r="P50" s="1226"/>
    </row>
    <row r="51" spans="1:16" ht="25.5" hidden="1" customHeight="1">
      <c r="A51" s="311"/>
      <c r="B51" s="3361" t="s">
        <v>305</v>
      </c>
      <c r="C51" s="3361"/>
      <c r="D51" s="312"/>
      <c r="E51" s="204"/>
      <c r="F51" s="313"/>
      <c r="G51" s="3439"/>
      <c r="H51" s="1059"/>
      <c r="I51" s="1072"/>
      <c r="J51" s="3445" t="s">
        <v>217</v>
      </c>
      <c r="K51" s="3445"/>
      <c r="L51" s="3445"/>
      <c r="M51" s="3445"/>
      <c r="N51" s="3445"/>
      <c r="O51" s="3445"/>
      <c r="P51" s="1226"/>
    </row>
    <row r="52" spans="1:16" ht="12" hidden="1" customHeight="1">
      <c r="A52" s="314"/>
      <c r="B52" s="3361" t="s">
        <v>306</v>
      </c>
      <c r="C52" s="3361"/>
      <c r="D52" s="315"/>
      <c r="E52" s="203"/>
      <c r="F52" s="313"/>
      <c r="G52" s="3440"/>
      <c r="H52" s="1059"/>
      <c r="I52" s="1072"/>
      <c r="J52" s="3025" t="s">
        <v>218</v>
      </c>
      <c r="K52" s="3445" t="s">
        <v>219</v>
      </c>
      <c r="L52" s="3445"/>
      <c r="M52" s="3025" t="s">
        <v>220</v>
      </c>
      <c r="N52" s="3025" t="s">
        <v>221</v>
      </c>
      <c r="O52" s="3025" t="s">
        <v>222</v>
      </c>
      <c r="P52" s="1226"/>
    </row>
    <row r="53" spans="1:16" ht="24" hidden="1" customHeight="1">
      <c r="A53" s="316" t="s">
        <v>307</v>
      </c>
      <c r="B53" s="3361" t="s">
        <v>308</v>
      </c>
      <c r="C53" s="3361"/>
      <c r="D53" s="315">
        <f ca="1">ROUND(D46*'数据-取费表'!E29/(1+'数据-取费表'!F30),0)</f>
        <v>7643</v>
      </c>
      <c r="E53" s="193" t="s">
        <v>309</v>
      </c>
      <c r="F53" s="317">
        <f>'数据-取费表'!E29</f>
        <v>5.6000000000000001E-2</v>
      </c>
      <c r="G53" s="268"/>
      <c r="H53" s="1059"/>
      <c r="I53" s="1072"/>
      <c r="J53" s="3027">
        <v>1</v>
      </c>
      <c r="K53" s="3402" t="s">
        <v>689</v>
      </c>
      <c r="L53" s="3402"/>
      <c r="M53" s="1229">
        <f ca="1">D49</f>
        <v>7643</v>
      </c>
      <c r="N53" s="3026" t="str">
        <f>E49</f>
        <v>销售额×税（费）率</v>
      </c>
      <c r="O53" s="1230">
        <f>F49</f>
        <v>5.6000000000000001E-2</v>
      </c>
      <c r="P53" s="1226"/>
    </row>
    <row r="54" spans="1:16" ht="12" hidden="1" customHeight="1">
      <c r="A54" s="316" t="s">
        <v>310</v>
      </c>
      <c r="B54" s="3362" t="s">
        <v>311</v>
      </c>
      <c r="C54" s="3363"/>
      <c r="D54" s="315">
        <f ca="1">ROUND(D46*'数据-取费表'!E29/(1+'数据-取费表'!F30),0)</f>
        <v>7643</v>
      </c>
      <c r="E54" s="193" t="s">
        <v>309</v>
      </c>
      <c r="F54" s="317">
        <f>'数据-取费表'!E29</f>
        <v>5.6000000000000001E-2</v>
      </c>
      <c r="G54" s="268"/>
      <c r="H54" s="1059"/>
      <c r="I54" s="1072"/>
      <c r="J54" s="3027">
        <v>2</v>
      </c>
      <c r="K54" s="3402" t="s">
        <v>690</v>
      </c>
      <c r="L54" s="3402"/>
      <c r="M54" s="1229">
        <f t="shared" ref="M54:O55" ca="1" si="1">D56</f>
        <v>72</v>
      </c>
      <c r="N54" s="3026" t="str">
        <f t="shared" si="1"/>
        <v>销售额×税（费）率</v>
      </c>
      <c r="O54" s="1230">
        <f t="shared" si="1"/>
        <v>5.0000000000000001E-4</v>
      </c>
      <c r="P54" s="1226"/>
    </row>
    <row r="55" spans="1:16" ht="12" hidden="1" customHeight="1">
      <c r="A55" s="316" t="s">
        <v>312</v>
      </c>
      <c r="B55" s="3362" t="s">
        <v>313</v>
      </c>
      <c r="C55" s="3363"/>
      <c r="D55" s="315">
        <f ca="1">C69</f>
        <v>7643</v>
      </c>
      <c r="E55" s="203" t="s">
        <v>314</v>
      </c>
      <c r="F55" s="317">
        <f>'数据-取费表'!E29</f>
        <v>5.6000000000000001E-2</v>
      </c>
      <c r="G55" s="268"/>
      <c r="H55" s="1073"/>
      <c r="I55" s="1072"/>
      <c r="J55" s="3027">
        <v>3</v>
      </c>
      <c r="K55" s="3402" t="s">
        <v>691</v>
      </c>
      <c r="L55" s="3402"/>
      <c r="M55" s="1229">
        <f t="shared" ca="1" si="1"/>
        <v>81110</v>
      </c>
      <c r="N55" s="3026" t="str">
        <f t="shared" si="1"/>
        <v>增值额×税（费）率</v>
      </c>
      <c r="O55" s="1231" t="str">
        <f t="shared" si="1"/>
        <v>——</v>
      </c>
      <c r="P55" s="1226"/>
    </row>
    <row r="56" spans="1:16" ht="24" hidden="1" customHeight="1">
      <c r="A56" s="3376" t="s">
        <v>315</v>
      </c>
      <c r="B56" s="3371"/>
      <c r="C56" s="3371"/>
      <c r="D56" s="318">
        <f ca="1">IF(H56="个人住宅",0,ROUND(D46*I56,0))</f>
        <v>72</v>
      </c>
      <c r="E56" s="193" t="s">
        <v>316</v>
      </c>
      <c r="F56" s="317">
        <f>IF(H56="正常",I56,"免征")</f>
        <v>5.0000000000000001E-4</v>
      </c>
      <c r="G56" s="268"/>
      <c r="H56" s="1220" t="s">
        <v>156</v>
      </c>
      <c r="I56" s="319">
        <f>'数据-取费表'!E37</f>
        <v>5.0000000000000001E-4</v>
      </c>
      <c r="J56" s="3027" t="str">
        <f>IF(H60="非个人房产","",4)</f>
        <v/>
      </c>
      <c r="K56" s="3402" t="str">
        <f>IF(H60="非个人房产","——","个人所得税")</f>
        <v>——</v>
      </c>
      <c r="L56" s="3402"/>
      <c r="M56" s="1232" t="str">
        <f>D60</f>
        <v>——</v>
      </c>
      <c r="N56" s="1233" t="str">
        <f>E60</f>
        <v>——</v>
      </c>
      <c r="O56" s="1234" t="str">
        <f>F60</f>
        <v>——</v>
      </c>
      <c r="P56" s="1226"/>
    </row>
    <row r="57" spans="1:16" ht="24.75" hidden="1">
      <c r="A57" s="3376" t="s">
        <v>317</v>
      </c>
      <c r="B57" s="3371"/>
      <c r="C57" s="3371"/>
      <c r="D57" s="318">
        <f ca="1">IF(H57="个人住宅",D58,D59)</f>
        <v>81110</v>
      </c>
      <c r="E57" s="193" t="s">
        <v>318</v>
      </c>
      <c r="F57" s="317" t="str">
        <f>IF(H57="正常",F59,"免征")</f>
        <v>——</v>
      </c>
      <c r="G57" s="1074" t="s">
        <v>173</v>
      </c>
      <c r="H57" s="1219" t="s">
        <v>156</v>
      </c>
      <c r="I57" s="167"/>
      <c r="J57" s="3027" t="str">
        <f>IF(项目基本情况!I6="上海银行",IF(J56="",4,J56+1),"")</f>
        <v/>
      </c>
      <c r="K57" s="3421" t="str">
        <f>IF(项目基本情况!I6="上海银行","其他处置费用","")</f>
        <v/>
      </c>
      <c r="L57" s="3422"/>
      <c r="M57" s="1229" t="str">
        <f>IF(项目基本情况!I6="上海银行",M70,"")</f>
        <v/>
      </c>
      <c r="N57" s="3436" t="str">
        <f>IF(项目基本情况!I6="上海银行","包含处置中涉及的律师、诉讼、拍卖、评估等费用","")</f>
        <v/>
      </c>
      <c r="O57" s="3437"/>
      <c r="P57" s="1226"/>
    </row>
    <row r="58" spans="1:16" ht="12.75" hidden="1">
      <c r="A58" s="316" t="s">
        <v>303</v>
      </c>
      <c r="B58" s="3359" t="s">
        <v>319</v>
      </c>
      <c r="C58" s="3372"/>
      <c r="D58" s="320">
        <v>0</v>
      </c>
      <c r="E58" s="196" t="s">
        <v>304</v>
      </c>
      <c r="F58" s="287"/>
      <c r="G58" s="268"/>
      <c r="H58" s="167"/>
      <c r="I58" s="167"/>
      <c r="J58" s="3451">
        <f>IF(AND(J56="",J57=""),4,IF(项目基本情况!I6="上海银行",J57+1,J56+1))</f>
        <v>4</v>
      </c>
      <c r="K58" s="3402" t="s">
        <v>181</v>
      </c>
      <c r="L58" s="1235" t="s">
        <v>223</v>
      </c>
      <c r="M58" s="1236"/>
      <c r="N58" s="1237">
        <f ca="1">SUMIF(M53:M57,"&lt;9e307")</f>
        <v>88825</v>
      </c>
      <c r="O58" s="1238"/>
      <c r="P58" s="3028" t="e">
        <f ca="1">N58/M50</f>
        <v>#VALUE!</v>
      </c>
    </row>
    <row r="59" spans="1:16" ht="24.75" hidden="1">
      <c r="A59" s="316" t="s">
        <v>307</v>
      </c>
      <c r="B59" s="3359" t="s">
        <v>320</v>
      </c>
      <c r="C59" s="3360"/>
      <c r="D59" s="318">
        <f ca="1">IF(H59="转让取得",C82,C98)</f>
        <v>81110</v>
      </c>
      <c r="E59" s="193" t="s">
        <v>318</v>
      </c>
      <c r="F59" s="197" t="s">
        <v>176</v>
      </c>
      <c r="G59" s="268"/>
      <c r="H59" s="1219" t="s">
        <v>1040</v>
      </c>
      <c r="I59" s="167"/>
      <c r="J59" s="3451"/>
      <c r="K59" s="3402"/>
      <c r="L59" s="1235" t="s">
        <v>224</v>
      </c>
      <c r="M59" s="1239"/>
      <c r="N59" s="1240" t="str">
        <f ca="1">IF(H19="元",NUMBERSTRING(INT(N58),2)&amp;"元整",NUMBERSTRING(INT(N58*10000),2)&amp;"元整")</f>
        <v>捌亿捌仟捌佰贰拾伍万元整</v>
      </c>
      <c r="O59" s="1241"/>
      <c r="P59" s="1226"/>
    </row>
    <row r="60" spans="1:16" ht="24.75" hidden="1" thickBot="1">
      <c r="A60" s="3377" t="s">
        <v>321</v>
      </c>
      <c r="B60" s="3378"/>
      <c r="C60" s="3378"/>
      <c r="D60" s="321" t="str">
        <f>IF(H60="非个人房产","——",IF(H60="个人住宅",0,ROUND(D46*I60,0)))</f>
        <v>——</v>
      </c>
      <c r="E60" s="322" t="str">
        <f>IF(H60="非个人房产","——","销售额×税（费）率")</f>
        <v>——</v>
      </c>
      <c r="F60" s="323" t="str">
        <f>IF(H60="非个人房产","——",IF(H60="个人住宅","免征",I60))</f>
        <v>——</v>
      </c>
      <c r="G60" s="1075" t="s">
        <v>173</v>
      </c>
      <c r="H60" s="1219" t="s">
        <v>1039</v>
      </c>
      <c r="I60" s="324">
        <v>0.01</v>
      </c>
      <c r="J60" s="3400">
        <f>J58+1</f>
        <v>5</v>
      </c>
      <c r="K60" s="3402" t="s">
        <v>177</v>
      </c>
      <c r="L60" s="3026" t="s">
        <v>223</v>
      </c>
      <c r="M60" s="1242"/>
      <c r="N60" s="1243" t="e">
        <f ca="1">M50-N58</f>
        <v>#VALUE!</v>
      </c>
      <c r="O60" s="1244"/>
      <c r="P60" s="1226"/>
    </row>
    <row r="61" spans="1:16" ht="12" hidden="1" customHeight="1">
      <c r="A61" s="1715"/>
      <c r="B61" s="1059"/>
      <c r="C61" s="1059"/>
      <c r="D61" s="1059"/>
      <c r="E61" s="167"/>
      <c r="F61" s="167"/>
      <c r="G61" s="167"/>
      <c r="H61" s="168"/>
      <c r="I61" s="1059"/>
      <c r="J61" s="3401"/>
      <c r="K61" s="3402"/>
      <c r="L61" s="1235" t="s">
        <v>224</v>
      </c>
      <c r="M61" s="1239"/>
      <c r="N61" s="1240" t="e">
        <f ca="1">IF(H19="元",NUMBERSTRING(INT(N60),2)&amp;"元整",NUMBERSTRING(INT(N60*10000),2)&amp;"元整")</f>
        <v>#VALUE!</v>
      </c>
      <c r="O61" s="1241"/>
      <c r="P61" s="1226"/>
    </row>
    <row r="62" spans="1:16" ht="13.5" hidden="1" thickBot="1">
      <c r="A62" s="3379" t="s">
        <v>322</v>
      </c>
      <c r="B62" s="3379"/>
      <c r="C62" s="3379"/>
      <c r="D62" s="3379"/>
      <c r="E62" s="3379"/>
      <c r="F62" s="167"/>
      <c r="G62" s="167"/>
      <c r="H62" s="168"/>
      <c r="I62" s="1059"/>
      <c r="J62" s="3027">
        <f>J60+1</f>
        <v>6</v>
      </c>
      <c r="K62" s="3402" t="s">
        <v>225</v>
      </c>
      <c r="L62" s="3402"/>
      <c r="M62" s="1245"/>
      <c r="N62" s="1246" t="e">
        <f ca="1">IF(H19="元",ROUND(N60/项目基本情况!C12,0),ROUND(N60*10000/项目基本情况!C12,0))</f>
        <v>#VALUE!</v>
      </c>
      <c r="O62" s="1247"/>
      <c r="P62" s="1226"/>
    </row>
    <row r="63" spans="1:16" ht="12.75" hidden="1">
      <c r="A63" s="3389" t="s">
        <v>323</v>
      </c>
      <c r="B63" s="3390"/>
      <c r="C63" s="2034"/>
      <c r="D63" s="2034" t="s">
        <v>331</v>
      </c>
      <c r="E63" s="325" t="s">
        <v>332</v>
      </c>
      <c r="F63" s="167"/>
      <c r="G63" s="167"/>
      <c r="H63" s="168"/>
      <c r="I63" s="1059"/>
      <c r="J63" s="1226"/>
      <c r="K63" s="1226"/>
      <c r="L63" s="1226"/>
      <c r="M63" s="1226"/>
      <c r="N63" s="1226"/>
      <c r="O63" s="1226"/>
      <c r="P63" s="1226"/>
    </row>
    <row r="64" spans="1:16" ht="12.75" hidden="1">
      <c r="A64" s="326">
        <v>1</v>
      </c>
      <c r="B64" s="327" t="s">
        <v>324</v>
      </c>
      <c r="C64" s="328">
        <f ca="1">ROUND((C65+C66)/(1+'数据-取费表'!F30),0)</f>
        <v>136480</v>
      </c>
      <c r="D64" s="329"/>
      <c r="E64" s="330"/>
      <c r="F64" s="167"/>
      <c r="G64" s="167"/>
      <c r="H64" s="168"/>
      <c r="I64" s="1059"/>
      <c r="J64" s="3423" t="s">
        <v>2845</v>
      </c>
      <c r="K64" s="3032" t="s">
        <v>2846</v>
      </c>
      <c r="L64" s="3033" t="e">
        <f>IF(M50&gt;10000,M50*0.5%,IF(AND(M50&gt;1000,M50&lt;=10000),M50*1%,IF(AND(M50&gt;100,M50&lt;=1000),M50*3%,IF(AND(M50&gt;10,M50&lt;=100),M50*5%,M50*8%))))</f>
        <v>#VALUE!</v>
      </c>
      <c r="M64" s="197" t="e">
        <f>ROUND(L64,1)</f>
        <v>#VALUE!</v>
      </c>
      <c r="N64" s="1226"/>
      <c r="O64" s="1226"/>
      <c r="P64" s="1226"/>
    </row>
    <row r="65" spans="1:35" ht="12.75" hidden="1">
      <c r="A65" s="331" t="s">
        <v>226</v>
      </c>
      <c r="B65" s="332" t="s">
        <v>325</v>
      </c>
      <c r="C65" s="333">
        <f ca="1">D46</f>
        <v>143304</v>
      </c>
      <c r="D65" s="334" t="s">
        <v>167</v>
      </c>
      <c r="E65" s="335"/>
      <c r="F65" s="167"/>
      <c r="G65" s="167"/>
      <c r="H65" s="168"/>
      <c r="I65" s="1059"/>
      <c r="J65" s="3423"/>
      <c r="K65" s="3032" t="s">
        <v>2847</v>
      </c>
      <c r="L65" s="3033"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4" t="s">
        <v>2848</v>
      </c>
      <c r="O65" s="1226"/>
      <c r="P65" s="1226"/>
    </row>
    <row r="66" spans="1:35" ht="12.75" hidden="1">
      <c r="A66" s="331" t="s">
        <v>227</v>
      </c>
      <c r="B66" s="332" t="s">
        <v>326</v>
      </c>
      <c r="C66" s="336"/>
      <c r="D66" s="334"/>
      <c r="E66" s="335"/>
      <c r="F66" s="167"/>
      <c r="G66" s="167"/>
      <c r="H66" s="168"/>
      <c r="I66" s="1059"/>
      <c r="J66" s="3423"/>
      <c r="K66" s="3032" t="s">
        <v>2849</v>
      </c>
      <c r="L66" s="3033" t="e">
        <f>IF(M50&gt;1000,M50*0.1%,IF(AND(M50&gt;500,M50&lt;=1000),M50*0.5%,IF(AND(M50&gt;50,M50&lt;=500),M50*1%,IF(AND(M50&gt;1,M50&lt;=50),M50*1.5%))))</f>
        <v>#VALUE!</v>
      </c>
      <c r="M66" s="197" t="e">
        <f t="shared" si="2"/>
        <v>#VALUE!</v>
      </c>
      <c r="N66" s="3034" t="s">
        <v>2855</v>
      </c>
      <c r="O66" s="1226"/>
      <c r="P66" s="1226"/>
    </row>
    <row r="67" spans="1:35" ht="12.75" hidden="1">
      <c r="A67" s="337" t="s">
        <v>175</v>
      </c>
      <c r="B67" s="338" t="s">
        <v>327</v>
      </c>
      <c r="C67" s="339"/>
      <c r="D67" s="340" t="s">
        <v>167</v>
      </c>
      <c r="E67" s="3060" t="s">
        <v>2888</v>
      </c>
      <c r="F67" s="167"/>
      <c r="G67" s="167"/>
      <c r="H67" s="168"/>
      <c r="I67" s="1059"/>
      <c r="J67" s="3423"/>
      <c r="K67" s="3032" t="s">
        <v>2850</v>
      </c>
      <c r="L67" s="3033" t="e">
        <f>M50*0.5%</f>
        <v>#VALUE!</v>
      </c>
      <c r="M67" s="197" t="e">
        <f>IF(L67&gt;0.5,0.5,ROUND(L67,0))</f>
        <v>#VALUE!</v>
      </c>
      <c r="N67" s="3034" t="s">
        <v>2856</v>
      </c>
      <c r="O67" s="1226"/>
      <c r="P67" s="1226"/>
    </row>
    <row r="68" spans="1:35" ht="12.75" hidden="1">
      <c r="A68" s="337" t="s">
        <v>168</v>
      </c>
      <c r="B68" s="338" t="s">
        <v>328</v>
      </c>
      <c r="C68" s="341">
        <f ca="1">C64-C67</f>
        <v>136480</v>
      </c>
      <c r="D68" s="334" t="s">
        <v>167</v>
      </c>
      <c r="E68" s="335"/>
      <c r="F68" s="167"/>
      <c r="G68" s="167"/>
      <c r="H68" s="168"/>
      <c r="I68" s="1059"/>
      <c r="J68" s="3423"/>
      <c r="K68" s="3032" t="s">
        <v>2852</v>
      </c>
      <c r="L68" s="3033"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hidden="1" thickBot="1">
      <c r="A69" s="342" t="s">
        <v>174</v>
      </c>
      <c r="B69" s="343" t="s">
        <v>329</v>
      </c>
      <c r="C69" s="344">
        <f ca="1">IF(C68&lt;=0,0,ROUND(C68*D69,0))</f>
        <v>7643</v>
      </c>
      <c r="D69" s="345">
        <f>'数据-取费表'!E29</f>
        <v>5.6000000000000001E-2</v>
      </c>
      <c r="E69" s="346"/>
      <c r="F69" s="167"/>
      <c r="G69" s="167"/>
      <c r="H69" s="168"/>
      <c r="I69" s="1059"/>
      <c r="J69" s="3423"/>
      <c r="K69" s="3032" t="s">
        <v>2853</v>
      </c>
      <c r="L69" s="3033" t="e">
        <f>IF(M50&gt;10000,M50*0.5%,IF(AND(M50&gt;5000,M50&lt;=10000),M50*1%,IF(AND(M50&gt;1000,M50&lt;=5000),M50*2%,IF(AND(M50&gt;200,M50&lt;=1000),M50*3%,M50*5%))))</f>
        <v>#VALUE!</v>
      </c>
      <c r="M69" s="197" t="e">
        <f>ROUND(L69,1)</f>
        <v>#VALUE!</v>
      </c>
      <c r="N69" s="1226"/>
      <c r="O69" s="1226"/>
      <c r="P69" s="1226"/>
    </row>
    <row r="70" spans="1:35" s="1061" customFormat="1" ht="7.5" hidden="1" customHeight="1">
      <c r="A70" s="1076"/>
      <c r="B70" s="1077"/>
      <c r="C70" s="1078"/>
      <c r="D70" s="1079"/>
      <c r="E70" s="1756"/>
      <c r="F70" s="167"/>
      <c r="G70" s="167"/>
      <c r="H70" s="168"/>
      <c r="I70" s="1059"/>
      <c r="J70" s="3423"/>
      <c r="K70" s="3032" t="s">
        <v>192</v>
      </c>
      <c r="L70" s="3035"/>
      <c r="M70" s="197" t="e">
        <f>ROUND(SUM(M64:M69),0)</f>
        <v>#VALUE!</v>
      </c>
      <c r="N70" s="3028"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hidden="1" thickBot="1">
      <c r="A71" s="3393" t="s">
        <v>330</v>
      </c>
      <c r="B71" s="3394"/>
      <c r="C71" s="3394"/>
      <c r="D71" s="3394"/>
      <c r="E71" s="3394"/>
      <c r="F71" s="3394"/>
      <c r="G71" s="3394"/>
      <c r="H71" s="3394"/>
      <c r="I71" s="1080"/>
      <c r="J71" s="2121"/>
      <c r="K71" s="2121"/>
      <c r="L71" s="2121"/>
      <c r="M71" s="2121"/>
      <c r="N71" s="2121"/>
      <c r="O71" s="2121"/>
      <c r="P71" s="2121"/>
      <c r="Q71" s="2121"/>
      <c r="R71" s="2121"/>
      <c r="S71" s="2121"/>
      <c r="T71" s="2121"/>
      <c r="U71" s="2121"/>
      <c r="V71" s="2121"/>
      <c r="W71" s="2121"/>
      <c r="X71" s="2121"/>
      <c r="Y71" s="2121"/>
      <c r="Z71" s="2121"/>
      <c r="AA71" s="1248"/>
      <c r="AB71" s="1248"/>
      <c r="AC71" s="1248"/>
      <c r="AD71" s="1248"/>
      <c r="AE71" s="1248"/>
      <c r="AF71" s="1248"/>
      <c r="AG71" s="1248"/>
      <c r="AH71" s="1248"/>
      <c r="AI71" s="1248"/>
    </row>
    <row r="72" spans="1:35" s="1081" customFormat="1" ht="14.25" hidden="1">
      <c r="A72" s="3389" t="s">
        <v>323</v>
      </c>
      <c r="B72" s="3390"/>
      <c r="C72" s="2034"/>
      <c r="D72" s="2034" t="s">
        <v>331</v>
      </c>
      <c r="E72" s="347" t="s">
        <v>332</v>
      </c>
      <c r="F72" s="348"/>
      <c r="G72" s="348"/>
      <c r="H72" s="349"/>
      <c r="I72" s="1082"/>
      <c r="J72" s="2121"/>
      <c r="K72" s="2121"/>
      <c r="L72" s="2121"/>
      <c r="M72" s="2121"/>
      <c r="N72" s="2121"/>
      <c r="O72" s="2121"/>
      <c r="P72" s="2121"/>
      <c r="Q72" s="2121"/>
      <c r="R72" s="2121"/>
      <c r="S72" s="2121"/>
      <c r="T72" s="2121"/>
      <c r="U72" s="2121"/>
      <c r="V72" s="2121"/>
      <c r="W72" s="2121"/>
      <c r="X72" s="2121"/>
      <c r="Y72" s="2121"/>
      <c r="Z72" s="2121"/>
      <c r="AA72" s="1248"/>
      <c r="AB72" s="1248"/>
      <c r="AC72" s="1248"/>
      <c r="AD72" s="1248"/>
      <c r="AE72" s="1248"/>
      <c r="AF72" s="1248"/>
      <c r="AG72" s="1248"/>
      <c r="AH72" s="1248"/>
      <c r="AI72" s="1248"/>
    </row>
    <row r="73" spans="1:35" s="1081" customFormat="1" ht="14.25" hidden="1">
      <c r="A73" s="350">
        <v>1</v>
      </c>
      <c r="B73" s="338" t="s">
        <v>333</v>
      </c>
      <c r="C73" s="341">
        <f ca="1">ROUND(D46/(1+'数据-取费表'!F30),0)</f>
        <v>136480</v>
      </c>
      <c r="D73" s="334" t="s">
        <v>167</v>
      </c>
      <c r="E73" s="2031"/>
      <c r="F73" s="2030"/>
      <c r="G73" s="2030"/>
      <c r="H73" s="351"/>
      <c r="I73" s="1082"/>
      <c r="J73" s="2121"/>
      <c r="K73" s="2121"/>
      <c r="L73" s="2121"/>
      <c r="M73" s="2121"/>
      <c r="N73" s="2121"/>
      <c r="O73" s="2121"/>
      <c r="P73" s="2121"/>
      <c r="Q73" s="2121"/>
      <c r="R73" s="2121"/>
      <c r="S73" s="2121"/>
      <c r="T73" s="2121"/>
      <c r="U73" s="2121"/>
      <c r="V73" s="2121"/>
      <c r="W73" s="2121"/>
      <c r="X73" s="2121"/>
      <c r="Y73" s="2121"/>
      <c r="Z73" s="2121"/>
      <c r="AA73" s="1248"/>
      <c r="AB73" s="1248"/>
      <c r="AC73" s="1248"/>
      <c r="AD73" s="1248"/>
      <c r="AE73" s="1248"/>
      <c r="AF73" s="1248"/>
      <c r="AG73" s="1248"/>
      <c r="AH73" s="1248"/>
      <c r="AI73" s="1248"/>
    </row>
    <row r="74" spans="1:35" s="1081" customFormat="1" ht="14.25" hidden="1">
      <c r="A74" s="352">
        <v>2</v>
      </c>
      <c r="B74" s="306" t="s">
        <v>334</v>
      </c>
      <c r="C74" s="341">
        <f ca="1">C75+C79</f>
        <v>819</v>
      </c>
      <c r="D74" s="334" t="s">
        <v>167</v>
      </c>
      <c r="E74" s="2031"/>
      <c r="F74" s="2030"/>
      <c r="G74" s="2030"/>
      <c r="H74" s="351"/>
      <c r="I74" s="1082"/>
      <c r="J74" s="2121"/>
      <c r="K74" s="2121"/>
      <c r="L74" s="2121"/>
      <c r="M74" s="2121"/>
      <c r="N74" s="2121"/>
      <c r="O74" s="2121"/>
      <c r="P74" s="2121"/>
      <c r="Q74" s="2121"/>
      <c r="R74" s="2121"/>
      <c r="S74" s="2121"/>
      <c r="T74" s="2121"/>
      <c r="U74" s="2121"/>
      <c r="V74" s="2121"/>
      <c r="W74" s="2121"/>
      <c r="X74" s="2121"/>
      <c r="Y74" s="2121"/>
      <c r="Z74" s="2121"/>
      <c r="AA74" s="1248"/>
      <c r="AB74" s="1248"/>
      <c r="AC74" s="1248"/>
      <c r="AD74" s="1248"/>
      <c r="AE74" s="1248"/>
      <c r="AF74" s="1248"/>
      <c r="AG74" s="1248"/>
      <c r="AH74" s="1248"/>
      <c r="AI74" s="1248"/>
    </row>
    <row r="75" spans="1:35" s="1081" customFormat="1" ht="14.25" hidden="1">
      <c r="A75" s="353" t="s">
        <v>228</v>
      </c>
      <c r="B75" s="332" t="s">
        <v>335</v>
      </c>
      <c r="C75" s="334">
        <f>ROUND(IF(G78="2016年5月1日后购买",C76/(1+'数据-取费表'!F30)+C77+C78,C76+C77+C78),0)</f>
        <v>0</v>
      </c>
      <c r="D75" s="334" t="s">
        <v>167</v>
      </c>
      <c r="E75" s="2031"/>
      <c r="F75" s="2030"/>
      <c r="G75" s="2030"/>
      <c r="H75" s="351"/>
      <c r="I75" s="1082"/>
      <c r="J75" s="2121"/>
      <c r="K75" s="2121"/>
      <c r="L75" s="2121"/>
      <c r="M75" s="2121"/>
      <c r="N75" s="2121"/>
      <c r="O75" s="2121"/>
      <c r="P75" s="2121"/>
      <c r="Q75" s="2121"/>
      <c r="R75" s="2121"/>
      <c r="S75" s="2121"/>
      <c r="T75" s="2121"/>
      <c r="U75" s="2121"/>
      <c r="V75" s="2121"/>
      <c r="W75" s="2121"/>
      <c r="X75" s="2121"/>
      <c r="Y75" s="2121"/>
      <c r="Z75" s="2121"/>
      <c r="AA75" s="1248"/>
      <c r="AB75" s="1248"/>
      <c r="AC75" s="1248"/>
      <c r="AD75" s="1248"/>
      <c r="AE75" s="1248"/>
      <c r="AF75" s="1248"/>
      <c r="AG75" s="1248"/>
      <c r="AH75" s="1248"/>
      <c r="AI75" s="1248"/>
    </row>
    <row r="76" spans="1:35" s="1081" customFormat="1" ht="13.5" hidden="1">
      <c r="A76" s="353" t="s">
        <v>229</v>
      </c>
      <c r="B76" s="332" t="s">
        <v>336</v>
      </c>
      <c r="C76" s="354"/>
      <c r="D76" s="334" t="s">
        <v>167</v>
      </c>
      <c r="E76" s="355" t="s">
        <v>337</v>
      </c>
      <c r="F76" s="1215" t="s">
        <v>1038</v>
      </c>
      <c r="G76" s="355" t="s">
        <v>702</v>
      </c>
      <c r="H76" s="356"/>
      <c r="I76" s="1024"/>
      <c r="J76" s="2121"/>
      <c r="K76" s="2121"/>
      <c r="L76" s="2121"/>
      <c r="M76" s="2121"/>
      <c r="N76" s="2121"/>
      <c r="O76" s="2121"/>
      <c r="P76" s="2121"/>
      <c r="Q76" s="2121"/>
      <c r="R76" s="2121"/>
      <c r="S76" s="2121"/>
      <c r="T76" s="2121"/>
      <c r="U76" s="2121"/>
      <c r="V76" s="2121"/>
      <c r="W76" s="2121"/>
      <c r="X76" s="2121"/>
      <c r="Y76" s="2121"/>
      <c r="Z76" s="2121"/>
      <c r="AA76" s="1248"/>
      <c r="AB76" s="1248"/>
      <c r="AC76" s="1248"/>
      <c r="AD76" s="1248"/>
      <c r="AE76" s="1248"/>
      <c r="AF76" s="1248"/>
      <c r="AG76" s="1248"/>
      <c r="AH76" s="1248"/>
      <c r="AI76" s="1248"/>
    </row>
    <row r="77" spans="1:35" s="1081" customFormat="1" ht="24.75" hidden="1" customHeight="1">
      <c r="A77" s="353" t="s">
        <v>230</v>
      </c>
      <c r="B77" s="357" t="s">
        <v>338</v>
      </c>
      <c r="C77" s="334">
        <f>IF(F76="购房发票",ROUND(C76*H76*D77,0),0)</f>
        <v>0</v>
      </c>
      <c r="D77" s="358">
        <v>0.05</v>
      </c>
      <c r="E77" s="3362" t="s">
        <v>339</v>
      </c>
      <c r="F77" s="3361"/>
      <c r="G77" s="3361"/>
      <c r="H77" s="3381"/>
      <c r="I77" s="1082"/>
      <c r="J77" s="2121"/>
      <c r="K77" s="2121"/>
      <c r="L77" s="2121"/>
      <c r="M77" s="2121"/>
      <c r="N77" s="2121"/>
      <c r="O77" s="2121"/>
      <c r="P77" s="2121"/>
      <c r="Q77" s="2121"/>
      <c r="R77" s="2121"/>
      <c r="S77" s="2121"/>
      <c r="T77" s="2121"/>
      <c r="U77" s="2121"/>
      <c r="V77" s="2121"/>
      <c r="W77" s="2121"/>
      <c r="X77" s="2121"/>
      <c r="Y77" s="2121"/>
      <c r="Z77" s="2121"/>
      <c r="AA77" s="1248"/>
      <c r="AB77" s="1248"/>
      <c r="AC77" s="1248"/>
      <c r="AD77" s="1248"/>
      <c r="AE77" s="1248"/>
      <c r="AF77" s="1248"/>
      <c r="AG77" s="1248"/>
      <c r="AH77" s="1248"/>
      <c r="AI77" s="1248"/>
    </row>
    <row r="78" spans="1:35" s="1081" customFormat="1" ht="24.75" hidden="1" customHeight="1">
      <c r="A78" s="353" t="s">
        <v>231</v>
      </c>
      <c r="B78" s="332" t="s">
        <v>340</v>
      </c>
      <c r="C78" s="334">
        <f>ROUND(IF(G78="个人住宅",0,IF(G78="2016年5月1日前购买",C76*D78,C76*D78/(1+'数据-取费表'!F30))),0)</f>
        <v>0</v>
      </c>
      <c r="D78" s="359">
        <f>'数据-取费表'!E36+'数据-取费表'!E37</f>
        <v>3.0499999999999999E-2</v>
      </c>
      <c r="E78" s="195" t="s">
        <v>703</v>
      </c>
      <c r="F78" s="360"/>
      <c r="G78" s="1216" t="s">
        <v>2414</v>
      </c>
      <c r="H78" s="2035" t="str">
        <f>IF(G78="个人买卖住房","免征印花税"," ")</f>
        <v xml:space="preserve"> </v>
      </c>
      <c r="I78" s="1082"/>
      <c r="J78" s="2121"/>
      <c r="K78" s="2121"/>
      <c r="L78" s="2121"/>
      <c r="M78" s="2121"/>
      <c r="N78" s="2121"/>
      <c r="O78" s="2121"/>
      <c r="P78" s="2121"/>
      <c r="Q78" s="2121"/>
      <c r="R78" s="2121"/>
      <c r="S78" s="2121"/>
      <c r="T78" s="2121"/>
      <c r="U78" s="2121"/>
      <c r="V78" s="2121"/>
      <c r="W78" s="2121"/>
      <c r="X78" s="2121"/>
      <c r="Y78" s="2121"/>
      <c r="Z78" s="2121"/>
      <c r="AA78" s="1248"/>
      <c r="AB78" s="1248"/>
      <c r="AC78" s="1248"/>
      <c r="AD78" s="1248"/>
      <c r="AE78" s="1248"/>
      <c r="AF78" s="1248"/>
      <c r="AG78" s="1248"/>
      <c r="AH78" s="1248"/>
      <c r="AI78" s="1248"/>
    </row>
    <row r="79" spans="1:35" s="1081" customFormat="1" ht="24.75" hidden="1" customHeight="1">
      <c r="A79" s="353" t="s">
        <v>232</v>
      </c>
      <c r="B79" s="332" t="s">
        <v>341</v>
      </c>
      <c r="C79" s="361">
        <f ca="1">ROUND(D46*D79/(1+'数据-取费表'!F30),0)</f>
        <v>819</v>
      </c>
      <c r="D79" s="362">
        <f>'数据-取费表'!E31</f>
        <v>6.000000000000001E-3</v>
      </c>
      <c r="E79" s="3353" t="s">
        <v>2415</v>
      </c>
      <c r="F79" s="3354"/>
      <c r="G79" s="3354"/>
      <c r="H79" s="3355"/>
      <c r="I79" s="1083"/>
      <c r="J79" s="2121"/>
      <c r="K79" s="2121"/>
      <c r="L79" s="2121"/>
      <c r="M79" s="2121"/>
      <c r="N79" s="2121"/>
      <c r="O79" s="2121"/>
      <c r="P79" s="2121"/>
      <c r="Q79" s="2121"/>
      <c r="R79" s="2121"/>
      <c r="S79" s="2121"/>
      <c r="T79" s="2121"/>
      <c r="U79" s="2121"/>
      <c r="V79" s="2121"/>
      <c r="W79" s="2121"/>
      <c r="X79" s="2121"/>
      <c r="Y79" s="2121"/>
      <c r="Z79" s="2121"/>
      <c r="AA79" s="1248"/>
      <c r="AB79" s="1248"/>
      <c r="AC79" s="1248"/>
      <c r="AD79" s="1248"/>
      <c r="AE79" s="1248"/>
      <c r="AF79" s="1248"/>
      <c r="AG79" s="1248"/>
      <c r="AH79" s="1248"/>
      <c r="AI79" s="1248"/>
    </row>
    <row r="80" spans="1:35" s="1081" customFormat="1" ht="14.25" hidden="1">
      <c r="A80" s="363" t="s">
        <v>168</v>
      </c>
      <c r="B80" s="338" t="s">
        <v>342</v>
      </c>
      <c r="C80" s="341">
        <f ca="1">C73-C74</f>
        <v>135661</v>
      </c>
      <c r="D80" s="334" t="s">
        <v>167</v>
      </c>
      <c r="E80" s="2031"/>
      <c r="F80" s="2030"/>
      <c r="G80" s="2030"/>
      <c r="H80" s="351"/>
      <c r="I80" s="1082"/>
      <c r="J80" s="2121"/>
      <c r="K80" s="2121"/>
      <c r="L80" s="2121"/>
      <c r="M80" s="2121"/>
      <c r="N80" s="2121"/>
      <c r="O80" s="2121"/>
      <c r="P80" s="2121"/>
      <c r="Q80" s="2121"/>
      <c r="R80" s="2121"/>
      <c r="S80" s="2121"/>
      <c r="T80" s="2121"/>
      <c r="U80" s="2121"/>
      <c r="V80" s="2121"/>
      <c r="W80" s="2121"/>
      <c r="X80" s="2121"/>
      <c r="Y80" s="2121"/>
      <c r="Z80" s="2121"/>
      <c r="AA80" s="1248"/>
      <c r="AB80" s="1248"/>
      <c r="AC80" s="1248"/>
      <c r="AD80" s="1248"/>
      <c r="AE80" s="1248"/>
      <c r="AF80" s="1248"/>
      <c r="AG80" s="1248"/>
      <c r="AH80" s="1248"/>
      <c r="AI80" s="1248"/>
    </row>
    <row r="81" spans="1:35" s="1081" customFormat="1" ht="14.25" hidden="1">
      <c r="A81" s="363" t="s">
        <v>169</v>
      </c>
      <c r="B81" s="338" t="s">
        <v>343</v>
      </c>
      <c r="C81" s="364">
        <f ca="1">IF(C80&lt;=0,0,C80/C74)</f>
        <v>165.64224664224665</v>
      </c>
      <c r="D81" s="334" t="s">
        <v>167</v>
      </c>
      <c r="E81" s="195" t="str">
        <f ca="1">IF(C81&gt;=200%,"增值额超过扣除项目金额200%",IF(C81&gt;=100%,"增值额超过扣除项目金额100%，未超过200%",IF(C81&gt;=50%,"增值额超过扣除项目金额50%，未超过100%",IF(C81&lt;50%,"增值额未超过扣除项目金额50%"))))</f>
        <v>增值额超过扣除项目金额200%</v>
      </c>
      <c r="F81" s="2030"/>
      <c r="G81" s="2030"/>
      <c r="H81" s="351"/>
      <c r="I81" s="1082"/>
      <c r="J81" s="2121"/>
      <c r="K81" s="2121"/>
      <c r="L81" s="2121"/>
      <c r="M81" s="2121"/>
      <c r="N81" s="2121"/>
      <c r="O81" s="2121"/>
      <c r="P81" s="2121"/>
      <c r="Q81" s="2121"/>
      <c r="R81" s="2121"/>
      <c r="S81" s="2121"/>
      <c r="T81" s="2121"/>
      <c r="U81" s="2121"/>
      <c r="V81" s="2121"/>
      <c r="W81" s="2121"/>
      <c r="X81" s="2121"/>
      <c r="Y81" s="2121"/>
      <c r="Z81" s="2121"/>
      <c r="AA81" s="1248"/>
      <c r="AB81" s="1248"/>
      <c r="AC81" s="1248"/>
      <c r="AD81" s="1248"/>
      <c r="AE81" s="1248"/>
      <c r="AF81" s="1248"/>
      <c r="AG81" s="1248"/>
      <c r="AH81" s="1248"/>
      <c r="AI81" s="1248"/>
    </row>
    <row r="82" spans="1:35" s="1081" customFormat="1" ht="15" hidden="1" thickBot="1">
      <c r="A82" s="365" t="s">
        <v>170</v>
      </c>
      <c r="B82" s="343" t="s">
        <v>344</v>
      </c>
      <c r="C82" s="366">
        <f ca="1">ROUND(IF(C80&lt;=0,0,IF(C81&gt;=200%,C80*60%-C74*35%,IF(C81&gt;=100%,C80*50%-C74*15%,IF(C81&gt;=50%,C80*40%-C74*5%,IF(C81&lt;50%,C80*30%,0))))),0)</f>
        <v>81110</v>
      </c>
      <c r="D82" s="367" t="s">
        <v>167</v>
      </c>
      <c r="E82" s="368"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69"/>
      <c r="G82" s="369"/>
      <c r="H82" s="370"/>
      <c r="I82" s="1082"/>
      <c r="J82" s="2121"/>
      <c r="K82" s="2121"/>
      <c r="L82" s="2121"/>
      <c r="M82" s="2121"/>
      <c r="N82" s="2121"/>
      <c r="O82" s="2121"/>
      <c r="P82" s="2121"/>
      <c r="Q82" s="2121"/>
      <c r="R82" s="2121"/>
      <c r="S82" s="2121"/>
      <c r="T82" s="2121"/>
      <c r="U82" s="2121"/>
      <c r="V82" s="2121"/>
      <c r="W82" s="2121"/>
      <c r="X82" s="2121"/>
      <c r="Y82" s="2121"/>
      <c r="Z82" s="2121"/>
      <c r="AA82" s="1248"/>
      <c r="AB82" s="1248"/>
      <c r="AC82" s="1248"/>
      <c r="AD82" s="1248"/>
      <c r="AE82" s="1248"/>
      <c r="AF82" s="1248"/>
      <c r="AG82" s="1248"/>
      <c r="AH82" s="1248"/>
      <c r="AI82" s="1248"/>
    </row>
    <row r="83" spans="1:35" s="1081" customFormat="1" ht="7.5" hidden="1" customHeight="1">
      <c r="A83" s="1048"/>
      <c r="B83" s="1049"/>
      <c r="C83" s="191"/>
      <c r="D83" s="191"/>
      <c r="E83" s="1049"/>
      <c r="F83" s="1049"/>
      <c r="G83" s="1049"/>
      <c r="H83" s="1050"/>
      <c r="I83" s="1083"/>
      <c r="J83" s="2121"/>
      <c r="K83" s="2121"/>
      <c r="L83" s="2121"/>
      <c r="M83" s="2121"/>
      <c r="N83" s="2121"/>
      <c r="O83" s="2121"/>
      <c r="P83" s="2121"/>
      <c r="Q83" s="2121"/>
      <c r="R83" s="2121"/>
      <c r="S83" s="2121"/>
      <c r="T83" s="2121"/>
      <c r="U83" s="2121"/>
      <c r="V83" s="2121"/>
      <c r="W83" s="2121"/>
      <c r="X83" s="2121"/>
      <c r="Y83" s="2121"/>
      <c r="Z83" s="2121"/>
      <c r="AA83" s="1248"/>
      <c r="AB83" s="1248"/>
      <c r="AC83" s="1248"/>
      <c r="AD83" s="1248"/>
      <c r="AE83" s="1248"/>
      <c r="AF83" s="1248"/>
      <c r="AG83" s="1248"/>
      <c r="AH83" s="1248"/>
      <c r="AI83" s="1248"/>
    </row>
    <row r="84" spans="1:35" s="1081" customFormat="1" ht="14.25" hidden="1" thickBot="1">
      <c r="A84" s="3393" t="s">
        <v>345</v>
      </c>
      <c r="B84" s="3394"/>
      <c r="C84" s="3394"/>
      <c r="D84" s="3394"/>
      <c r="E84" s="3394"/>
      <c r="F84" s="3394"/>
      <c r="G84" s="3394"/>
      <c r="H84" s="3394"/>
      <c r="I84" s="1024"/>
      <c r="J84" s="2121"/>
      <c r="K84" s="2121"/>
      <c r="L84" s="2121"/>
      <c r="M84" s="2121"/>
      <c r="N84" s="2121"/>
      <c r="O84" s="2121"/>
      <c r="P84" s="2121"/>
      <c r="Q84" s="2121"/>
      <c r="R84" s="2121"/>
      <c r="S84" s="2121"/>
      <c r="T84" s="2121"/>
      <c r="U84" s="2121"/>
      <c r="V84" s="2121"/>
      <c r="W84" s="2121"/>
      <c r="X84" s="2121"/>
      <c r="Y84" s="2121"/>
      <c r="Z84" s="2121"/>
      <c r="AA84" s="1248"/>
      <c r="AB84" s="1248"/>
      <c r="AC84" s="1248"/>
      <c r="AD84" s="1248"/>
      <c r="AE84" s="1248"/>
      <c r="AF84" s="1248"/>
      <c r="AG84" s="1248"/>
      <c r="AH84" s="1248"/>
      <c r="AI84" s="1248"/>
    </row>
    <row r="85" spans="1:35" s="1081" customFormat="1" ht="13.5" hidden="1">
      <c r="A85" s="3389" t="s">
        <v>323</v>
      </c>
      <c r="B85" s="3390"/>
      <c r="C85" s="2034"/>
      <c r="D85" s="2034" t="s">
        <v>331</v>
      </c>
      <c r="E85" s="347" t="s">
        <v>332</v>
      </c>
      <c r="F85" s="348"/>
      <c r="G85" s="348"/>
      <c r="H85" s="371"/>
      <c r="I85" s="1024"/>
      <c r="J85" s="2121"/>
      <c r="K85" s="2121"/>
      <c r="L85" s="2121"/>
      <c r="M85" s="2121"/>
      <c r="N85" s="2121"/>
      <c r="O85" s="2121"/>
      <c r="P85" s="2121"/>
      <c r="Q85" s="2121"/>
      <c r="R85" s="2121"/>
      <c r="S85" s="2121"/>
      <c r="T85" s="2121"/>
      <c r="U85" s="2121"/>
      <c r="V85" s="2121"/>
      <c r="W85" s="2121"/>
      <c r="X85" s="2121"/>
      <c r="Y85" s="2121"/>
      <c r="Z85" s="2121"/>
      <c r="AA85" s="1248"/>
      <c r="AB85" s="1248"/>
      <c r="AC85" s="1248"/>
      <c r="AD85" s="1248"/>
      <c r="AE85" s="1248"/>
      <c r="AF85" s="1248"/>
      <c r="AG85" s="1248"/>
      <c r="AH85" s="1248"/>
      <c r="AI85" s="1248"/>
    </row>
    <row r="86" spans="1:35" s="1081" customFormat="1" ht="13.5" hidden="1">
      <c r="A86" s="350">
        <v>1</v>
      </c>
      <c r="B86" s="338" t="s">
        <v>333</v>
      </c>
      <c r="C86" s="341">
        <f ca="1">ROUND(D46/(1+'数据-取费表'!F30),0)</f>
        <v>136480</v>
      </c>
      <c r="D86" s="334" t="s">
        <v>167</v>
      </c>
      <c r="E86" s="2031"/>
      <c r="F86" s="2030"/>
      <c r="G86" s="2030"/>
      <c r="H86" s="372"/>
      <c r="I86" s="1024"/>
      <c r="J86" s="2121"/>
      <c r="K86" s="2121"/>
      <c r="L86" s="2121"/>
      <c r="M86" s="2121"/>
      <c r="N86" s="2121"/>
      <c r="O86" s="2121"/>
      <c r="P86" s="2121"/>
      <c r="Q86" s="2121"/>
      <c r="R86" s="2121"/>
      <c r="S86" s="2121"/>
      <c r="T86" s="2121"/>
      <c r="U86" s="2121"/>
      <c r="V86" s="2121"/>
      <c r="W86" s="2121"/>
      <c r="X86" s="2121"/>
      <c r="Y86" s="2121"/>
      <c r="Z86" s="2121"/>
      <c r="AA86" s="1248"/>
      <c r="AB86" s="1248"/>
      <c r="AC86" s="1248"/>
      <c r="AD86" s="1248"/>
      <c r="AE86" s="1248"/>
      <c r="AF86" s="1248"/>
      <c r="AG86" s="1248"/>
      <c r="AH86" s="1248"/>
      <c r="AI86" s="1248"/>
    </row>
    <row r="87" spans="1:35" s="1081" customFormat="1" ht="13.5" hidden="1">
      <c r="A87" s="352">
        <v>2</v>
      </c>
      <c r="B87" s="306" t="s">
        <v>334</v>
      </c>
      <c r="C87" s="341">
        <f ca="1">IF(H89="仅含出让金",C88+C91+C92+C93+C94+C95,C88+C92+C93+C94+C95)</f>
        <v>819</v>
      </c>
      <c r="D87" s="373"/>
      <c r="E87" s="2031"/>
      <c r="F87" s="2030"/>
      <c r="G87" s="2030"/>
      <c r="H87" s="372"/>
      <c r="I87" s="1024"/>
      <c r="J87" s="2121"/>
      <c r="K87" s="2121"/>
      <c r="L87" s="2121"/>
      <c r="M87" s="2121"/>
      <c r="N87" s="2121"/>
      <c r="O87" s="2121"/>
      <c r="P87" s="2121"/>
      <c r="Q87" s="2121"/>
      <c r="R87" s="2121"/>
      <c r="S87" s="2121"/>
      <c r="T87" s="2121"/>
      <c r="U87" s="2121"/>
      <c r="V87" s="2121"/>
      <c r="W87" s="2121"/>
      <c r="X87" s="2121"/>
      <c r="Y87" s="2121"/>
      <c r="Z87" s="2121"/>
      <c r="AA87" s="1248"/>
      <c r="AB87" s="1248"/>
      <c r="AC87" s="1248"/>
      <c r="AD87" s="1248"/>
      <c r="AE87" s="1248"/>
      <c r="AF87" s="1248"/>
      <c r="AG87" s="1248"/>
      <c r="AH87" s="1248"/>
      <c r="AI87" s="1248"/>
    </row>
    <row r="88" spans="1:35" s="1081" customFormat="1" ht="13.5" hidden="1">
      <c r="A88" s="353" t="s">
        <v>228</v>
      </c>
      <c r="B88" s="332" t="s">
        <v>346</v>
      </c>
      <c r="C88" s="361">
        <f>C89+C90</f>
        <v>0</v>
      </c>
      <c r="D88" s="362"/>
      <c r="E88" s="2027"/>
      <c r="F88" s="2028"/>
      <c r="G88" s="2028"/>
      <c r="H88" s="2029"/>
      <c r="I88" s="1024"/>
      <c r="J88" s="2121"/>
      <c r="K88" s="2121"/>
      <c r="L88" s="2121"/>
      <c r="M88" s="2121"/>
      <c r="N88" s="2121"/>
      <c r="O88" s="2121"/>
      <c r="P88" s="2121"/>
      <c r="Q88" s="2121"/>
      <c r="R88" s="2121"/>
      <c r="S88" s="2121"/>
      <c r="T88" s="2121"/>
      <c r="U88" s="2121"/>
      <c r="V88" s="2121"/>
      <c r="W88" s="2121"/>
      <c r="X88" s="2121"/>
      <c r="Y88" s="2121"/>
      <c r="Z88" s="2121"/>
      <c r="AA88" s="1248"/>
      <c r="AB88" s="1248"/>
      <c r="AC88" s="1248"/>
      <c r="AD88" s="1248"/>
      <c r="AE88" s="1248"/>
      <c r="AF88" s="1248"/>
      <c r="AG88" s="1248"/>
      <c r="AH88" s="1248"/>
      <c r="AI88" s="1248"/>
    </row>
    <row r="89" spans="1:35" s="1081" customFormat="1" ht="13.5" hidden="1">
      <c r="A89" s="353" t="s">
        <v>229</v>
      </c>
      <c r="B89" s="332" t="s">
        <v>347</v>
      </c>
      <c r="C89" s="374"/>
      <c r="D89" s="362"/>
      <c r="E89" s="375" t="s">
        <v>348</v>
      </c>
      <c r="F89" s="2028"/>
      <c r="G89" s="376" t="s">
        <v>349</v>
      </c>
      <c r="H89" s="1217"/>
      <c r="I89" s="1024"/>
      <c r="J89" s="2121"/>
      <c r="K89" s="2121"/>
      <c r="L89" s="2121"/>
      <c r="M89" s="2121"/>
      <c r="N89" s="2121"/>
      <c r="O89" s="2121"/>
      <c r="P89" s="2121"/>
      <c r="Q89" s="2121"/>
      <c r="R89" s="2121"/>
      <c r="S89" s="2121"/>
      <c r="T89" s="2121"/>
      <c r="U89" s="2121"/>
      <c r="V89" s="2121"/>
      <c r="W89" s="2121"/>
      <c r="X89" s="2121"/>
      <c r="Y89" s="2121"/>
      <c r="Z89" s="2121"/>
      <c r="AA89" s="1248"/>
      <c r="AB89" s="1248"/>
      <c r="AC89" s="1248"/>
      <c r="AD89" s="1248"/>
      <c r="AE89" s="1248"/>
      <c r="AF89" s="1248"/>
      <c r="AG89" s="1248"/>
      <c r="AH89" s="1248"/>
      <c r="AI89" s="1248"/>
    </row>
    <row r="90" spans="1:35" s="1081" customFormat="1" ht="13.5" hidden="1">
      <c r="A90" s="353" t="s">
        <v>230</v>
      </c>
      <c r="B90" s="332" t="s">
        <v>340</v>
      </c>
      <c r="C90" s="361">
        <f>ROUND(C89*D90,0)</f>
        <v>0</v>
      </c>
      <c r="D90" s="362">
        <f>'数据-取费表'!E36+'数据-取费表'!E37</f>
        <v>3.0499999999999999E-2</v>
      </c>
      <c r="E90" s="375" t="s">
        <v>350</v>
      </c>
      <c r="F90" s="2028"/>
      <c r="G90" s="2028"/>
      <c r="H90" s="2029"/>
      <c r="I90" s="1024"/>
      <c r="J90" s="2121"/>
      <c r="K90" s="2121"/>
      <c r="L90" s="2121"/>
      <c r="M90" s="2121"/>
      <c r="N90" s="2121"/>
      <c r="O90" s="2121"/>
      <c r="P90" s="2121"/>
      <c r="Q90" s="2121"/>
      <c r="R90" s="2121"/>
      <c r="S90" s="2121"/>
      <c r="T90" s="2121"/>
      <c r="U90" s="2121"/>
      <c r="V90" s="2121"/>
      <c r="W90" s="2121"/>
      <c r="X90" s="2121"/>
      <c r="Y90" s="2121"/>
      <c r="Z90" s="2121"/>
      <c r="AA90" s="1248"/>
      <c r="AB90" s="1248"/>
      <c r="AC90" s="1248"/>
      <c r="AD90" s="1248"/>
      <c r="AE90" s="1248"/>
      <c r="AF90" s="1248"/>
      <c r="AG90" s="1248"/>
      <c r="AH90" s="1248"/>
      <c r="AI90" s="1248"/>
    </row>
    <row r="91" spans="1:35" s="1081" customFormat="1" ht="13.5" hidden="1">
      <c r="A91" s="353" t="s">
        <v>232</v>
      </c>
      <c r="B91" s="332" t="s">
        <v>351</v>
      </c>
      <c r="C91" s="374"/>
      <c r="D91" s="362"/>
      <c r="E91" s="375" t="str">
        <f>IF(H89="-","土地取得成本中已包含该笔费用"," ")</f>
        <v xml:space="preserve"> </v>
      </c>
      <c r="F91" s="2028"/>
      <c r="G91" s="2028"/>
      <c r="H91" s="2029"/>
      <c r="I91" s="1024"/>
      <c r="J91" s="2121"/>
      <c r="K91" s="2121"/>
      <c r="L91" s="2121"/>
      <c r="M91" s="2121"/>
      <c r="N91" s="2121"/>
      <c r="O91" s="2121"/>
      <c r="P91" s="2121"/>
      <c r="Q91" s="2121"/>
      <c r="R91" s="2121"/>
      <c r="S91" s="2121"/>
      <c r="T91" s="2121"/>
      <c r="U91" s="2121"/>
      <c r="V91" s="2121"/>
      <c r="W91" s="2121"/>
      <c r="X91" s="2121"/>
      <c r="Y91" s="2121"/>
      <c r="Z91" s="2121"/>
      <c r="AA91" s="1248"/>
      <c r="AB91" s="1248"/>
      <c r="AC91" s="1248"/>
      <c r="AD91" s="1248"/>
      <c r="AE91" s="1248"/>
      <c r="AF91" s="1248"/>
      <c r="AG91" s="1248"/>
      <c r="AH91" s="1248"/>
      <c r="AI91" s="1248"/>
    </row>
    <row r="92" spans="1:35" s="1081" customFormat="1" ht="30.75" hidden="1" customHeight="1">
      <c r="A92" s="353" t="s">
        <v>233</v>
      </c>
      <c r="B92" s="332" t="s">
        <v>352</v>
      </c>
      <c r="C92" s="361">
        <f>IF(H92="——",成本法!C33,I92)</f>
        <v>0</v>
      </c>
      <c r="D92" s="362"/>
      <c r="E92" s="3425" t="s">
        <v>704</v>
      </c>
      <c r="F92" s="3354"/>
      <c r="G92" s="3354"/>
      <c r="H92" s="1218" t="s">
        <v>2199</v>
      </c>
      <c r="I92" s="2011"/>
      <c r="J92" s="2121"/>
      <c r="K92" s="2121"/>
      <c r="L92" s="2121"/>
      <c r="M92" s="2121"/>
      <c r="N92" s="2121"/>
      <c r="O92" s="2121"/>
      <c r="P92" s="2121"/>
      <c r="Q92" s="2121"/>
      <c r="R92" s="2121"/>
      <c r="S92" s="2121"/>
      <c r="T92" s="2121"/>
      <c r="U92" s="2121"/>
      <c r="V92" s="2121"/>
      <c r="W92" s="2121"/>
      <c r="X92" s="2121"/>
      <c r="Y92" s="2121"/>
      <c r="Z92" s="2121"/>
      <c r="AA92" s="1248"/>
      <c r="AB92" s="1248"/>
      <c r="AC92" s="1248"/>
      <c r="AD92" s="1248"/>
      <c r="AE92" s="1248"/>
      <c r="AF92" s="1248"/>
      <c r="AG92" s="1248"/>
      <c r="AH92" s="1248"/>
      <c r="AI92" s="1248"/>
    </row>
    <row r="93" spans="1:35" s="1081" customFormat="1" ht="25.5" hidden="1" customHeight="1">
      <c r="A93" s="353" t="s">
        <v>234</v>
      </c>
      <c r="B93" s="332" t="s">
        <v>353</v>
      </c>
      <c r="C93" s="361">
        <f>ROUND((C88+C91+C92)*D93,0)</f>
        <v>0</v>
      </c>
      <c r="D93" s="362">
        <v>0.1</v>
      </c>
      <c r="E93" s="3425" t="s">
        <v>354</v>
      </c>
      <c r="F93" s="3354"/>
      <c r="G93" s="3354"/>
      <c r="H93" s="3355"/>
      <c r="I93" s="1024"/>
      <c r="J93" s="2121"/>
      <c r="K93" s="2121"/>
      <c r="L93" s="2121"/>
      <c r="M93" s="2121"/>
      <c r="N93" s="2121"/>
      <c r="O93" s="2121"/>
      <c r="P93" s="2121"/>
      <c r="Q93" s="2121"/>
      <c r="R93" s="2121"/>
      <c r="S93" s="2121"/>
      <c r="T93" s="2121"/>
      <c r="U93" s="2121"/>
      <c r="V93" s="2121"/>
      <c r="W93" s="2121"/>
      <c r="X93" s="2121"/>
      <c r="Y93" s="2121"/>
      <c r="Z93" s="2121"/>
      <c r="AA93" s="1248"/>
      <c r="AB93" s="1248"/>
      <c r="AC93" s="1248"/>
      <c r="AD93" s="1248"/>
      <c r="AE93" s="1248"/>
      <c r="AF93" s="1248"/>
      <c r="AG93" s="1248"/>
      <c r="AH93" s="1248"/>
      <c r="AI93" s="1248"/>
    </row>
    <row r="94" spans="1:35" s="1081" customFormat="1" ht="25.5" hidden="1" customHeight="1">
      <c r="A94" s="353" t="s">
        <v>235</v>
      </c>
      <c r="B94" s="332" t="s">
        <v>341</v>
      </c>
      <c r="C94" s="361">
        <f ca="1">ROUND(D46*D94/(1+'数据-取费表'!F30),0)</f>
        <v>819</v>
      </c>
      <c r="D94" s="362">
        <f>'数据-取费表'!E31</f>
        <v>6.000000000000001E-3</v>
      </c>
      <c r="E94" s="3353" t="s">
        <v>2415</v>
      </c>
      <c r="F94" s="3354"/>
      <c r="G94" s="3354"/>
      <c r="H94" s="3355"/>
      <c r="I94" s="1024"/>
      <c r="J94" s="2121"/>
      <c r="K94" s="2121"/>
      <c r="L94" s="2121"/>
      <c r="M94" s="2121"/>
      <c r="N94" s="2121"/>
      <c r="O94" s="2121"/>
      <c r="P94" s="2121"/>
      <c r="Q94" s="2121"/>
      <c r="R94" s="2121"/>
      <c r="S94" s="2121"/>
      <c r="T94" s="2121"/>
      <c r="U94" s="2121"/>
      <c r="V94" s="2121"/>
      <c r="W94" s="2121"/>
      <c r="X94" s="2121"/>
      <c r="Y94" s="2121"/>
      <c r="Z94" s="2121"/>
      <c r="AA94" s="1248"/>
      <c r="AB94" s="1248"/>
      <c r="AC94" s="1248"/>
      <c r="AD94" s="1248"/>
      <c r="AE94" s="1248"/>
      <c r="AF94" s="1248"/>
      <c r="AG94" s="1248"/>
      <c r="AH94" s="1248"/>
      <c r="AI94" s="1248"/>
    </row>
    <row r="95" spans="1:35" s="1081" customFormat="1" ht="25.5" hidden="1" customHeight="1">
      <c r="A95" s="353" t="s">
        <v>236</v>
      </c>
      <c r="B95" s="332" t="s">
        <v>355</v>
      </c>
      <c r="C95" s="361">
        <f>ROUND((C88+C91+C92)*D95,0)</f>
        <v>0</v>
      </c>
      <c r="D95" s="362">
        <v>0.2</v>
      </c>
      <c r="E95" s="3425" t="s">
        <v>356</v>
      </c>
      <c r="F95" s="3354"/>
      <c r="G95" s="3354"/>
      <c r="H95" s="3355"/>
      <c r="I95" s="1024"/>
      <c r="J95" s="2121"/>
      <c r="K95" s="2121"/>
      <c r="L95" s="2121"/>
      <c r="M95" s="2121"/>
      <c r="N95" s="2121"/>
      <c r="O95" s="2121"/>
      <c r="P95" s="2121"/>
      <c r="Q95" s="2121"/>
      <c r="R95" s="2121"/>
      <c r="S95" s="2121"/>
      <c r="T95" s="2121"/>
      <c r="U95" s="2121"/>
      <c r="V95" s="2121"/>
      <c r="W95" s="2121"/>
      <c r="X95" s="2121"/>
      <c r="Y95" s="2121"/>
      <c r="Z95" s="2121"/>
      <c r="AA95" s="1248"/>
      <c r="AB95" s="1248"/>
      <c r="AC95" s="1248"/>
      <c r="AD95" s="1248"/>
      <c r="AE95" s="1248"/>
      <c r="AF95" s="1248"/>
      <c r="AG95" s="1248"/>
      <c r="AH95" s="1248"/>
      <c r="AI95" s="1248"/>
    </row>
    <row r="96" spans="1:35" s="1081" customFormat="1" ht="13.5" hidden="1">
      <c r="A96" s="363" t="s">
        <v>168</v>
      </c>
      <c r="B96" s="338" t="s">
        <v>342</v>
      </c>
      <c r="C96" s="341">
        <f ca="1">ROUND(C86-C87,0)</f>
        <v>135661</v>
      </c>
      <c r="D96" s="334" t="s">
        <v>167</v>
      </c>
      <c r="E96" s="2031"/>
      <c r="F96" s="2030"/>
      <c r="G96" s="2030"/>
      <c r="H96" s="372"/>
      <c r="I96" s="1024"/>
      <c r="J96" s="2121"/>
      <c r="K96" s="2121"/>
      <c r="L96" s="2121"/>
      <c r="M96" s="2121"/>
      <c r="N96" s="2121"/>
      <c r="O96" s="2121"/>
      <c r="P96" s="2121"/>
      <c r="Q96" s="2121"/>
      <c r="R96" s="2121"/>
      <c r="S96" s="2121"/>
      <c r="T96" s="2121"/>
      <c r="U96" s="2121"/>
      <c r="V96" s="2121"/>
      <c r="W96" s="2121"/>
      <c r="X96" s="2121"/>
      <c r="Y96" s="2121"/>
      <c r="Z96" s="2121"/>
      <c r="AA96" s="1248"/>
      <c r="AB96" s="1248"/>
      <c r="AC96" s="1248"/>
      <c r="AD96" s="1248"/>
      <c r="AE96" s="1248"/>
      <c r="AF96" s="1248"/>
      <c r="AG96" s="1248"/>
      <c r="AH96" s="1248"/>
      <c r="AI96" s="1248"/>
    </row>
    <row r="97" spans="1:35" s="1081" customFormat="1" ht="13.5" hidden="1">
      <c r="A97" s="363" t="s">
        <v>169</v>
      </c>
      <c r="B97" s="338" t="s">
        <v>343</v>
      </c>
      <c r="C97" s="364">
        <f ca="1">IF(C96&lt;=0,0,C96/C87)</f>
        <v>165.64224664224665</v>
      </c>
      <c r="D97" s="334" t="s">
        <v>167</v>
      </c>
      <c r="E97" s="195" t="str">
        <f ca="1">IF(C97&gt;=200%,"增值额超过扣除项目金额200%",IF(C97&gt;=100%,"增值额超过扣除项目金额100%，未超过200%",IF(C97&gt;=50%,"增值额超过扣除项目金额50%，未超过100%",IF(C97&lt;50%,"增值额未超过扣除项目金额50%"))))</f>
        <v>增值额超过扣除项目金额200%</v>
      </c>
      <c r="F97" s="2030"/>
      <c r="G97" s="2030"/>
      <c r="H97" s="372"/>
      <c r="I97" s="1024"/>
      <c r="J97" s="2121"/>
      <c r="K97" s="2121"/>
      <c r="L97" s="2121"/>
      <c r="M97" s="2121"/>
      <c r="N97" s="2121"/>
      <c r="O97" s="2121"/>
      <c r="P97" s="2121"/>
      <c r="Q97" s="2121"/>
      <c r="R97" s="2121"/>
      <c r="S97" s="2121"/>
      <c r="T97" s="2121"/>
      <c r="U97" s="2121"/>
      <c r="V97" s="2121"/>
      <c r="W97" s="2121"/>
      <c r="X97" s="2121"/>
      <c r="Y97" s="2121"/>
      <c r="Z97" s="2121"/>
      <c r="AA97" s="1248"/>
      <c r="AB97" s="1248"/>
      <c r="AC97" s="1248"/>
      <c r="AD97" s="1248"/>
      <c r="AE97" s="1248"/>
      <c r="AF97" s="1248"/>
      <c r="AG97" s="1248"/>
      <c r="AH97" s="1248"/>
      <c r="AI97" s="1248"/>
    </row>
    <row r="98" spans="1:35" s="1081" customFormat="1" ht="14.25" hidden="1" thickBot="1">
      <c r="A98" s="365" t="s">
        <v>170</v>
      </c>
      <c r="B98" s="343" t="s">
        <v>344</v>
      </c>
      <c r="C98" s="366">
        <f ca="1">ROUND(IF(C96&lt;=0,0,IF(C97&gt;=200%,C96*60%-C87*35%,IF(C97&gt;=100%,C96*50%-C87*15%,IF(C97&gt;=50%,C96*40%-C87*5%,IF(C97&lt;50%,C96*30%,0))))),0)</f>
        <v>81110</v>
      </c>
      <c r="D98" s="367" t="s">
        <v>167</v>
      </c>
      <c r="E98" s="368"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69"/>
      <c r="G98" s="369"/>
      <c r="H98" s="377"/>
      <c r="I98" s="1024"/>
      <c r="J98" s="2121"/>
      <c r="K98" s="2121"/>
      <c r="L98" s="2121"/>
      <c r="M98" s="2121"/>
      <c r="N98" s="2121"/>
      <c r="O98" s="2121"/>
      <c r="P98" s="2121"/>
      <c r="Q98" s="2121"/>
      <c r="R98" s="2121"/>
      <c r="S98" s="2121"/>
      <c r="T98" s="2121"/>
      <c r="U98" s="2121"/>
      <c r="V98" s="2121"/>
      <c r="W98" s="2121"/>
      <c r="X98" s="2121"/>
      <c r="Y98" s="2121"/>
      <c r="Z98" s="2121"/>
      <c r="AA98" s="1248"/>
      <c r="AB98" s="1248"/>
      <c r="AC98" s="1248"/>
      <c r="AD98" s="1248"/>
      <c r="AE98" s="1248"/>
      <c r="AF98" s="1248"/>
      <c r="AG98" s="1248"/>
      <c r="AH98" s="1248"/>
      <c r="AI98" s="1248"/>
    </row>
    <row r="99" spans="1:35" ht="21.75" hidden="1" customHeight="1" thickBot="1">
      <c r="A99" s="1067" t="s">
        <v>238</v>
      </c>
      <c r="B99" s="1059"/>
      <c r="C99" s="1059"/>
      <c r="D99" s="1059"/>
      <c r="E99" s="167"/>
      <c r="F99" s="167"/>
      <c r="G99" s="167"/>
      <c r="H99" s="168"/>
      <c r="I99" s="1059"/>
    </row>
    <row r="100" spans="1:35" ht="14.25" hidden="1">
      <c r="A100" s="3418" t="s">
        <v>239</v>
      </c>
      <c r="B100" s="3419"/>
      <c r="C100" s="3419"/>
      <c r="D100" s="3420"/>
      <c r="E100" s="1059"/>
      <c r="F100" s="3430" t="s">
        <v>2759</v>
      </c>
      <c r="G100" s="3431"/>
      <c r="H100" s="3431"/>
      <c r="I100" s="3432"/>
    </row>
    <row r="101" spans="1:35" ht="14.25" hidden="1">
      <c r="A101" s="3433" t="s">
        <v>210</v>
      </c>
      <c r="B101" s="3434"/>
      <c r="C101" s="1084" t="str">
        <f>C4</f>
        <v>比较法-住宅</v>
      </c>
      <c r="D101" s="1085" t="str">
        <f>D4</f>
        <v>收益法</v>
      </c>
      <c r="E101" s="1059"/>
      <c r="F101" s="3318" t="s">
        <v>1852</v>
      </c>
      <c r="G101" s="3319"/>
      <c r="H101" s="3458" t="s">
        <v>1964</v>
      </c>
      <c r="I101" s="3435"/>
    </row>
    <row r="102" spans="1:35" ht="15.75" hidden="1">
      <c r="A102" s="3459" t="s">
        <v>2216</v>
      </c>
      <c r="B102" s="1678" t="str">
        <f>IF(H19="元","总价（元）","总价（万元）")</f>
        <v>总价（万元）</v>
      </c>
      <c r="C102" s="1051">
        <f ca="1">C19</f>
        <v>154</v>
      </c>
      <c r="D102" s="1052">
        <f ca="1">D19</f>
        <v>88</v>
      </c>
      <c r="E102" s="1059"/>
      <c r="F102" s="3460"/>
      <c r="G102" s="3461"/>
      <c r="H102" s="3316">
        <f>典型户型修正!B25</f>
        <v>88039.929999999338</v>
      </c>
      <c r="I102" s="3317"/>
    </row>
    <row r="103" spans="1:35" ht="15.75" hidden="1">
      <c r="A103" s="3459"/>
      <c r="B103" s="1678" t="s">
        <v>1850</v>
      </c>
      <c r="C103" s="1053">
        <f ca="1">C20</f>
        <v>17426</v>
      </c>
      <c r="D103" s="1054">
        <f ca="1">D20</f>
        <v>9958</v>
      </c>
      <c r="E103" s="1059"/>
      <c r="F103" s="3345" t="s">
        <v>1858</v>
      </c>
      <c r="G103" s="3346"/>
      <c r="H103" s="1878" t="str">
        <f>C109</f>
        <v>总价（万元）</v>
      </c>
      <c r="I103" s="3066">
        <f ca="1">H124</f>
        <v>143304</v>
      </c>
    </row>
    <row r="104" spans="1:35" ht="15" hidden="1">
      <c r="A104" s="3459" t="s">
        <v>2217</v>
      </c>
      <c r="B104" s="1679" t="str">
        <f>B102</f>
        <v>总价（万元）</v>
      </c>
      <c r="C104" s="2043">
        <f ca="1">ROUND(IF('数据-取费表'!B4="总价",G19,IF(H19="元",G20*'数据-取费表'!E5,G20*'数据-取费表'!E5/10000)),0)</f>
        <v>141</v>
      </c>
      <c r="D104" s="1056"/>
      <c r="E104" s="1059"/>
      <c r="F104" s="3345"/>
      <c r="G104" s="3346"/>
      <c r="H104" s="1878" t="s">
        <v>1850</v>
      </c>
      <c r="I104" s="1766">
        <f ca="1">I124</f>
        <v>16277</v>
      </c>
    </row>
    <row r="105" spans="1:35" ht="15" hidden="1">
      <c r="A105" s="3459"/>
      <c r="B105" s="1678" t="s">
        <v>1850</v>
      </c>
      <c r="C105" s="2046">
        <f ca="1">ROUND(IF('数据-取费表'!B4="楼面单价",G20,IF(H19="元",G19/'数据-取费表'!E5,G19*10000/'数据-取费表'!E5)),0)</f>
        <v>15970</v>
      </c>
      <c r="D105" s="1056"/>
      <c r="E105" s="1059"/>
      <c r="F105" s="3428"/>
      <c r="G105" s="3429"/>
      <c r="H105" s="3412"/>
      <c r="I105" s="3413"/>
    </row>
    <row r="106" spans="1:35" ht="15.75" hidden="1">
      <c r="A106" s="3452" t="s">
        <v>2214</v>
      </c>
      <c r="B106" s="2041" t="str">
        <f>B102</f>
        <v>总价（万元）</v>
      </c>
      <c r="C106" s="1055">
        <f ca="1">H124</f>
        <v>143304</v>
      </c>
      <c r="D106" s="2042"/>
      <c r="E106" s="1059"/>
      <c r="F106" s="3416" t="s">
        <v>1959</v>
      </c>
      <c r="G106" s="3417"/>
      <c r="H106" s="1879" t="str">
        <f>C111</f>
        <v>总额（万元）</v>
      </c>
      <c r="I106" s="3066">
        <f>SUMIF(I107:I109,"&lt;9E307")</f>
        <v>0</v>
      </c>
    </row>
    <row r="107" spans="1:35" ht="15.75" hidden="1" thickBot="1">
      <c r="A107" s="3411"/>
      <c r="B107" s="1680" t="s">
        <v>1850</v>
      </c>
      <c r="C107" s="1057">
        <f ca="1">I124</f>
        <v>16277</v>
      </c>
      <c r="D107" s="1058"/>
      <c r="E107" s="1059"/>
      <c r="F107" s="3334" t="s">
        <v>1855</v>
      </c>
      <c r="G107" s="3335"/>
      <c r="H107" s="1879" t="str">
        <f>C112</f>
        <v>总额（万元）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hidden="1">
      <c r="A108" s="3455" t="s">
        <v>2758</v>
      </c>
      <c r="B108" s="3456"/>
      <c r="C108" s="3456"/>
      <c r="D108" s="3457"/>
      <c r="E108" s="1059"/>
      <c r="F108" s="3334" t="s">
        <v>1856</v>
      </c>
      <c r="G108" s="3335"/>
      <c r="H108" s="1879" t="str">
        <f>C113</f>
        <v>总额（万元）</v>
      </c>
      <c r="I108" s="1766">
        <f>C38</f>
        <v>0</v>
      </c>
      <c r="K108" s="2122"/>
    </row>
    <row r="109" spans="1:35" ht="15" hidden="1">
      <c r="A109" s="3332" t="s">
        <v>1859</v>
      </c>
      <c r="B109" s="3333"/>
      <c r="C109" s="1878" t="str">
        <f>B102</f>
        <v>总价（万元）</v>
      </c>
      <c r="D109" s="1767">
        <f ca="1">H124</f>
        <v>143304</v>
      </c>
      <c r="E109" s="1059"/>
      <c r="F109" s="3334" t="s">
        <v>1857</v>
      </c>
      <c r="G109" s="3335"/>
      <c r="H109" s="1879" t="str">
        <f>C114</f>
        <v>总额（万元）</v>
      </c>
      <c r="I109" s="1766">
        <f>C39</f>
        <v>0</v>
      </c>
    </row>
    <row r="110" spans="1:35" ht="14.25" hidden="1">
      <c r="A110" s="3332"/>
      <c r="B110" s="3333"/>
      <c r="C110" s="1878" t="s">
        <v>1850</v>
      </c>
      <c r="D110" s="1768">
        <f ca="1">I124</f>
        <v>16277</v>
      </c>
      <c r="E110" s="1059"/>
      <c r="F110" s="3428"/>
      <c r="G110" s="3429"/>
      <c r="H110" s="3414"/>
      <c r="I110" s="3415"/>
    </row>
    <row r="111" spans="1:35" ht="28.5" hidden="1" customHeight="1">
      <c r="A111" s="3339" t="s">
        <v>1959</v>
      </c>
      <c r="B111" s="3340"/>
      <c r="C111" s="1879" t="str">
        <f>IF(H19="元","总额（元）","总额（万元）")</f>
        <v>总额（万元）</v>
      </c>
      <c r="D111" s="1767">
        <f>IF(D37="正常操作",I107+I108+I109,I108+I109)</f>
        <v>0</v>
      </c>
      <c r="E111" s="1059"/>
      <c r="F111" s="3320" t="str">
        <f>IF(项目基本情况!F5="已注销","——","3.房地产抵押价值")</f>
        <v>3.房地产抵押价值</v>
      </c>
      <c r="G111" s="3321"/>
      <c r="H111" s="3077" t="str">
        <f>C115</f>
        <v>总价（万元）</v>
      </c>
      <c r="I111" s="3066">
        <f ca="1">IF(F111="——","——",I103-I106)</f>
        <v>143304</v>
      </c>
    </row>
    <row r="112" spans="1:35" ht="14.25" hidden="1">
      <c r="A112" s="3334" t="s">
        <v>1855</v>
      </c>
      <c r="B112" s="3335"/>
      <c r="C112" s="1879" t="str">
        <f>C111</f>
        <v>总额（万元）</v>
      </c>
      <c r="D112" s="855">
        <f>IF(D37="同一抵押权人同一抵押物续贷",C37&amp;"（未扣减，详见特别提示）",C37)</f>
        <v>0</v>
      </c>
      <c r="E112" s="1059"/>
      <c r="F112" s="3449"/>
      <c r="G112" s="3450"/>
      <c r="H112" s="1878" t="s">
        <v>1850</v>
      </c>
      <c r="I112" s="3074">
        <f ca="1">D116</f>
        <v>16277</v>
      </c>
    </row>
    <row r="113" spans="1:26" ht="15.75" hidden="1">
      <c r="A113" s="3334" t="s">
        <v>1856</v>
      </c>
      <c r="B113" s="3335"/>
      <c r="C113" s="1879" t="str">
        <f>C111</f>
        <v>总额（万元）</v>
      </c>
      <c r="D113" s="855">
        <f>C38</f>
        <v>0</v>
      </c>
      <c r="E113" s="1059"/>
      <c r="F113" s="3320" t="str">
        <f>IF(项目基本情况!F5="已注销及未注销","4.抵押担保权已注销时的房地产抵押价值",IF(项目基本情况!F5="已注销","3.抵押担保权已注销时的房地产抵押价值","——"))</f>
        <v>——</v>
      </c>
      <c r="G113" s="3321"/>
      <c r="H113" s="3077" t="str">
        <f>C117</f>
        <v>总价（万元）</v>
      </c>
      <c r="I113" s="3066" t="str">
        <f>IF(F113="——","——",I103-I108-I109)</f>
        <v>——</v>
      </c>
    </row>
    <row r="114" spans="1:26" ht="14.25" hidden="1">
      <c r="A114" s="3334" t="s">
        <v>1857</v>
      </c>
      <c r="B114" s="3335"/>
      <c r="C114" s="1879" t="str">
        <f>C111</f>
        <v>总额（万元）</v>
      </c>
      <c r="D114" s="855">
        <f>C39</f>
        <v>0</v>
      </c>
      <c r="E114" s="1059"/>
      <c r="F114" s="3449"/>
      <c r="G114" s="3450"/>
      <c r="H114" s="1878" t="s">
        <v>1850</v>
      </c>
      <c r="I114" s="3067" t="str">
        <f>D118</f>
        <v>——</v>
      </c>
    </row>
    <row r="115" spans="1:26" ht="15.75" hidden="1">
      <c r="A115" s="3332" t="str">
        <f>IF(项目基本情况!F5="已注销","——","3.房地产抵押价值")</f>
        <v>3.房地产抵押价值</v>
      </c>
      <c r="B115" s="3333"/>
      <c r="C115" s="1878" t="str">
        <f>B102</f>
        <v>总价（万元）</v>
      </c>
      <c r="D115" s="1767">
        <f ca="1">IF(A115="——","——",D109-D111)</f>
        <v>143304</v>
      </c>
      <c r="E115" s="1059"/>
      <c r="F115" s="3320" t="str">
        <f>IF(项目基本情况!G5="抵押净值",IF(OR(项目基本情况!F5="已注销",项目基本情况!F5="房地产抵押价值"),"4.抵押净值","5.抵押净值"),"——")</f>
        <v>——</v>
      </c>
      <c r="G115" s="3321"/>
      <c r="H115" s="1878" t="str">
        <f>C119</f>
        <v>总价（万元）</v>
      </c>
      <c r="I115" s="3066" t="str">
        <f>IF(F115="——","——",N60)</f>
        <v>——</v>
      </c>
    </row>
    <row r="116" spans="1:26" ht="15.75" hidden="1" thickBot="1">
      <c r="A116" s="3332"/>
      <c r="B116" s="3333"/>
      <c r="C116" s="1878" t="s">
        <v>1850</v>
      </c>
      <c r="D116" s="1768">
        <f ca="1">ROUND(IF(D115=D109,D110,IF(H19="元",D115/B124,D115*10000/B124)),0)</f>
        <v>16277</v>
      </c>
      <c r="E116" s="1059"/>
      <c r="F116" s="3322"/>
      <c r="G116" s="3323"/>
      <c r="H116" s="1880" t="s">
        <v>1850</v>
      </c>
      <c r="I116" s="3076" t="str">
        <f ca="1">D120</f>
        <v>——</v>
      </c>
    </row>
    <row r="117" spans="1:26" ht="15" hidden="1">
      <c r="A117" s="3332" t="str">
        <f>IF(项目基本情况!F5="已注销及未注销","4.抵押担保权已注销时的房地产抵押价值",IF(项目基本情况!F5="已注销","3.抵押担保权已注销时的房地产抵押价值","——"))</f>
        <v>——</v>
      </c>
      <c r="B117" s="3333"/>
      <c r="C117" s="1878" t="str">
        <f>B102</f>
        <v>总价（万元）</v>
      </c>
      <c r="D117" s="1767" t="str">
        <f>IF(A117="——","——",D109-D113-D114)</f>
        <v>——</v>
      </c>
      <c r="E117" s="1059"/>
      <c r="F117" s="3444"/>
      <c r="G117" s="3444"/>
      <c r="H117" s="3397"/>
      <c r="I117" s="3397"/>
      <c r="N117" s="1889"/>
      <c r="O117" s="1889"/>
    </row>
    <row r="118" spans="1:26" s="1226" customFormat="1" ht="14.25" hidden="1">
      <c r="A118" s="3332"/>
      <c r="B118" s="3333"/>
      <c r="C118" s="1878" t="s">
        <v>1850</v>
      </c>
      <c r="D118" s="1768" t="str">
        <f>IF(A117="——","——",IF(H19="元",ROUND(D117/B124,0),ROUND(D117*10000/B124,0)))</f>
        <v>——</v>
      </c>
      <c r="E118" s="1059"/>
      <c r="F118" s="3454" t="str">
        <f>IF(B32="总价","（以上估价结果中楼面单价为总价除以建筑面积得出）","（以上估价结果中总价为楼面单价乘以建筑面积得出）")</f>
        <v>（以上估价结果中总价为楼面单价乘以建筑面积得出）</v>
      </c>
      <c r="G118" s="3454"/>
      <c r="H118" s="3454"/>
      <c r="I118" s="3454"/>
      <c r="J118" s="1259"/>
      <c r="K118" s="1259"/>
      <c r="L118" s="1259"/>
      <c r="M118" s="1259"/>
      <c r="N118" s="1889"/>
      <c r="O118" s="1889"/>
      <c r="P118" s="1259"/>
      <c r="Q118" s="1259"/>
      <c r="R118" s="1259"/>
      <c r="S118" s="1259"/>
      <c r="T118" s="1259"/>
      <c r="U118" s="1259"/>
      <c r="V118" s="1259"/>
      <c r="W118" s="1259"/>
      <c r="X118" s="1259"/>
      <c r="Y118" s="1259"/>
      <c r="Z118" s="1259"/>
    </row>
    <row r="119" spans="1:26" s="1226" customFormat="1" ht="15" hidden="1">
      <c r="A119" s="3332" t="str">
        <f>IF(项目基本情况!G5="抵押净值",IF(OR(项目基本情况!F5="已注销",项目基本情况!F5="房地产抵押价值"),"4.抵押净值","5.抵押净值"),"——")</f>
        <v>——</v>
      </c>
      <c r="B119" s="3333"/>
      <c r="C119" s="1878" t="str">
        <f>B102</f>
        <v>总价（万元）</v>
      </c>
      <c r="D119" s="1767" t="str">
        <f>IF(A119="——","——",N60)</f>
        <v>——</v>
      </c>
      <c r="E119" s="1059"/>
      <c r="F119" s="2040"/>
      <c r="G119" s="2040"/>
      <c r="H119" s="2040"/>
      <c r="I119" s="2040"/>
      <c r="J119" s="1259"/>
      <c r="K119" s="1259"/>
      <c r="L119" s="1259"/>
      <c r="M119" s="1259"/>
      <c r="N119" s="1889"/>
      <c r="O119" s="1889"/>
      <c r="P119" s="1259"/>
      <c r="Q119" s="1259"/>
      <c r="R119" s="1259"/>
      <c r="S119" s="1259"/>
      <c r="T119" s="1259"/>
      <c r="U119" s="1259"/>
      <c r="V119" s="1259"/>
      <c r="W119" s="1259"/>
      <c r="X119" s="1259"/>
      <c r="Y119" s="1259"/>
      <c r="Z119" s="1259"/>
    </row>
    <row r="120" spans="1:26" s="1226" customFormat="1" ht="15" hidden="1" thickBot="1">
      <c r="A120" s="3337"/>
      <c r="B120" s="3338"/>
      <c r="C120" s="1880" t="s">
        <v>1850</v>
      </c>
      <c r="D120" s="1769" t="str">
        <f ca="1">IF(D119=D109,D110,IF(A119="——","——",N62))</f>
        <v>——</v>
      </c>
      <c r="E120" s="1059"/>
      <c r="F120" s="2040"/>
      <c r="G120" s="2040"/>
      <c r="H120" s="2040"/>
      <c r="I120" s="2040"/>
      <c r="J120" s="1259"/>
      <c r="K120" s="1259"/>
      <c r="L120" s="1259"/>
      <c r="M120" s="1259"/>
      <c r="N120" s="1889"/>
      <c r="O120" s="1889"/>
      <c r="P120" s="1259"/>
      <c r="Q120" s="1259"/>
      <c r="R120" s="1259"/>
      <c r="S120" s="1259"/>
      <c r="T120" s="1259"/>
      <c r="U120" s="1259"/>
      <c r="V120" s="1259"/>
      <c r="W120" s="1259"/>
      <c r="X120" s="1259"/>
      <c r="Y120" s="1259"/>
      <c r="Z120" s="1259"/>
    </row>
    <row r="121" spans="1:26" s="1226" customFormat="1" ht="13.5" hidden="1">
      <c r="A121" s="3398" t="s">
        <v>2889</v>
      </c>
      <c r="B121" s="3399"/>
      <c r="C121" s="3399"/>
      <c r="D121" s="3399"/>
      <c r="E121" s="3399"/>
      <c r="F121" s="3399"/>
      <c r="G121" s="3399"/>
      <c r="H121" s="3399"/>
      <c r="I121" s="3399"/>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hidden="1">
      <c r="A122" s="3313" t="s">
        <v>3</v>
      </c>
      <c r="B122" s="3343" t="s">
        <v>1879</v>
      </c>
      <c r="C122" s="3343" t="s">
        <v>694</v>
      </c>
      <c r="D122" s="3426" t="s">
        <v>209</v>
      </c>
      <c r="E122" s="3427"/>
      <c r="F122" s="3314" t="s">
        <v>676</v>
      </c>
      <c r="G122" s="3314"/>
      <c r="H122" s="3314" t="s">
        <v>4</v>
      </c>
      <c r="I122" s="3424"/>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hidden="1">
      <c r="A123" s="3313"/>
      <c r="B123" s="3344"/>
      <c r="C123" s="3344"/>
      <c r="D123" s="2026" t="s">
        <v>5</v>
      </c>
      <c r="E123" s="2026" t="s">
        <v>695</v>
      </c>
      <c r="F123" s="2026" t="s">
        <v>5</v>
      </c>
      <c r="G123" s="2026" t="s">
        <v>6</v>
      </c>
      <c r="H123" s="2026" t="s">
        <v>5</v>
      </c>
      <c r="I123" s="2037"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27" hidden="1">
      <c r="A124" s="2025" t="str">
        <f>项目基本情况!I1</f>
        <v>浙江省杭州市房地产</v>
      </c>
      <c r="B124" s="2032">
        <f>典型户型修正!B25</f>
        <v>88039.929999999338</v>
      </c>
      <c r="C124" s="618"/>
      <c r="D124" s="2032">
        <f>C35</f>
        <v>0</v>
      </c>
      <c r="E124" s="2032">
        <f>ROUND(IF(H19="元",D124/B124,D124*10000/B124),0)</f>
        <v>0</v>
      </c>
      <c r="F124" s="2032">
        <f>C36</f>
        <v>0</v>
      </c>
      <c r="G124" s="2032">
        <f>ROUND(IF(H19="元",F124/B124,F124*10000/B124),0)</f>
        <v>0</v>
      </c>
      <c r="H124" s="2032">
        <f ca="1">C33</f>
        <v>143304</v>
      </c>
      <c r="I124" s="855">
        <f ca="1">C34</f>
        <v>16277</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hidden="1">
      <c r="A125" s="3313" t="s">
        <v>7</v>
      </c>
      <c r="B125" s="3314"/>
      <c r="C125" s="3314"/>
      <c r="D125" s="3347" t="str">
        <f>IF(H19="元",NUMBERSTRING(INT(D124),2)&amp;"元整",NUMBERSTRING(INT(D124*10000),2)&amp;"元整")</f>
        <v>零元整</v>
      </c>
      <c r="E125" s="3403"/>
      <c r="F125" s="3347" t="str">
        <f>IF(H19="元",NUMBERSTRING(INT(F124),2)&amp;"元整",NUMBERSTRING(INT(F124*10000),2)&amp;"元整")</f>
        <v>零元整</v>
      </c>
      <c r="G125" s="3403"/>
      <c r="H125" s="3347" t="str">
        <f ca="1">IF(H19="元",NUMBERSTRING(INT(H124),2)&amp;"元整",NUMBERSTRING(INT(H124*10000),2)&amp;"元整")</f>
        <v>壹拾肆亿叁仟叁佰零肆万元整</v>
      </c>
      <c r="I125" s="3348"/>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hidden="1">
      <c r="A126" s="3404" t="str">
        <f>MID(A111,3,LEN(A111)-2)</f>
        <v>估价师所知悉的法定优先受偿款</v>
      </c>
      <c r="B126" s="3405"/>
      <c r="C126" s="3406"/>
      <c r="D126" s="3324">
        <f>I106</f>
        <v>0</v>
      </c>
      <c r="E126" s="3325"/>
      <c r="F126" s="3325"/>
      <c r="G126" s="3325"/>
      <c r="H126" s="3325"/>
      <c r="I126" s="3326"/>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hidden="1">
      <c r="A127" s="3407" t="s">
        <v>7</v>
      </c>
      <c r="B127" s="3408"/>
      <c r="C127" s="3409"/>
      <c r="D127" s="3327">
        <f>H110</f>
        <v>0</v>
      </c>
      <c r="E127" s="3328"/>
      <c r="F127" s="3328"/>
      <c r="G127" s="3328"/>
      <c r="H127" s="3328"/>
      <c r="I127" s="3329"/>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hidden="1">
      <c r="A128" s="3330" t="str">
        <f>MID(A115,3,LEN(A115)-2)</f>
        <v>房地产抵押价值</v>
      </c>
      <c r="B128" s="3331"/>
      <c r="C128" s="3331"/>
      <c r="D128" s="3324">
        <f ca="1">I111</f>
        <v>143304</v>
      </c>
      <c r="E128" s="3325"/>
      <c r="F128" s="3325"/>
      <c r="G128" s="3325"/>
      <c r="H128" s="3325"/>
      <c r="I128" s="3326"/>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hidden="1">
      <c r="A129" s="3313" t="s">
        <v>7</v>
      </c>
      <c r="B129" s="3314"/>
      <c r="C129" s="3314"/>
      <c r="D129" s="3327">
        <f ca="1">I112</f>
        <v>16277</v>
      </c>
      <c r="E129" s="3328"/>
      <c r="F129" s="3328"/>
      <c r="G129" s="3328"/>
      <c r="H129" s="3328"/>
      <c r="I129" s="3329"/>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hidden="1" thickBot="1">
      <c r="A130" s="3330" t="str">
        <f>MID(A117,3,LEN(A117)-2)</f>
        <v/>
      </c>
      <c r="B130" s="3331"/>
      <c r="C130" s="3331"/>
      <c r="D130" s="3441" t="str">
        <f>I113</f>
        <v>——</v>
      </c>
      <c r="E130" s="3442"/>
      <c r="F130" s="3442"/>
      <c r="G130" s="3442"/>
      <c r="H130" s="3442"/>
      <c r="I130" s="3443"/>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hidden="1" thickTop="1" thickBot="1">
      <c r="A131" s="3313" t="s">
        <v>7</v>
      </c>
      <c r="B131" s="3314"/>
      <c r="C131" s="3315"/>
      <c r="D131" s="3396" t="str">
        <f>I114</f>
        <v>——</v>
      </c>
      <c r="E131" s="3396"/>
      <c r="F131" s="3396"/>
      <c r="G131" s="3396"/>
      <c r="H131" s="3396"/>
      <c r="I131" s="3396"/>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hidden="1" thickTop="1" thickBot="1">
      <c r="A132" s="3330" t="str">
        <f>MID(F115,3,LEN(F115)-2)</f>
        <v/>
      </c>
      <c r="B132" s="3331"/>
      <c r="C132" s="3395"/>
      <c r="D132" s="3336" t="str">
        <f>I115</f>
        <v>——</v>
      </c>
      <c r="E132" s="3336"/>
      <c r="F132" s="3336"/>
      <c r="G132" s="3336"/>
      <c r="H132" s="3336"/>
      <c r="I132" s="3336"/>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hidden="1" thickTop="1" thickBot="1">
      <c r="A133" s="3341" t="s">
        <v>7</v>
      </c>
      <c r="B133" s="3342"/>
      <c r="C133" s="3342"/>
      <c r="D133" s="3349">
        <f>H117</f>
        <v>0</v>
      </c>
      <c r="E133" s="3350"/>
      <c r="F133" s="3350"/>
      <c r="G133" s="3350"/>
      <c r="H133" s="3350"/>
      <c r="I133" s="3351"/>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hidden="1">
      <c r="A134" s="1756" t="str">
        <f>IF(H19="元","单位：平方米、元、元/平方米（币种：人民币）","单位：平方米、万元、元/平方米（币种：人民币）")</f>
        <v>单位：平方米、万元、元/平方米（币种：人民币）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hidden="1" thickBot="1">
      <c r="A135" s="3311" t="str">
        <f>IF(B32="总价","（以上估价结果中楼面单价为总价除以建筑面积得出）","（以上估价结果中总价为楼面单价乘以建筑面积得出）")</f>
        <v>（以上估价结果中总价为楼面单价乘以建筑面积得出）</v>
      </c>
      <c r="B135" s="3311"/>
      <c r="C135" s="3311"/>
      <c r="D135" s="3311"/>
      <c r="E135" s="3311"/>
      <c r="F135" s="3311"/>
      <c r="G135" s="3311"/>
      <c r="H135" s="3311"/>
      <c r="I135" s="331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0" t="s">
        <v>696</v>
      </c>
      <c r="B136" s="1891"/>
      <c r="C136" s="1892" t="s">
        <v>150</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89"/>
      <c r="G139" s="1889"/>
      <c r="H139" s="1889"/>
      <c r="I139" s="1889"/>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697</v>
      </c>
      <c r="G142" s="1261"/>
      <c r="H142" s="1261"/>
      <c r="I142" s="1262" t="s">
        <v>698</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699</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700</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701</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700</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9"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43" sqref="H43"/>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725</v>
      </c>
      <c r="B1" s="2318"/>
      <c r="C1" s="379"/>
      <c r="D1" s="379"/>
      <c r="E1" s="379"/>
      <c r="F1" s="379"/>
      <c r="G1" s="380"/>
    </row>
    <row r="2" spans="1:7" s="381" customFormat="1" ht="18" customHeight="1">
      <c r="A2" s="382" t="s">
        <v>726</v>
      </c>
      <c r="B2" s="383">
        <f ca="1">IF(D2="——",IF(C2="元",C52,ROUND(C52/10000,0)),IF(C2="元",C52,ROUND(C52/10000,0))-E2)</f>
        <v>33433</v>
      </c>
      <c r="C2" s="32" t="str">
        <f>'数据-取费表'!B3</f>
        <v>万元</v>
      </c>
      <c r="D2" s="2651" t="s">
        <v>2895</v>
      </c>
      <c r="E2" s="2649" t="e">
        <f ca="1">SUMIF(INDIRECT("'"&amp;G2&amp;"'"&amp;"!A:A"),"承租人权益价值",INDIRECT("'"&amp;G2&amp;"'"&amp;"!c:c"))</f>
        <v>#REF!</v>
      </c>
      <c r="F2" s="2650" t="str">
        <f>C2</f>
        <v>万元</v>
      </c>
      <c r="G2" s="2652"/>
    </row>
    <row r="3" spans="1:7" s="381" customFormat="1" ht="18" customHeight="1" thickBot="1">
      <c r="A3" s="384" t="s">
        <v>727</v>
      </c>
      <c r="B3" s="385">
        <f ca="1">ROUND(C52/IF(B1="仅计算典型户型",'数据-取费表'!E5,'数据-取费表'!B5),0)</f>
        <v>3797</v>
      </c>
      <c r="C3" s="32" t="s">
        <v>766</v>
      </c>
      <c r="D3" s="380"/>
      <c r="E3" s="380"/>
      <c r="F3" s="380"/>
      <c r="G3" s="380"/>
    </row>
    <row r="4" spans="1:7" s="389" customFormat="1" ht="15.75">
      <c r="A4" s="386" t="s">
        <v>728</v>
      </c>
      <c r="B4" s="387"/>
      <c r="C4" s="387"/>
      <c r="D4" s="387"/>
      <c r="E4" s="387"/>
      <c r="F4" s="387"/>
      <c r="G4" s="388"/>
    </row>
    <row r="5" spans="1:7" s="392" customFormat="1" ht="13.5" customHeight="1">
      <c r="A5" s="421" t="s">
        <v>2238</v>
      </c>
      <c r="B5" s="390" t="s">
        <v>729</v>
      </c>
      <c r="C5" s="412">
        <f>C6+C7+C8</f>
        <v>1030500</v>
      </c>
      <c r="D5" s="412" t="s">
        <v>730</v>
      </c>
      <c r="E5" s="2635" t="s">
        <v>731</v>
      </c>
      <c r="F5" s="2635" t="s">
        <v>732</v>
      </c>
      <c r="G5" s="391"/>
    </row>
    <row r="6" spans="1:7" s="392" customFormat="1" ht="13.5" customHeight="1">
      <c r="A6" s="393" t="s">
        <v>2249</v>
      </c>
      <c r="B6" s="394" t="s">
        <v>733</v>
      </c>
      <c r="C6" s="2634">
        <v>1000000</v>
      </c>
      <c r="D6" s="2636"/>
      <c r="E6" s="2637"/>
      <c r="F6" s="2637"/>
      <c r="G6" s="396"/>
    </row>
    <row r="7" spans="1:7" s="392" customFormat="1" ht="13.5" customHeight="1">
      <c r="A7" s="393" t="s">
        <v>2250</v>
      </c>
      <c r="B7" s="394" t="s">
        <v>359</v>
      </c>
      <c r="C7" s="416">
        <f>ROUND(C6*F7,0)</f>
        <v>30500</v>
      </c>
      <c r="D7" s="416"/>
      <c r="E7" s="2637"/>
      <c r="F7" s="2638">
        <f>'数据-取费表'!E36+'数据-取费表'!E37</f>
        <v>3.0499999999999999E-2</v>
      </c>
      <c r="G7" s="396"/>
    </row>
    <row r="8" spans="1:7" s="397" customFormat="1">
      <c r="A8" s="393" t="s">
        <v>2251</v>
      </c>
      <c r="B8" s="394" t="s">
        <v>734</v>
      </c>
      <c r="C8" s="416">
        <f>IF(G8="已包含在土地购买价格中","0",'数据-取费表'!E13)</f>
        <v>0</v>
      </c>
      <c r="D8" s="2639"/>
      <c r="E8" s="416"/>
      <c r="F8" s="2638"/>
      <c r="G8" s="31"/>
    </row>
    <row r="9" spans="1:7" s="392" customFormat="1" ht="13.5" customHeight="1">
      <c r="A9" s="2281" t="s">
        <v>2254</v>
      </c>
      <c r="B9" s="398" t="s">
        <v>735</v>
      </c>
      <c r="C9" s="2640">
        <f>ROUND(D9*E9,0)</f>
        <v>7923594</v>
      </c>
      <c r="D9" s="2641">
        <f>IF('数据-取费表'!B10="住宅",IF(B1="仅计算典型户型",'数据-取费表'!E5,'数据-取费表'!B5),0)</f>
        <v>88039.929999999338</v>
      </c>
      <c r="E9" s="2640">
        <f>'数据-取费表'!E11</f>
        <v>90</v>
      </c>
      <c r="F9" s="2638"/>
      <c r="G9" s="399"/>
    </row>
    <row r="10" spans="1:7" s="392" customFormat="1" ht="13.5" customHeight="1">
      <c r="A10" s="2281" t="s">
        <v>2255</v>
      </c>
      <c r="B10" s="398" t="s">
        <v>736</v>
      </c>
      <c r="C10" s="2640">
        <f>ROUND(D10*E10,0)</f>
        <v>0</v>
      </c>
      <c r="D10" s="2641">
        <f>IF('数据-取费表'!B10&lt;&gt;"住宅",IF(B1="仅计算典型户型",'数据-取费表'!E5,'数据-取费表'!B5),0)</f>
        <v>0</v>
      </c>
      <c r="E10" s="2640">
        <f>'数据-取费表'!E12</f>
        <v>140</v>
      </c>
      <c r="F10" s="2638"/>
      <c r="G10" s="399"/>
    </row>
    <row r="11" spans="1:7" s="392" customFormat="1" ht="13.5" hidden="1" customHeight="1">
      <c r="A11" s="393" t="s">
        <v>26</v>
      </c>
      <c r="B11" s="394" t="s">
        <v>737</v>
      </c>
      <c r="C11" s="412"/>
      <c r="D11" s="416"/>
      <c r="E11" s="2637"/>
      <c r="F11" s="2637"/>
      <c r="G11" s="396"/>
    </row>
    <row r="12" spans="1:7" s="392" customFormat="1" ht="13.5" hidden="1" customHeight="1">
      <c r="A12" s="393" t="s">
        <v>27</v>
      </c>
      <c r="B12" s="394" t="s">
        <v>738</v>
      </c>
      <c r="C12" s="412">
        <v>0</v>
      </c>
      <c r="D12" s="416"/>
      <c r="E12" s="2642"/>
      <c r="F12" s="2638">
        <v>3.0499999999999999E-2</v>
      </c>
      <c r="G12" s="396"/>
    </row>
    <row r="13" spans="1:7" s="392" customFormat="1" ht="13.5" hidden="1" customHeight="1">
      <c r="A13" s="393" t="s">
        <v>28</v>
      </c>
      <c r="B13" s="394" t="s">
        <v>739</v>
      </c>
      <c r="C13" s="412"/>
      <c r="D13" s="416"/>
      <c r="E13" s="2637"/>
      <c r="F13" s="2637"/>
      <c r="G13" s="396"/>
    </row>
    <row r="14" spans="1:7" s="392" customFormat="1" ht="13.5" hidden="1" customHeight="1">
      <c r="A14" s="393" t="s">
        <v>29</v>
      </c>
      <c r="B14" s="394" t="s">
        <v>734</v>
      </c>
      <c r="C14" s="412"/>
      <c r="D14" s="416"/>
      <c r="E14" s="2637"/>
      <c r="F14" s="2637"/>
      <c r="G14" s="396" t="s">
        <v>740</v>
      </c>
    </row>
    <row r="15" spans="1:7" s="392" customFormat="1" ht="13.5" hidden="1" customHeight="1">
      <c r="A15" s="393" t="s">
        <v>30</v>
      </c>
      <c r="B15" s="394" t="s">
        <v>741</v>
      </c>
      <c r="C15" s="416"/>
      <c r="D15" s="416"/>
      <c r="E15" s="2637"/>
      <c r="F15" s="2637"/>
      <c r="G15" s="396" t="s">
        <v>742</v>
      </c>
    </row>
    <row r="16" spans="1:7" s="392" customFormat="1" ht="13.5" hidden="1" customHeight="1">
      <c r="A16" s="393" t="s">
        <v>31</v>
      </c>
      <c r="B16" s="394" t="s">
        <v>734</v>
      </c>
      <c r="C16" s="416"/>
      <c r="D16" s="416"/>
      <c r="E16" s="2637"/>
      <c r="F16" s="2637"/>
      <c r="G16" s="396"/>
    </row>
    <row r="17" spans="1:7" s="392" customFormat="1" ht="13.5" hidden="1" customHeight="1">
      <c r="A17" s="393" t="s">
        <v>32</v>
      </c>
      <c r="B17" s="394" t="s">
        <v>743</v>
      </c>
      <c r="C17" s="2643"/>
      <c r="D17" s="2643"/>
      <c r="E17" s="2643"/>
      <c r="F17" s="2643"/>
      <c r="G17" s="396" t="s">
        <v>742</v>
      </c>
    </row>
    <row r="18" spans="1:7" s="392" customFormat="1" ht="13.5" hidden="1" customHeight="1">
      <c r="A18" s="393" t="s">
        <v>33</v>
      </c>
      <c r="B18" s="394" t="s">
        <v>744</v>
      </c>
      <c r="C18" s="416">
        <v>0</v>
      </c>
      <c r="D18" s="416"/>
      <c r="E18" s="2637"/>
      <c r="F18" s="2638">
        <v>3.0499999999999999E-2</v>
      </c>
      <c r="G18" s="396" t="s">
        <v>745</v>
      </c>
    </row>
    <row r="19" spans="1:7" s="397" customFormat="1" ht="13.5" customHeight="1">
      <c r="A19" s="421" t="s">
        <v>2239</v>
      </c>
      <c r="B19" s="390" t="s">
        <v>1847</v>
      </c>
      <c r="C19" s="412">
        <f>IF(G19="已包含在土地取得成本中","0",ROUND(D19*E19,0))</f>
        <v>17607986</v>
      </c>
      <c r="D19" s="2644">
        <f>IF(B1="仅计算典型户型",'数据-取费表'!E5,'数据-取费表'!B5)</f>
        <v>88039.929999999338</v>
      </c>
      <c r="E19" s="412">
        <f>'数据-取费表'!E15</f>
        <v>200</v>
      </c>
      <c r="F19" s="413"/>
      <c r="G19" s="31"/>
    </row>
    <row r="20" spans="1:7" s="392" customFormat="1" ht="13.5" customHeight="1">
      <c r="A20" s="421" t="s">
        <v>2240</v>
      </c>
      <c r="B20" s="390" t="s">
        <v>746</v>
      </c>
      <c r="C20" s="400">
        <f>ROUND((C5+C19)*F20,0)</f>
        <v>372770</v>
      </c>
      <c r="D20" s="400"/>
      <c r="E20" s="400"/>
      <c r="F20" s="404">
        <f>'数据-取费表'!E25</f>
        <v>0.02</v>
      </c>
      <c r="G20" s="2433" t="s">
        <v>2422</v>
      </c>
    </row>
    <row r="21" spans="1:7" s="392" customFormat="1" ht="13.5" customHeight="1">
      <c r="A21" s="421" t="s">
        <v>2241</v>
      </c>
      <c r="B21" s="390" t="s">
        <v>747</v>
      </c>
      <c r="C21" s="402">
        <f>F21</f>
        <v>0.02</v>
      </c>
      <c r="D21" s="403" t="s">
        <v>763</v>
      </c>
      <c r="E21" s="400"/>
      <c r="F21" s="404">
        <f>'数据-取费表'!E26</f>
        <v>0.02</v>
      </c>
      <c r="G21" s="401" t="s">
        <v>748</v>
      </c>
    </row>
    <row r="22" spans="1:7" s="392" customFormat="1" ht="13.5" customHeight="1">
      <c r="A22" s="421" t="s">
        <v>2242</v>
      </c>
      <c r="B22" s="390" t="s">
        <v>749</v>
      </c>
      <c r="C22" s="422">
        <f ca="1">ROUND(SUM(C23:C25),0)</f>
        <v>1830417</v>
      </c>
      <c r="D22" s="402">
        <f ca="1">C26</f>
        <v>1E-3</v>
      </c>
      <c r="E22" s="403" t="s">
        <v>763</v>
      </c>
      <c r="F22" s="404">
        <f ca="1">'数据-取费表'!E27</f>
        <v>4.7500000000000001E-2</v>
      </c>
      <c r="G22" s="2433" t="str">
        <f>IF('数据-取费表'!B23&lt;=1,"单利计息。","复利计息。")</f>
        <v>复利计息。</v>
      </c>
    </row>
    <row r="23" spans="1:7" s="392" customFormat="1" ht="13.5" customHeight="1">
      <c r="A23" s="393" t="s">
        <v>2249</v>
      </c>
      <c r="B23" s="394" t="s">
        <v>2418</v>
      </c>
      <c r="C23" s="2524">
        <f ca="1">ROUND(IF('数据-取费表'!B23&lt;=1,C5*F22*'数据-取费表'!B24,C5*(POWER((1+F22),'数据-取费表'!B24)-1)),0)</f>
        <v>100223</v>
      </c>
      <c r="D23" s="405"/>
      <c r="E23" s="405"/>
      <c r="F23" s="406"/>
      <c r="G23" s="407" t="s">
        <v>750</v>
      </c>
    </row>
    <row r="24" spans="1:7" s="392" customFormat="1" ht="13.5" customHeight="1">
      <c r="A24" s="393" t="s">
        <v>2250</v>
      </c>
      <c r="B24" s="394" t="s">
        <v>2419</v>
      </c>
      <c r="C24" s="2524">
        <f ca="1">ROUND(IF('数据-取费表'!B23&lt;=1,C19*F22*('数据-取费表'!B20/2+'数据-取费表'!B22),C19*(POWER((1+F22),('数据-取费表'!B20/2+'数据-取费表'!B22))-1)),0)</f>
        <v>1712487</v>
      </c>
      <c r="D24" s="405"/>
      <c r="E24" s="405"/>
      <c r="F24" s="406"/>
      <c r="G24" s="407" t="s">
        <v>751</v>
      </c>
    </row>
    <row r="25" spans="1:7" s="392" customFormat="1" ht="24">
      <c r="A25" s="393" t="s">
        <v>2251</v>
      </c>
      <c r="B25" s="394" t="s">
        <v>2420</v>
      </c>
      <c r="C25" s="2524">
        <f ca="1">ROUND(IF('数据-取费表'!B23&lt;=1,C20*F22*'数据-取费表'!B24/2,C20*(POWER((1+F22),'数据-取费表'!B24/2)-1)),0)</f>
        <v>17707</v>
      </c>
      <c r="D25" s="405"/>
      <c r="E25" s="408"/>
      <c r="F25" s="406"/>
      <c r="G25" s="409" t="s">
        <v>752</v>
      </c>
    </row>
    <row r="26" spans="1:7" s="392" customFormat="1">
      <c r="A26" s="393" t="s">
        <v>2252</v>
      </c>
      <c r="B26" s="394" t="s">
        <v>2421</v>
      </c>
      <c r="C26" s="405">
        <f ca="1">ROUND(IF('数据-取费表'!B23&lt;=1,F21*F22*'数据-取费表'!B24/2,F21*(POWER((1+F22),'数据-取费表'!B24/2)-1)),4)</f>
        <v>1E-3</v>
      </c>
      <c r="D26" s="405"/>
      <c r="E26" s="408"/>
      <c r="F26" s="406"/>
      <c r="G26" s="410"/>
    </row>
    <row r="27" spans="1:7" s="392" customFormat="1" ht="25.5">
      <c r="A27" s="2282" t="s">
        <v>2243</v>
      </c>
      <c r="B27" s="411" t="s">
        <v>753</v>
      </c>
      <c r="C27" s="412">
        <f>C28</f>
        <v>3802251</v>
      </c>
      <c r="D27" s="402">
        <f>C29</f>
        <v>4.0000000000000001E-3</v>
      </c>
      <c r="E27" s="403" t="s">
        <v>763</v>
      </c>
      <c r="F27" s="413">
        <f>'数据-取费表'!E28</f>
        <v>0.2</v>
      </c>
      <c r="G27" s="414" t="s">
        <v>2423</v>
      </c>
    </row>
    <row r="28" spans="1:7" s="392" customFormat="1" ht="13.5" customHeight="1">
      <c r="A28" s="393" t="s">
        <v>2249</v>
      </c>
      <c r="B28" s="415" t="s">
        <v>2425</v>
      </c>
      <c r="C28" s="416">
        <f>ROUND((C5+C19+C20)*F27*'数据-取费表'!B22/'数据-取费表'!B21,0)</f>
        <v>3802251</v>
      </c>
      <c r="D28" s="402"/>
      <c r="E28" s="403"/>
      <c r="F28" s="413"/>
      <c r="G28" s="414"/>
    </row>
    <row r="29" spans="1:7" s="392" customFormat="1" ht="13.5" customHeight="1">
      <c r="A29" s="393" t="s">
        <v>2250</v>
      </c>
      <c r="B29" s="415" t="s">
        <v>2426</v>
      </c>
      <c r="C29" s="405">
        <f>ROUND(C21*F27*'数据-取费表'!B22/'数据-取费表'!B21,4)</f>
        <v>4.0000000000000001E-3</v>
      </c>
      <c r="D29" s="402"/>
      <c r="E29" s="403"/>
      <c r="F29" s="413"/>
      <c r="G29" s="414"/>
    </row>
    <row r="30" spans="1:7" s="392" customFormat="1" ht="13.5" customHeight="1">
      <c r="A30" s="2282" t="s">
        <v>2244</v>
      </c>
      <c r="B30" s="390" t="s">
        <v>360</v>
      </c>
      <c r="C30" s="402">
        <f>ROUND(F30/(1+'数据-取费表'!F30),4)</f>
        <v>5.33E-2</v>
      </c>
      <c r="D30" s="403" t="s">
        <v>2796</v>
      </c>
      <c r="E30" s="408"/>
      <c r="F30" s="404">
        <f>'数据-取费表'!E29</f>
        <v>5.6000000000000001E-2</v>
      </c>
      <c r="G30" s="2433" t="s">
        <v>2797</v>
      </c>
    </row>
    <row r="31" spans="1:7" ht="16.5" customHeight="1">
      <c r="A31" s="421">
        <v>1</v>
      </c>
      <c r="B31" s="390" t="s">
        <v>764</v>
      </c>
      <c r="C31" s="412">
        <f ca="1">ROUND((C5+C19+C20+C22+C27)/(1-C21-D22-D27-C30),0)</f>
        <v>26737468</v>
      </c>
      <c r="D31" s="2644"/>
      <c r="E31" s="412"/>
      <c r="F31" s="2645"/>
      <c r="G31" s="2433" t="s">
        <v>2424</v>
      </c>
    </row>
    <row r="32" spans="1:7" s="389" customFormat="1" ht="15.75">
      <c r="A32" s="418" t="s">
        <v>754</v>
      </c>
      <c r="B32" s="419"/>
      <c r="C32" s="2646"/>
      <c r="D32" s="2646"/>
      <c r="E32" s="2646"/>
      <c r="F32" s="2646"/>
      <c r="G32" s="420"/>
    </row>
    <row r="33" spans="1:7" s="392" customFormat="1" ht="13.5" customHeight="1">
      <c r="A33" s="421" t="s">
        <v>2245</v>
      </c>
      <c r="B33" s="390" t="s">
        <v>755</v>
      </c>
      <c r="C33" s="422">
        <f>SUM(C34:C38)</f>
        <v>229696177</v>
      </c>
      <c r="D33" s="400"/>
      <c r="E33" s="2635"/>
      <c r="F33" s="408"/>
      <c r="G33" s="401"/>
    </row>
    <row r="34" spans="1:7" s="423" customFormat="1" ht="13.5" customHeight="1">
      <c r="A34" s="393" t="s">
        <v>2249</v>
      </c>
      <c r="B34" s="394" t="s">
        <v>361</v>
      </c>
      <c r="C34" s="416">
        <f>IF(B1="仅计算典型户型",'数据-取费表'!F18,'数据-取费表'!E18)</f>
        <v>193687846</v>
      </c>
      <c r="D34" s="2636"/>
      <c r="E34" s="416"/>
      <c r="F34" s="2647" t="str">
        <f>IF('数据-取费表'!B25=0,"",'数据-取费表'!E20)</f>
        <v/>
      </c>
      <c r="G34" s="396"/>
    </row>
    <row r="35" spans="1:7" ht="13.5" customHeight="1">
      <c r="A35" s="393" t="s">
        <v>2250</v>
      </c>
      <c r="B35" s="394" t="s">
        <v>362</v>
      </c>
      <c r="C35" s="416">
        <f>ROUND(C34*F35,0)</f>
        <v>5810635</v>
      </c>
      <c r="D35" s="416"/>
      <c r="E35" s="416"/>
      <c r="F35" s="2648">
        <f>'数据-取费表'!E21</f>
        <v>0.03</v>
      </c>
      <c r="G35" s="396" t="s">
        <v>756</v>
      </c>
    </row>
    <row r="36" spans="1:7" ht="24">
      <c r="A36" s="393" t="s">
        <v>2251</v>
      </c>
      <c r="B36" s="394" t="s">
        <v>363</v>
      </c>
      <c r="C36" s="416">
        <f>ROUND(IF('数据-取费表'!B10="住宅",C34*F36,0),0)</f>
        <v>9684392</v>
      </c>
      <c r="D36" s="416"/>
      <c r="E36" s="416"/>
      <c r="F36" s="2648">
        <f>'数据-取费表'!E22</f>
        <v>0.05</v>
      </c>
      <c r="G36" s="424" t="s">
        <v>364</v>
      </c>
    </row>
    <row r="37" spans="1:7" s="423" customFormat="1" ht="13.5" customHeight="1">
      <c r="A37" s="393" t="s">
        <v>2252</v>
      </c>
      <c r="B37" s="394" t="s">
        <v>757</v>
      </c>
      <c r="C37" s="416">
        <f>ROUND(E37*D37,0)</f>
        <v>17607986</v>
      </c>
      <c r="D37" s="2636">
        <f>IF(B1="仅计算典型户型",'数据-取费表'!E5,'数据-取费表'!B5)</f>
        <v>88039.929999999338</v>
      </c>
      <c r="E37" s="416">
        <f>'数据-取费表'!E23</f>
        <v>200</v>
      </c>
      <c r="F37" s="2648"/>
      <c r="G37" s="425" t="s">
        <v>758</v>
      </c>
    </row>
    <row r="38" spans="1:7" ht="13.5" customHeight="1">
      <c r="A38" s="393" t="s">
        <v>2253</v>
      </c>
      <c r="B38" s="394" t="s">
        <v>365</v>
      </c>
      <c r="C38" s="416">
        <f>ROUND(C34*F38,0)</f>
        <v>2905318</v>
      </c>
      <c r="D38" s="416"/>
      <c r="E38" s="416"/>
      <c r="F38" s="2648">
        <f>'数据-取费表'!E24</f>
        <v>1.4999999999999999E-2</v>
      </c>
      <c r="G38" s="396" t="s">
        <v>756</v>
      </c>
    </row>
    <row r="39" spans="1:7" s="392" customFormat="1" ht="13.5" customHeight="1">
      <c r="A39" s="421" t="s">
        <v>2239</v>
      </c>
      <c r="B39" s="390" t="s">
        <v>746</v>
      </c>
      <c r="C39" s="400">
        <f>ROUND(C33*F20,0)</f>
        <v>4593924</v>
      </c>
      <c r="D39" s="400"/>
      <c r="E39" s="400"/>
      <c r="F39" s="404"/>
      <c r="G39" s="2433" t="s">
        <v>2429</v>
      </c>
    </row>
    <row r="40" spans="1:7" s="392" customFormat="1" ht="13.5" customHeight="1">
      <c r="A40" s="421" t="s">
        <v>2240</v>
      </c>
      <c r="B40" s="390" t="s">
        <v>747</v>
      </c>
      <c r="C40" s="2998">
        <f>F21</f>
        <v>0.02</v>
      </c>
      <c r="D40" s="403" t="s">
        <v>765</v>
      </c>
      <c r="E40" s="400"/>
      <c r="F40" s="404"/>
      <c r="G40" s="401" t="s">
        <v>759</v>
      </c>
    </row>
    <row r="41" spans="1:7" s="392" customFormat="1" ht="13.5" customHeight="1">
      <c r="A41" s="421" t="s">
        <v>2241</v>
      </c>
      <c r="B41" s="390" t="s">
        <v>749</v>
      </c>
      <c r="C41" s="400">
        <f ca="1">ROUND(SUM(C42:C43),0)</f>
        <v>11128779</v>
      </c>
      <c r="D41" s="402">
        <f ca="1">C44</f>
        <v>1E-3</v>
      </c>
      <c r="E41" s="403" t="s">
        <v>765</v>
      </c>
      <c r="F41" s="404"/>
      <c r="G41" s="2433" t="str">
        <f>IF('数据-取费表'!B23&lt;=1,"单利计息。","复利计息。")</f>
        <v>复利计息。</v>
      </c>
    </row>
    <row r="42" spans="1:7" ht="13.5" customHeight="1">
      <c r="A42" s="393" t="s">
        <v>2249</v>
      </c>
      <c r="B42" s="394" t="s">
        <v>2418</v>
      </c>
      <c r="C42" s="405">
        <f ca="1">ROUND(IF('数据-取费表'!B23&lt;=1,C33*F22*'数据-取费表'!B22/2,C33*(POWER((1+F22),'数据-取费表'!B22/2)-1)),0)</f>
        <v>10910568</v>
      </c>
      <c r="D42" s="405"/>
      <c r="E42" s="405"/>
      <c r="F42" s="406"/>
      <c r="G42" s="3464" t="s">
        <v>2512</v>
      </c>
    </row>
    <row r="43" spans="1:7" ht="13.5" customHeight="1">
      <c r="A43" s="393" t="s">
        <v>2250</v>
      </c>
      <c r="B43" s="394" t="s">
        <v>2419</v>
      </c>
      <c r="C43" s="405">
        <f ca="1">ROUND(IF('数据-取费表'!B23&lt;=1,C39*F22*'数据-取费表'!B22/2,C39*(POWER((1+F22),'数据-取费表'!B22/2)-1)),0)</f>
        <v>218211</v>
      </c>
      <c r="D43" s="405"/>
      <c r="E43" s="405"/>
      <c r="F43" s="406"/>
      <c r="G43" s="3465"/>
    </row>
    <row r="44" spans="1:7" ht="13.5" customHeight="1">
      <c r="A44" s="393" t="s">
        <v>2251</v>
      </c>
      <c r="B44" s="394" t="s">
        <v>2420</v>
      </c>
      <c r="C44" s="405">
        <f ca="1">ROUND(IF('数据-取费表'!B23&lt;=1,C40*F22*'数据-取费表'!B22/2,C40*(POWER((1+F22),'数据-取费表'!B22/2)-1)),4)</f>
        <v>1E-3</v>
      </c>
      <c r="D44" s="405"/>
      <c r="E44" s="405"/>
      <c r="F44" s="406"/>
      <c r="G44" s="3466"/>
    </row>
    <row r="45" spans="1:7" s="392" customFormat="1" ht="13.5" customHeight="1">
      <c r="A45" s="421" t="s">
        <v>2242</v>
      </c>
      <c r="B45" s="411" t="s">
        <v>753</v>
      </c>
      <c r="C45" s="412">
        <f>C46</f>
        <v>46858020</v>
      </c>
      <c r="D45" s="402">
        <f>C47</f>
        <v>4.0000000000000001E-3</v>
      </c>
      <c r="E45" s="403" t="s">
        <v>765</v>
      </c>
      <c r="F45" s="413"/>
      <c r="G45" s="414" t="s">
        <v>2430</v>
      </c>
    </row>
    <row r="46" spans="1:7" s="392" customFormat="1" ht="13.5" customHeight="1">
      <c r="A46" s="393" t="s">
        <v>2249</v>
      </c>
      <c r="B46" s="415" t="s">
        <v>2427</v>
      </c>
      <c r="C46" s="416">
        <f>ROUND((C33+C39)*F27,0)</f>
        <v>46858020</v>
      </c>
      <c r="D46" s="426"/>
      <c r="E46" s="403"/>
      <c r="F46" s="413"/>
      <c r="G46" s="414"/>
    </row>
    <row r="47" spans="1:7" s="392" customFormat="1" ht="13.5" customHeight="1">
      <c r="A47" s="393" t="s">
        <v>2250</v>
      </c>
      <c r="B47" s="415" t="s">
        <v>2428</v>
      </c>
      <c r="C47" s="405">
        <f>ROUND(C40*F27,4)</f>
        <v>4.0000000000000001E-3</v>
      </c>
      <c r="D47" s="426"/>
      <c r="E47" s="403"/>
      <c r="F47" s="413"/>
      <c r="G47" s="414"/>
    </row>
    <row r="48" spans="1:7" s="392" customFormat="1" ht="13.5" customHeight="1">
      <c r="A48" s="2282" t="s">
        <v>2243</v>
      </c>
      <c r="B48" s="390" t="s">
        <v>760</v>
      </c>
      <c r="C48" s="2998">
        <f>ROUND(F30/(1+'数据-取费表'!F30),4)</f>
        <v>5.33E-2</v>
      </c>
      <c r="D48" s="403" t="s">
        <v>2798</v>
      </c>
      <c r="E48" s="400"/>
      <c r="F48" s="404"/>
      <c r="G48" s="2433" t="s">
        <v>2799</v>
      </c>
    </row>
    <row r="49" spans="1:7" ht="16.5" customHeight="1">
      <c r="A49" s="2282" t="s">
        <v>2246</v>
      </c>
      <c r="B49" s="390" t="s">
        <v>1846</v>
      </c>
      <c r="C49" s="400">
        <f ca="1">ROUND((C33+C39+C41+C45)/(1-C40-D41-D45-C48),0)</f>
        <v>317106325</v>
      </c>
      <c r="D49" s="400"/>
      <c r="E49" s="400"/>
      <c r="F49" s="427"/>
      <c r="G49" s="2433" t="s">
        <v>2431</v>
      </c>
    </row>
    <row r="50" spans="1:7" s="423" customFormat="1" ht="24">
      <c r="A50" s="2282" t="s">
        <v>2247</v>
      </c>
      <c r="B50" s="390" t="s">
        <v>761</v>
      </c>
      <c r="C50" s="400"/>
      <c r="D50" s="400"/>
      <c r="E50" s="400"/>
      <c r="F50" s="427">
        <f>IF('数据-取费表'!B25=0,'数据-取费表'!E20,1)</f>
        <v>0.97</v>
      </c>
      <c r="G50" s="414" t="s">
        <v>762</v>
      </c>
    </row>
    <row r="51" spans="1:7" ht="16.5" customHeight="1">
      <c r="A51" s="2282" t="s">
        <v>2248</v>
      </c>
      <c r="B51" s="390" t="s">
        <v>1848</v>
      </c>
      <c r="C51" s="400">
        <f ca="1">ROUND(C49*F50,0)</f>
        <v>307593135</v>
      </c>
      <c r="D51" s="400"/>
      <c r="E51" s="400"/>
      <c r="F51" s="427"/>
      <c r="G51" s="401" t="s">
        <v>366</v>
      </c>
    </row>
    <row r="52" spans="1:7" s="389" customFormat="1" ht="16.5" thickBot="1">
      <c r="A52" s="428" t="s">
        <v>367</v>
      </c>
      <c r="B52" s="429"/>
      <c r="C52" s="430">
        <f ca="1">C31+C51</f>
        <v>334330603</v>
      </c>
      <c r="D52" s="429"/>
      <c r="E52" s="429"/>
      <c r="F52" s="429"/>
      <c r="G52" s="431"/>
    </row>
    <row r="55" spans="1:7" ht="15">
      <c r="B55" s="433" t="s">
        <v>368</v>
      </c>
      <c r="C55" s="434"/>
    </row>
    <row r="56" spans="1:7">
      <c r="B56" s="436" t="s">
        <v>369</v>
      </c>
      <c r="C56" s="437">
        <f ca="1">ROUND(C51/C52,3)</f>
        <v>0.92</v>
      </c>
    </row>
    <row r="57" spans="1:7">
      <c r="B57" s="436" t="s">
        <v>370</v>
      </c>
      <c r="C57" s="438">
        <f ca="1">1-C56</f>
        <v>7.999999999999996E-2</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767</v>
      </c>
      <c r="B1" s="439"/>
      <c r="C1" s="2318" t="s">
        <v>2283</v>
      </c>
      <c r="D1" s="2519"/>
      <c r="E1" s="2123"/>
      <c r="F1" s="2123"/>
      <c r="G1" s="2123"/>
      <c r="H1" s="2123"/>
      <c r="I1" s="2123"/>
      <c r="J1" s="2123"/>
      <c r="K1" s="2123"/>
    </row>
    <row r="2" spans="1:33" s="440" customFormat="1" ht="18" customHeight="1">
      <c r="A2" s="382" t="s">
        <v>726</v>
      </c>
      <c r="B2" s="385">
        <f ca="1">IF(C2="元",C32,ROUND(C32/10000,0))</f>
        <v>215</v>
      </c>
      <c r="C2" s="35" t="str">
        <f>'数据-取费表'!B3</f>
        <v>万元</v>
      </c>
      <c r="D2" s="2123"/>
      <c r="E2" s="2123"/>
      <c r="F2" s="2123"/>
      <c r="G2" s="2123"/>
      <c r="H2" s="2123"/>
      <c r="I2" s="2123"/>
      <c r="J2" s="2123"/>
      <c r="K2" s="2123"/>
    </row>
    <row r="3" spans="1:33" s="440" customFormat="1" ht="18" customHeight="1" thickBot="1">
      <c r="A3" s="384" t="s">
        <v>727</v>
      </c>
      <c r="B3" s="385">
        <f ca="1">ROUND(C32/IF(C1="仅计算典型户型",'数据-取费表'!E5,'数据-取费表'!B5),0)</f>
        <v>24329</v>
      </c>
      <c r="C3" s="35" t="s">
        <v>766</v>
      </c>
      <c r="D3" s="2123"/>
      <c r="E3" s="2123"/>
      <c r="F3" s="2123"/>
      <c r="G3" s="2123"/>
      <c r="H3" s="2123"/>
      <c r="I3" s="2123"/>
      <c r="J3" s="2123"/>
      <c r="K3" s="2123"/>
    </row>
    <row r="4" spans="1:33" s="444" customFormat="1" ht="16.5" customHeight="1">
      <c r="A4" s="441" t="s">
        <v>768</v>
      </c>
      <c r="B4" s="442"/>
      <c r="C4" s="2518">
        <f>SUM(C8:K8)</f>
        <v>3090150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769</v>
      </c>
      <c r="B5" s="446" t="s">
        <v>770</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3" t="s">
        <v>2256</v>
      </c>
      <c r="B6" s="448" t="s">
        <v>771</v>
      </c>
      <c r="C6" s="449">
        <v>35000</v>
      </c>
      <c r="D6" s="2515"/>
      <c r="E6" s="2515"/>
      <c r="F6" s="2515"/>
      <c r="G6" s="2515"/>
      <c r="H6" s="2515"/>
      <c r="I6" s="2515"/>
      <c r="J6" s="2515"/>
      <c r="K6" s="251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4" t="s">
        <v>2257</v>
      </c>
      <c r="B7" s="448" t="s">
        <v>772</v>
      </c>
      <c r="C7" s="451">
        <f>IF(C1="仅计算典型户型",'数据-取费表'!E5,'数据-取费表'!B5)</f>
        <v>88.29</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5" t="s">
        <v>2258</v>
      </c>
      <c r="B8" s="448" t="s">
        <v>773</v>
      </c>
      <c r="C8" s="1086">
        <f>C6*C7</f>
        <v>3090150</v>
      </c>
      <c r="D8" s="2517"/>
      <c r="E8" s="2517"/>
      <c r="F8" s="2515"/>
      <c r="G8" s="2515"/>
      <c r="H8" s="2515"/>
      <c r="I8" s="2515"/>
      <c r="J8" s="2515"/>
      <c r="K8" s="2516"/>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774</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769</v>
      </c>
      <c r="B10" s="457" t="s">
        <v>770</v>
      </c>
      <c r="C10" s="458" t="s">
        <v>775</v>
      </c>
      <c r="D10" s="459" t="s">
        <v>776</v>
      </c>
      <c r="E10" s="459" t="s">
        <v>777</v>
      </c>
      <c r="F10" s="459" t="s">
        <v>778</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6" t="s">
        <v>2806</v>
      </c>
      <c r="B11" s="463" t="s">
        <v>779</v>
      </c>
      <c r="C11" s="464">
        <f>IF(C1="仅计算典型户型",'数据-取费表'!F18,'数据-取费表'!E18)</f>
        <v>194238</v>
      </c>
      <c r="D11" s="465"/>
      <c r="E11" s="287"/>
      <c r="F11" s="466">
        <f>1-'数据-取费表'!E20</f>
        <v>3.0000000000000027E-2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6" t="s">
        <v>2807</v>
      </c>
      <c r="B12" s="463" t="s">
        <v>780</v>
      </c>
      <c r="C12" s="197">
        <f>ROUND(C11*F12,0)</f>
        <v>5827</v>
      </c>
      <c r="D12" s="465"/>
      <c r="E12" s="287"/>
      <c r="F12" s="468">
        <f>'数据-取费表'!E21</f>
        <v>0.03</v>
      </c>
      <c r="G12" s="457" t="s">
        <v>781</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6" t="s">
        <v>2808</v>
      </c>
      <c r="B13" s="463" t="s">
        <v>782</v>
      </c>
      <c r="C13" s="197">
        <f>ROUND(IF('数据-取费表'!B10="住宅",C11*F13,0),0)</f>
        <v>9712</v>
      </c>
      <c r="D13" s="465"/>
      <c r="E13" s="287"/>
      <c r="F13" s="468">
        <f>'数据-取费表'!E22</f>
        <v>0.05</v>
      </c>
      <c r="G13" s="457" t="s">
        <v>783</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6" t="s">
        <v>2809</v>
      </c>
      <c r="B14" s="463" t="s">
        <v>784</v>
      </c>
      <c r="C14" s="197">
        <f>ROUND(D14*E14*F11,0)</f>
        <v>530</v>
      </c>
      <c r="D14" s="465">
        <f>IF(C1="仅计算典型户型",'数据-取费表'!E5,'数据-取费表'!B5)</f>
        <v>88.29</v>
      </c>
      <c r="E14" s="197">
        <f>'数据-取费表'!E23</f>
        <v>200</v>
      </c>
      <c r="F14" s="468"/>
      <c r="G14" s="457" t="s">
        <v>785</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6" t="s">
        <v>2810</v>
      </c>
      <c r="B15" s="463" t="s">
        <v>792</v>
      </c>
      <c r="C15" s="476">
        <f>ROUND(C11*F15,0)</f>
        <v>2914</v>
      </c>
      <c r="D15" s="470"/>
      <c r="E15" s="476"/>
      <c r="F15" s="477">
        <f>'数据-取费表'!E24</f>
        <v>1.4999999999999999E-2</v>
      </c>
      <c r="G15" s="448" t="s">
        <v>793</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6" t="s">
        <v>2811</v>
      </c>
      <c r="B16" s="3013" t="s">
        <v>2812</v>
      </c>
      <c r="C16" s="464">
        <f>SUM(C11:C15)</f>
        <v>213221</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6" t="s">
        <v>2813</v>
      </c>
      <c r="B17" s="463" t="s">
        <v>786</v>
      </c>
      <c r="C17" s="197">
        <f>ROUND(D17*E17,0)</f>
        <v>0</v>
      </c>
      <c r="D17" s="465">
        <f>IF(C1="仅计算典型户型",'数据-取费表'!E5,'数据-取费表'!B5)</f>
        <v>88.29</v>
      </c>
      <c r="E17" s="197">
        <f>'数据-取费表'!E16</f>
        <v>0</v>
      </c>
      <c r="F17" s="470"/>
      <c r="G17" s="448" t="s">
        <v>787</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6" t="s">
        <v>2814</v>
      </c>
      <c r="B18" s="463" t="s">
        <v>788</v>
      </c>
      <c r="C18" s="197">
        <f>C19+C20-'数据-取费表'!E13</f>
        <v>7946</v>
      </c>
      <c r="D18" s="465"/>
      <c r="E18" s="197"/>
      <c r="F18" s="468"/>
      <c r="G18" s="448" t="s">
        <v>789</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6" t="s">
        <v>2261</v>
      </c>
      <c r="B19" s="463" t="s">
        <v>790</v>
      </c>
      <c r="C19" s="197">
        <f>ROUND(D19*E19,0)</f>
        <v>7946</v>
      </c>
      <c r="D19" s="465">
        <f>IF('数据-取费表'!B10="住宅",IF(C1="仅计算典型户型",'数据-取费表'!E5,'数据-取费表'!B5),0)</f>
        <v>88.29</v>
      </c>
      <c r="E19" s="197">
        <f>'数据-取费表'!E11</f>
        <v>90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6" t="s">
        <v>2262</v>
      </c>
      <c r="B20" s="463" t="s">
        <v>791</v>
      </c>
      <c r="C20" s="197">
        <f>ROUND(D20*E20,0)</f>
        <v>0</v>
      </c>
      <c r="D20" s="465">
        <f>IF('数据-取费表'!B10&lt;&gt;"住宅",IF(C1="仅计算典型户型",'数据-取费表'!E5,'数据-取费表'!B5),0)</f>
        <v>0</v>
      </c>
      <c r="E20" s="197">
        <f>'数据-取费表'!E12</f>
        <v>140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3" t="s">
        <v>2256</v>
      </c>
      <c r="B21" s="478" t="s">
        <v>794</v>
      </c>
      <c r="C21" s="479">
        <f>C16+C17+C18</f>
        <v>221167</v>
      </c>
      <c r="D21" s="480"/>
      <c r="E21" s="481"/>
      <c r="F21" s="481"/>
      <c r="G21" s="448" t="s">
        <v>2815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4" t="s">
        <v>2257</v>
      </c>
      <c r="B22" s="478" t="s">
        <v>795</v>
      </c>
      <c r="C22" s="479">
        <f>ROUND(C21*F22,0)</f>
        <v>4423</v>
      </c>
      <c r="D22" s="481"/>
      <c r="E22" s="481"/>
      <c r="F22" s="482">
        <f>'数据-取费表'!E25</f>
        <v>0.02</v>
      </c>
      <c r="G22" s="457" t="s">
        <v>796</v>
      </c>
      <c r="H22" s="460"/>
      <c r="I22" s="460"/>
      <c r="J22" s="460"/>
      <c r="K22" s="461"/>
      <c r="L22" s="483"/>
      <c r="M22" s="483"/>
      <c r="N22" s="483"/>
    </row>
    <row r="23" spans="1:33" s="467" customFormat="1" ht="13.5" customHeight="1">
      <c r="A23" s="2284" t="s">
        <v>2258</v>
      </c>
      <c r="B23" s="478" t="s">
        <v>797</v>
      </c>
      <c r="C23" s="479">
        <f>ROUND(C4*F23*F11,0)</f>
        <v>1854</v>
      </c>
      <c r="D23" s="481"/>
      <c r="E23" s="481"/>
      <c r="F23" s="482">
        <f>'数据-取费表'!E26</f>
        <v>0.02</v>
      </c>
      <c r="G23" s="457" t="s">
        <v>798</v>
      </c>
      <c r="H23" s="460"/>
      <c r="I23" s="460"/>
      <c r="J23" s="460"/>
      <c r="K23" s="461"/>
    </row>
    <row r="24" spans="1:33" s="467" customFormat="1" ht="13.5" customHeight="1">
      <c r="A24" s="2284" t="s">
        <v>2263</v>
      </c>
      <c r="B24" s="478" t="s">
        <v>799</v>
      </c>
      <c r="C24" s="484">
        <f>ROUND(F24/(1+'数据-取费表'!F30),4)</f>
        <v>2.9000000000000001E-2</v>
      </c>
      <c r="D24" s="485" t="s">
        <v>34</v>
      </c>
      <c r="E24" s="485"/>
      <c r="F24" s="482">
        <f>'数据-取费表'!E36+'数据-取费表'!E37</f>
        <v>3.0499999999999999E-2</v>
      </c>
      <c r="G24" s="3012" t="s">
        <v>2805</v>
      </c>
      <c r="H24" s="487"/>
      <c r="I24" s="487"/>
      <c r="J24" s="487"/>
      <c r="K24" s="488"/>
    </row>
    <row r="25" spans="1:33" s="483" customFormat="1" ht="13.5" customHeight="1">
      <c r="A25" s="2284" t="s">
        <v>2264</v>
      </c>
      <c r="B25" s="480" t="s">
        <v>800</v>
      </c>
      <c r="C25" s="489">
        <f ca="1">C27</f>
        <v>0</v>
      </c>
      <c r="D25" s="484">
        <f ca="1">C26</f>
        <v>0</v>
      </c>
      <c r="E25" s="490" t="s">
        <v>34</v>
      </c>
      <c r="F25" s="491">
        <f ca="1">'数据-取费表'!E27</f>
        <v>4.7500000000000001E-2</v>
      </c>
      <c r="G25" s="448" t="s">
        <v>812</v>
      </c>
      <c r="H25" s="487"/>
      <c r="I25" s="487"/>
      <c r="J25" s="487"/>
      <c r="K25" s="488"/>
    </row>
    <row r="26" spans="1:33" s="497" customFormat="1" ht="13.5" customHeight="1">
      <c r="A26" s="2286" t="s">
        <v>2259</v>
      </c>
      <c r="B26" s="492" t="s">
        <v>801</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6" t="s">
        <v>2260</v>
      </c>
      <c r="B27" s="492" t="s">
        <v>802</v>
      </c>
      <c r="C27" s="498">
        <f ca="1">ROUND(IF('数据-取费表'!B23&lt;=1,(C21+C22+C23)*F25*'数据-取费表'!B25/2,(C21+C22+C23)*(POWER((1+F25),'数据-取费表'!B25/2)-1)),0)</f>
        <v>0</v>
      </c>
      <c r="D27" s="494"/>
      <c r="E27" s="495"/>
      <c r="F27" s="496"/>
      <c r="G27" s="448" t="s">
        <v>803</v>
      </c>
      <c r="H27" s="471"/>
      <c r="I27" s="471"/>
      <c r="J27" s="471"/>
      <c r="K27" s="472"/>
    </row>
    <row r="28" spans="1:33" s="502" customFormat="1" ht="13.5" customHeight="1">
      <c r="A28" s="2284" t="s">
        <v>2265</v>
      </c>
      <c r="B28" s="499" t="s">
        <v>804</v>
      </c>
      <c r="C28" s="500">
        <f>C30</f>
        <v>45489</v>
      </c>
      <c r="D28" s="484">
        <f>C29</f>
        <v>0.20580000000000001</v>
      </c>
      <c r="E28" s="490" t="s">
        <v>34</v>
      </c>
      <c r="F28" s="501">
        <f>'数据-取费表'!E28</f>
        <v>0.2</v>
      </c>
      <c r="G28" s="486"/>
      <c r="H28" s="487"/>
      <c r="I28" s="487"/>
      <c r="J28" s="487"/>
      <c r="K28" s="488"/>
    </row>
    <row r="29" spans="1:33" s="505" customFormat="1" ht="13.5" customHeight="1">
      <c r="A29" s="2286" t="s">
        <v>2259</v>
      </c>
      <c r="B29" s="503" t="s">
        <v>805</v>
      </c>
      <c r="C29" s="494">
        <f>ROUND((1+C24)*F28,4)</f>
        <v>0.20580000000000001</v>
      </c>
      <c r="D29" s="494"/>
      <c r="E29" s="495"/>
      <c r="F29" s="504"/>
      <c r="G29" s="448" t="s">
        <v>806</v>
      </c>
      <c r="H29" s="471"/>
      <c r="I29" s="471"/>
      <c r="J29" s="471"/>
      <c r="K29" s="472"/>
    </row>
    <row r="30" spans="1:33" s="505" customFormat="1" ht="13.5" customHeight="1">
      <c r="A30" s="2286" t="s">
        <v>2260</v>
      </c>
      <c r="B30" s="503" t="s">
        <v>807</v>
      </c>
      <c r="C30" s="506">
        <f>ROUND((C21+C22+C23)*F28,0)</f>
        <v>45489</v>
      </c>
      <c r="D30" s="494"/>
      <c r="E30" s="507"/>
      <c r="F30" s="504"/>
      <c r="G30" s="448"/>
      <c r="H30" s="471"/>
      <c r="I30" s="471"/>
      <c r="J30" s="471"/>
      <c r="K30" s="472"/>
    </row>
    <row r="31" spans="1:33" s="483" customFormat="1" ht="13.5" customHeight="1" thickBot="1">
      <c r="A31" s="2287" t="s">
        <v>2266</v>
      </c>
      <c r="B31" s="478" t="s">
        <v>808</v>
      </c>
      <c r="C31" s="508">
        <f>ROUND(C4*F31/(1+'数据-取费表'!F30),0)</f>
        <v>164808</v>
      </c>
      <c r="D31" s="453"/>
      <c r="E31" s="509"/>
      <c r="F31" s="510">
        <f>'数据-取费表'!E29</f>
        <v>5.6000000000000001E-2</v>
      </c>
      <c r="G31" s="511" t="s">
        <v>809</v>
      </c>
      <c r="H31" s="512"/>
      <c r="I31" s="512"/>
      <c r="J31" s="512"/>
      <c r="K31" s="513"/>
    </row>
    <row r="32" spans="1:33" s="462" customFormat="1" ht="13.5" customHeight="1" thickBot="1">
      <c r="A32" s="514" t="s">
        <v>810</v>
      </c>
      <c r="B32" s="515"/>
      <c r="C32" s="516">
        <f ca="1">ROUND((C4-C21-C22-C23-C25-C28-C31)/(1+C24+D25+D28),0)</f>
        <v>2148047</v>
      </c>
      <c r="D32" s="515"/>
      <c r="E32" s="515"/>
      <c r="F32" s="515"/>
      <c r="G32" s="517" t="s">
        <v>811</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90" zoomScaleSheetLayoutView="85" workbookViewId="0">
      <selection activeCell="K20" sqref="K20"/>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887</v>
      </c>
      <c r="B1" s="2887" t="s">
        <v>888</v>
      </c>
      <c r="C1" s="2888" t="s">
        <v>2283</v>
      </c>
      <c r="D1" s="2889"/>
      <c r="E1" s="2890" t="s">
        <v>6386</v>
      </c>
      <c r="F1" s="2891" t="s">
        <v>889</v>
      </c>
      <c r="G1" s="2892"/>
      <c r="H1" s="2892"/>
      <c r="I1" s="2892"/>
      <c r="J1" s="2892"/>
      <c r="K1" s="2893"/>
      <c r="L1" s="2894"/>
      <c r="M1" s="2887"/>
      <c r="N1" s="2887"/>
      <c r="O1" s="2887"/>
      <c r="P1" s="2895"/>
      <c r="Q1" s="2896"/>
      <c r="R1" s="2896"/>
      <c r="S1" s="2896"/>
      <c r="T1" s="2896"/>
      <c r="U1" s="2896"/>
      <c r="V1" s="2896"/>
      <c r="W1" s="2896"/>
      <c r="X1" s="2896"/>
      <c r="Y1" s="2896"/>
      <c r="Z1" s="2896"/>
      <c r="AA1" s="2896"/>
      <c r="AB1" s="2896"/>
      <c r="AC1" s="2897"/>
    </row>
    <row r="2" spans="1:29" s="36" customFormat="1" ht="28.5" customHeight="1" thickTop="1">
      <c r="A2" s="2881" t="s">
        <v>890</v>
      </c>
      <c r="B2" s="2882">
        <f>IF(D2="——",IF(C2="元",ROUND(C49*D3,0),ROUND(C49*D3/10000,0)),IF(C2="元",ROUND(C49*D3,0),ROUND(C49*D3/10000,0))-E2)</f>
        <v>154</v>
      </c>
      <c r="C2" s="32" t="str">
        <f>'数据-取费表'!B3</f>
        <v>万元</v>
      </c>
      <c r="D2" s="2883" t="s">
        <v>2895</v>
      </c>
      <c r="E2" s="3031" t="e">
        <f ca="1">SUMIF(INDIRECT("'"&amp;G2&amp;"'"&amp;"!A:A"),"承租人权益价值",INDIRECT("'"&amp;G2&amp;"'"&amp;"!c:c"))</f>
        <v>#REF!</v>
      </c>
      <c r="F2" s="2884" t="str">
        <f>C2</f>
        <v>万元</v>
      </c>
      <c r="G2" s="2885"/>
      <c r="H2" s="1636"/>
      <c r="I2" s="1636"/>
      <c r="J2" s="1636"/>
      <c r="K2" s="2155"/>
      <c r="L2" s="2156"/>
      <c r="M2" s="2157"/>
      <c r="N2" s="2157"/>
      <c r="O2" s="2157"/>
      <c r="P2" s="1130"/>
      <c r="Q2" s="1129"/>
      <c r="R2" s="1129"/>
      <c r="S2" s="1129"/>
      <c r="T2" s="1129"/>
      <c r="U2" s="1129"/>
      <c r="V2" s="1129"/>
      <c r="W2" s="1129"/>
      <c r="X2" s="1129"/>
      <c r="Y2" s="1129"/>
      <c r="Z2" s="1129"/>
      <c r="AA2" s="1129"/>
      <c r="AB2" s="1129"/>
      <c r="AC2" s="1131"/>
    </row>
    <row r="3" spans="1:29" s="36" customFormat="1" ht="28.5" customHeight="1" thickBot="1">
      <c r="A3" s="34" t="s">
        <v>891</v>
      </c>
      <c r="B3" s="596">
        <f>ROUND(IF(D2="——",C49,IF(C2="万元",B2*10000/D3,B2/D3)),0)</f>
        <v>17426</v>
      </c>
      <c r="C3" s="89" t="s">
        <v>892</v>
      </c>
      <c r="D3" s="596">
        <f>IF(C1="仅计算典型户型",'数据-取费表'!E5,'数据-取费表'!B5)</f>
        <v>88.29</v>
      </c>
      <c r="E3" s="1636"/>
      <c r="F3" s="2154"/>
      <c r="G3" s="1636"/>
      <c r="H3" s="1636"/>
      <c r="I3" s="1636"/>
      <c r="J3" s="1636"/>
      <c r="K3" s="2155"/>
      <c r="L3" s="2156"/>
      <c r="M3" s="2157"/>
      <c r="N3" s="2157"/>
      <c r="O3" s="2157"/>
      <c r="P3" s="2158"/>
      <c r="Q3" s="1129"/>
      <c r="R3" s="1129"/>
      <c r="S3" s="1129"/>
      <c r="T3" s="1129"/>
      <c r="U3" s="1129"/>
      <c r="V3" s="1129"/>
      <c r="W3" s="1129"/>
      <c r="X3" s="1129"/>
      <c r="Y3" s="1129"/>
      <c r="Z3" s="1129"/>
      <c r="AA3" s="1129"/>
      <c r="AB3" s="1129"/>
      <c r="AC3" s="1132"/>
    </row>
    <row r="4" spans="1:29">
      <c r="A4" s="90" t="s">
        <v>893</v>
      </c>
      <c r="B4" s="91"/>
      <c r="C4" s="3500" t="s">
        <v>894</v>
      </c>
      <c r="D4" s="3501"/>
      <c r="E4" s="3502" t="s">
        <v>895</v>
      </c>
      <c r="F4" s="3503"/>
      <c r="G4" s="3500" t="s">
        <v>896</v>
      </c>
      <c r="H4" s="3501"/>
      <c r="I4" s="3500" t="s">
        <v>897</v>
      </c>
      <c r="J4" s="3501"/>
      <c r="K4" s="92" t="s">
        <v>898</v>
      </c>
      <c r="L4" s="2159"/>
      <c r="M4" s="2160"/>
      <c r="N4" s="2160"/>
      <c r="O4" s="2160"/>
      <c r="P4" s="3504" t="s">
        <v>893</v>
      </c>
      <c r="Q4" s="3505"/>
      <c r="R4" s="3489" t="s">
        <v>895</v>
      </c>
      <c r="S4" s="3490"/>
      <c r="T4" s="3489" t="s">
        <v>896</v>
      </c>
      <c r="U4" s="3490"/>
      <c r="V4" s="3510" t="s">
        <v>897</v>
      </c>
      <c r="W4" s="3510"/>
      <c r="X4" s="1133"/>
      <c r="Y4" s="3489" t="s">
        <v>893</v>
      </c>
      <c r="Z4" s="3490"/>
      <c r="AA4" s="3497" t="s">
        <v>895</v>
      </c>
      <c r="AB4" s="3497" t="s">
        <v>896</v>
      </c>
      <c r="AC4" s="3497" t="s">
        <v>897</v>
      </c>
    </row>
    <row r="5" spans="1:29">
      <c r="A5" s="93"/>
      <c r="B5" s="94"/>
      <c r="C5" s="3485" t="s">
        <v>6354</v>
      </c>
      <c r="D5" s="3486"/>
      <c r="E5" s="3511" t="s">
        <v>6351</v>
      </c>
      <c r="F5" s="3512"/>
      <c r="G5" s="3485" t="s">
        <v>6352</v>
      </c>
      <c r="H5" s="3486"/>
      <c r="I5" s="3485" t="s">
        <v>6353</v>
      </c>
      <c r="J5" s="3486"/>
      <c r="K5" s="99"/>
      <c r="L5" s="2159"/>
      <c r="M5" s="2160"/>
      <c r="N5" s="2160"/>
      <c r="O5" s="2160"/>
      <c r="P5" s="3506"/>
      <c r="Q5" s="3507"/>
      <c r="R5" s="3491"/>
      <c r="S5" s="3492"/>
      <c r="T5" s="3491"/>
      <c r="U5" s="3492"/>
      <c r="V5" s="3510"/>
      <c r="W5" s="3510"/>
      <c r="X5" s="1133"/>
      <c r="Y5" s="3491"/>
      <c r="Z5" s="3492"/>
      <c r="AA5" s="3498"/>
      <c r="AB5" s="3498"/>
      <c r="AC5" s="3498"/>
    </row>
    <row r="6" spans="1:29" ht="14.25" thickBot="1">
      <c r="A6" s="95"/>
      <c r="B6" s="96"/>
      <c r="C6" s="3483" t="s">
        <v>899</v>
      </c>
      <c r="D6" s="3484"/>
      <c r="E6" s="3513" t="s">
        <v>899</v>
      </c>
      <c r="F6" s="3514"/>
      <c r="G6" s="3483" t="s">
        <v>899</v>
      </c>
      <c r="H6" s="3484"/>
      <c r="I6" s="3483" t="s">
        <v>899</v>
      </c>
      <c r="J6" s="3484"/>
      <c r="K6" s="99" t="s">
        <v>900</v>
      </c>
      <c r="L6" s="2159"/>
      <c r="M6" s="2160"/>
      <c r="N6" s="2160"/>
      <c r="O6" s="2160"/>
      <c r="P6" s="3508"/>
      <c r="Q6" s="3509"/>
      <c r="R6" s="3491"/>
      <c r="S6" s="3492"/>
      <c r="T6" s="3493"/>
      <c r="U6" s="3494"/>
      <c r="V6" s="3510"/>
      <c r="W6" s="3510"/>
      <c r="X6" s="1133"/>
      <c r="Y6" s="3493"/>
      <c r="Z6" s="3494"/>
      <c r="AA6" s="3499"/>
      <c r="AB6" s="3499"/>
      <c r="AC6" s="3499"/>
    </row>
    <row r="7" spans="1:29" s="11" customFormat="1" ht="15" thickBot="1">
      <c r="A7" s="872" t="s">
        <v>901</v>
      </c>
      <c r="B7" s="873"/>
      <c r="C7" s="874">
        <f>'数据-取费表'!B2</f>
        <v>42916</v>
      </c>
      <c r="D7" s="608">
        <v>100</v>
      </c>
      <c r="E7" s="875">
        <v>42916</v>
      </c>
      <c r="F7" s="610">
        <f>SUMIF(58:58,YEAR(E7)&amp;"-"&amp;MONTH(E7),59:59)</f>
        <v>100</v>
      </c>
      <c r="G7" s="875">
        <v>42916</v>
      </c>
      <c r="H7" s="608">
        <f>SUMIF(58:58,YEAR(G7)&amp;"-"&amp;MONTH(G7),59:59)</f>
        <v>100</v>
      </c>
      <c r="I7" s="875">
        <v>42916</v>
      </c>
      <c r="J7" s="608">
        <f>SUMIF(58:58,YEAR(I7)&amp;"-"&amp;MONTH(I7),59:59)</f>
        <v>100</v>
      </c>
      <c r="K7" s="1134"/>
      <c r="L7" s="2161"/>
      <c r="M7" s="2103"/>
      <c r="N7" s="2103"/>
      <c r="O7" s="2103"/>
      <c r="P7" s="3487" t="s">
        <v>901</v>
      </c>
      <c r="Q7" s="3495"/>
      <c r="R7" s="1135" t="s">
        <v>116</v>
      </c>
      <c r="S7" s="1136">
        <f t="shared" ref="S7:S15" si="0">F7</f>
        <v>100</v>
      </c>
      <c r="T7" s="1135" t="s">
        <v>116</v>
      </c>
      <c r="U7" s="1136">
        <f t="shared" ref="U7:U15" si="1">H7</f>
        <v>100</v>
      </c>
      <c r="V7" s="1135" t="s">
        <v>116</v>
      </c>
      <c r="W7" s="1136">
        <f t="shared" ref="W7:W15" si="2">J7</f>
        <v>100</v>
      </c>
      <c r="X7" s="184"/>
      <c r="Y7" s="3487" t="s">
        <v>901</v>
      </c>
      <c r="Z7" s="3488"/>
      <c r="AA7" s="1137">
        <f>D7/F7</f>
        <v>1</v>
      </c>
      <c r="AB7" s="1137">
        <f>D7/H7</f>
        <v>1</v>
      </c>
      <c r="AC7" s="1137">
        <f>D7/J7</f>
        <v>1</v>
      </c>
    </row>
    <row r="8" spans="1:29" s="11" customFormat="1" ht="15" thickBot="1">
      <c r="A8" s="872" t="s">
        <v>902</v>
      </c>
      <c r="B8" s="873"/>
      <c r="C8" s="878" t="s">
        <v>903</v>
      </c>
      <c r="D8" s="608">
        <v>100</v>
      </c>
      <c r="E8" s="1138" t="s">
        <v>156</v>
      </c>
      <c r="F8" s="610">
        <f>SUMIF(61:61,E8,62:62)-SUMIF(61:61,C8,62:62)+100</f>
        <v>100</v>
      </c>
      <c r="G8" s="878" t="s">
        <v>156</v>
      </c>
      <c r="H8" s="608">
        <f>SUMIF(61:61,G8,62:62)-SUMIF(61:61,C8,62:62)+100</f>
        <v>100</v>
      </c>
      <c r="I8" s="1138" t="s">
        <v>156</v>
      </c>
      <c r="J8" s="608">
        <f>SUMIF(61:61,I8,62:62)-SUMIF(61:61,C8,62:62)+100</f>
        <v>100</v>
      </c>
      <c r="K8" s="1134"/>
      <c r="L8" s="2161"/>
      <c r="M8" s="2103"/>
      <c r="N8" s="2103"/>
      <c r="O8" s="2103"/>
      <c r="P8" s="3487" t="s">
        <v>902</v>
      </c>
      <c r="Q8" s="3488"/>
      <c r="R8" s="1135" t="s">
        <v>116</v>
      </c>
      <c r="S8" s="1136">
        <f t="shared" si="0"/>
        <v>100</v>
      </c>
      <c r="T8" s="1135" t="s">
        <v>116</v>
      </c>
      <c r="U8" s="1136">
        <f t="shared" si="1"/>
        <v>100</v>
      </c>
      <c r="V8" s="1135" t="s">
        <v>116</v>
      </c>
      <c r="W8" s="1136">
        <f t="shared" si="2"/>
        <v>100</v>
      </c>
      <c r="X8" s="184"/>
      <c r="Y8" s="3487" t="s">
        <v>902</v>
      </c>
      <c r="Z8" s="3488"/>
      <c r="AA8" s="1137">
        <f t="shared" ref="AA8:AA46" si="3">D8/F8</f>
        <v>1</v>
      </c>
      <c r="AB8" s="1137">
        <f t="shared" ref="AB8:AB46" si="4">D8/H8</f>
        <v>1</v>
      </c>
      <c r="AC8" s="1137">
        <f t="shared" ref="AC8:AC46" si="5">D8/J8</f>
        <v>1</v>
      </c>
    </row>
    <row r="9" spans="1:29" s="11" customFormat="1" ht="14.25">
      <c r="A9" s="879" t="s">
        <v>904</v>
      </c>
      <c r="B9" s="20" t="s">
        <v>905</v>
      </c>
      <c r="C9" s="1139" t="s">
        <v>6355</v>
      </c>
      <c r="D9" s="234">
        <v>100</v>
      </c>
      <c r="E9" s="1140" t="s">
        <v>25</v>
      </c>
      <c r="F9" s="616">
        <f>SUMIF(63:63,E9,64:64)-SUMIF(63:63,C9,64:64)+100</f>
        <v>100</v>
      </c>
      <c r="G9" s="1141" t="s">
        <v>25</v>
      </c>
      <c r="H9" s="234">
        <f>SUMIF(63:63,G9,64:64)-SUMIF(63:63,C9,64:64)+100</f>
        <v>100</v>
      </c>
      <c r="I9" s="1141" t="s">
        <v>25</v>
      </c>
      <c r="J9" s="234">
        <f>SUMIF(63:63,I9,64:64)-SUMIF(63:63,C9,64:64)+100</f>
        <v>100</v>
      </c>
      <c r="K9" s="1134"/>
      <c r="L9" s="2161"/>
      <c r="M9" s="2103"/>
      <c r="N9" s="2103"/>
      <c r="O9" s="2103"/>
      <c r="P9" s="3496" t="s">
        <v>62</v>
      </c>
      <c r="Q9" s="2" t="str">
        <f t="shared" ref="Q9:Q15" si="6">B9</f>
        <v>用途</v>
      </c>
      <c r="R9" s="1135" t="s">
        <v>60</v>
      </c>
      <c r="S9" s="1136">
        <f t="shared" si="0"/>
        <v>100</v>
      </c>
      <c r="T9" s="1135" t="s">
        <v>60</v>
      </c>
      <c r="U9" s="1136">
        <f t="shared" si="1"/>
        <v>100</v>
      </c>
      <c r="V9" s="1135" t="s">
        <v>60</v>
      </c>
      <c r="W9" s="1136">
        <f t="shared" si="2"/>
        <v>100</v>
      </c>
      <c r="X9" s="184"/>
      <c r="Y9" s="3314" t="s">
        <v>62</v>
      </c>
      <c r="Z9" s="185" t="str">
        <f t="shared" ref="Z9:Z15" si="7">Q9</f>
        <v>用途</v>
      </c>
      <c r="AA9" s="1137">
        <f t="shared" si="3"/>
        <v>1</v>
      </c>
      <c r="AB9" s="1137">
        <f t="shared" si="4"/>
        <v>1</v>
      </c>
      <c r="AC9" s="1137">
        <f t="shared" si="5"/>
        <v>1</v>
      </c>
    </row>
    <row r="10" spans="1:29" s="39" customFormat="1" ht="27">
      <c r="A10" s="97"/>
      <c r="B10" s="4" t="s">
        <v>103</v>
      </c>
      <c r="C10" s="1142" t="s">
        <v>6356</v>
      </c>
      <c r="D10" s="235">
        <v>100</v>
      </c>
      <c r="E10" s="1143" t="s">
        <v>6356</v>
      </c>
      <c r="F10" s="623">
        <f>SUMIF(65:65,E10,66:66)-SUMIF(65:65,C10,66:66)+100</f>
        <v>100</v>
      </c>
      <c r="G10" s="1142" t="s">
        <v>6356</v>
      </c>
      <c r="H10" s="235">
        <f>SUMIF(65:65,G10,66:66)-SUMIF(65:65,C10,66:66)+100</f>
        <v>100</v>
      </c>
      <c r="I10" s="1142" t="s">
        <v>6356</v>
      </c>
      <c r="J10" s="235">
        <f>SUMIF(65:65,I10,66:66)-SUMIF(65:65,C10,66:66)+100</f>
        <v>100</v>
      </c>
      <c r="K10" s="624"/>
      <c r="L10" s="2162"/>
      <c r="M10" s="2163"/>
      <c r="N10" s="2163"/>
      <c r="O10" s="2163"/>
      <c r="P10" s="3496"/>
      <c r="Q10" s="2" t="str">
        <f t="shared" si="6"/>
        <v>土地使用年限（年）</v>
      </c>
      <c r="R10" s="1135" t="s">
        <v>60</v>
      </c>
      <c r="S10" s="1136">
        <f t="shared" si="0"/>
        <v>100</v>
      </c>
      <c r="T10" s="1135" t="s">
        <v>60</v>
      </c>
      <c r="U10" s="1136">
        <f t="shared" si="1"/>
        <v>100</v>
      </c>
      <c r="V10" s="1135" t="s">
        <v>60</v>
      </c>
      <c r="W10" s="1136">
        <f t="shared" si="2"/>
        <v>100</v>
      </c>
      <c r="X10" s="184"/>
      <c r="Y10" s="3314"/>
      <c r="Z10" s="185" t="str">
        <f t="shared" si="7"/>
        <v>土地使用年限（年）</v>
      </c>
      <c r="AA10" s="1137">
        <f t="shared" si="3"/>
        <v>1</v>
      </c>
      <c r="AB10" s="1137">
        <f t="shared" si="4"/>
        <v>1</v>
      </c>
      <c r="AC10" s="1137">
        <f t="shared" si="5"/>
        <v>1</v>
      </c>
    </row>
    <row r="11" spans="1:29" ht="15.75" thickBot="1">
      <c r="A11" s="98"/>
      <c r="B11" s="4" t="s">
        <v>87</v>
      </c>
      <c r="C11" s="627">
        <v>2.8</v>
      </c>
      <c r="D11" s="235">
        <v>100</v>
      </c>
      <c r="E11" s="628">
        <v>2.4</v>
      </c>
      <c r="F11" s="623">
        <f>LOOKUP(E11,68:68,69:69)-LOOKUP(C11,68:68,69:69)+100</f>
        <v>100</v>
      </c>
      <c r="G11" s="627">
        <v>2.2000000000000002</v>
      </c>
      <c r="H11" s="235">
        <f>LOOKUP(G11,68:68,69:69)-LOOKUP(C11,68:68,69:69)+100</f>
        <v>100</v>
      </c>
      <c r="I11" s="627">
        <v>2.2000000000000002</v>
      </c>
      <c r="J11" s="235">
        <f>LOOKUP(I11,68:68,69:69)-LOOKUP(C11,68:68,69:69)+100</f>
        <v>100</v>
      </c>
      <c r="K11" s="624">
        <v>1</v>
      </c>
      <c r="L11" s="2164"/>
      <c r="M11" s="2160"/>
      <c r="N11" s="2160"/>
      <c r="O11" s="2160"/>
      <c r="P11" s="3496"/>
      <c r="Q11" s="2" t="str">
        <f t="shared" si="6"/>
        <v>容积率</v>
      </c>
      <c r="R11" s="1135" t="s">
        <v>98</v>
      </c>
      <c r="S11" s="1136">
        <f t="shared" si="0"/>
        <v>100</v>
      </c>
      <c r="T11" s="1135" t="s">
        <v>98</v>
      </c>
      <c r="U11" s="1136">
        <f t="shared" si="1"/>
        <v>100</v>
      </c>
      <c r="V11" s="1135" t="s">
        <v>98</v>
      </c>
      <c r="W11" s="1136">
        <f t="shared" si="2"/>
        <v>100</v>
      </c>
      <c r="X11" s="184"/>
      <c r="Y11" s="3314"/>
      <c r="Z11" s="185" t="str">
        <f t="shared" si="7"/>
        <v>容积率</v>
      </c>
      <c r="AA11" s="1137">
        <f t="shared" si="3"/>
        <v>1</v>
      </c>
      <c r="AB11" s="1137">
        <f t="shared" si="4"/>
        <v>1</v>
      </c>
      <c r="AC11" s="1137">
        <f t="shared" si="5"/>
        <v>1</v>
      </c>
    </row>
    <row r="12" spans="1:29" s="11" customFormat="1" ht="14.25" hidden="1">
      <c r="A12" s="888"/>
      <c r="B12" s="889"/>
      <c r="C12" s="882"/>
      <c r="D12" s="631">
        <v>100</v>
      </c>
      <c r="E12" s="882"/>
      <c r="F12" s="623">
        <f>SUMIF(70:70,E12,71:71)-SUMIF(70:70,C12,71:71)+100</f>
        <v>100</v>
      </c>
      <c r="G12" s="882"/>
      <c r="H12" s="235">
        <f>SUMIF(70:70,G12,71:71)-SUMIF(70:70,C12,71:71)+100</f>
        <v>100</v>
      </c>
      <c r="I12" s="882"/>
      <c r="J12" s="235">
        <f>SUMIF(70:70,I12,71:71)-SUMIF(70:70,C12,71:71)+100</f>
        <v>100</v>
      </c>
      <c r="K12" s="100"/>
      <c r="L12" s="2161"/>
      <c r="M12" s="2103"/>
      <c r="N12" s="2103"/>
      <c r="O12" s="2103"/>
      <c r="P12" s="3496"/>
      <c r="Q12" s="2">
        <f t="shared" si="6"/>
        <v>0</v>
      </c>
      <c r="R12" s="1135" t="s">
        <v>98</v>
      </c>
      <c r="S12" s="1136">
        <f t="shared" si="0"/>
        <v>100</v>
      </c>
      <c r="T12" s="1135" t="s">
        <v>98</v>
      </c>
      <c r="U12" s="1136">
        <f t="shared" si="1"/>
        <v>100</v>
      </c>
      <c r="V12" s="1135" t="s">
        <v>98</v>
      </c>
      <c r="W12" s="1136">
        <f t="shared" si="2"/>
        <v>100</v>
      </c>
      <c r="X12" s="184"/>
      <c r="Y12" s="3314"/>
      <c r="Z12" s="185">
        <f t="shared" si="7"/>
        <v>0</v>
      </c>
      <c r="AA12" s="1137">
        <f>D12/F12</f>
        <v>1</v>
      </c>
      <c r="AB12" s="1137">
        <f>D12/H12</f>
        <v>1</v>
      </c>
      <c r="AC12" s="1137">
        <f>D12/J12</f>
        <v>1</v>
      </c>
    </row>
    <row r="13" spans="1:29" ht="14.25" hidden="1">
      <c r="A13" s="98"/>
      <c r="B13" s="889"/>
      <c r="C13" s="40"/>
      <c r="D13" s="633">
        <v>100</v>
      </c>
      <c r="E13" s="40"/>
      <c r="F13" s="623">
        <f>SUMIF(72:72,E13,73:73)-SUMIF(72:72,C13,73:73)+100</f>
        <v>100</v>
      </c>
      <c r="G13" s="40"/>
      <c r="H13" s="633">
        <f>SUMIF(72:72,G13,73:73)-SUMIF(72:72,C13,73:73)+100</f>
        <v>100</v>
      </c>
      <c r="I13" s="40"/>
      <c r="J13" s="633">
        <f>SUMIF(72:72,I13,73:73)-SUMIF(72:72,C13,73:73)+100</f>
        <v>100</v>
      </c>
      <c r="K13" s="100"/>
      <c r="L13" s="2165"/>
      <c r="M13" s="2160"/>
      <c r="N13" s="2160"/>
      <c r="O13" s="2160"/>
      <c r="P13" s="3496"/>
      <c r="Q13" s="2">
        <f t="shared" si="6"/>
        <v>0</v>
      </c>
      <c r="R13" s="1135" t="s">
        <v>98</v>
      </c>
      <c r="S13" s="1136">
        <f t="shared" si="0"/>
        <v>100</v>
      </c>
      <c r="T13" s="1135" t="s">
        <v>98</v>
      </c>
      <c r="U13" s="1136">
        <f t="shared" si="1"/>
        <v>100</v>
      </c>
      <c r="V13" s="1135" t="s">
        <v>98</v>
      </c>
      <c r="W13" s="1136">
        <f t="shared" si="2"/>
        <v>100</v>
      </c>
      <c r="X13" s="184"/>
      <c r="Y13" s="3314"/>
      <c r="Z13" s="185">
        <f t="shared" si="7"/>
        <v>0</v>
      </c>
      <c r="AA13" s="1137">
        <f t="shared" si="3"/>
        <v>1</v>
      </c>
      <c r="AB13" s="1137">
        <f t="shared" si="4"/>
        <v>1</v>
      </c>
      <c r="AC13" s="1137">
        <f t="shared" si="5"/>
        <v>1</v>
      </c>
    </row>
    <row r="14" spans="1:29" ht="15" hidden="1" thickBot="1">
      <c r="A14" s="101"/>
      <c r="B14" s="890"/>
      <c r="C14" s="41"/>
      <c r="D14" s="635">
        <v>100</v>
      </c>
      <c r="E14" s="41"/>
      <c r="F14" s="636">
        <f>SUMIF(74:74,E14,75:75)-SUMIF(74:74,C14,75:75)+100</f>
        <v>100</v>
      </c>
      <c r="G14" s="41"/>
      <c r="H14" s="635">
        <f>SUMIF(74:74,G14,75:75)-SUMIF(74:74,C14,75:75)+100</f>
        <v>100</v>
      </c>
      <c r="I14" s="41"/>
      <c r="J14" s="635">
        <f>SUMIF(74:74,I14,75:75)-SUMIF(74:74,C14,75:75)+100</f>
        <v>100</v>
      </c>
      <c r="K14" s="100"/>
      <c r="L14" s="2165"/>
      <c r="M14" s="2160"/>
      <c r="N14" s="2160"/>
      <c r="O14" s="2160"/>
      <c r="P14" s="3496"/>
      <c r="Q14" s="2">
        <f t="shared" si="6"/>
        <v>0</v>
      </c>
      <c r="R14" s="1135" t="s">
        <v>98</v>
      </c>
      <c r="S14" s="1136">
        <f t="shared" si="0"/>
        <v>100</v>
      </c>
      <c r="T14" s="1135" t="s">
        <v>98</v>
      </c>
      <c r="U14" s="1136">
        <f t="shared" si="1"/>
        <v>100</v>
      </c>
      <c r="V14" s="1135" t="s">
        <v>98</v>
      </c>
      <c r="W14" s="1136">
        <f t="shared" si="2"/>
        <v>100</v>
      </c>
      <c r="X14" s="184"/>
      <c r="Y14" s="3314"/>
      <c r="Z14" s="185">
        <f t="shared" si="7"/>
        <v>0</v>
      </c>
      <c r="AA14" s="1137">
        <f t="shared" si="3"/>
        <v>1</v>
      </c>
      <c r="AB14" s="1137">
        <f t="shared" si="4"/>
        <v>1</v>
      </c>
      <c r="AC14" s="1137">
        <f t="shared" si="5"/>
        <v>1</v>
      </c>
    </row>
    <row r="15" spans="1:29" ht="27">
      <c r="A15" s="105" t="s">
        <v>64</v>
      </c>
      <c r="B15" s="3188" t="s">
        <v>36</v>
      </c>
      <c r="C15" s="107" t="str">
        <f>估价对象房地状况!C3</f>
        <v>赞成赞城、逸居城</v>
      </c>
      <c r="D15" s="638">
        <v>100</v>
      </c>
      <c r="E15" s="42" t="s">
        <v>6357</v>
      </c>
      <c r="F15" s="640">
        <f>SUMIF(76:76,E16,77:77)-SUMIF(76:76,C16,77:77)+100</f>
        <v>100</v>
      </c>
      <c r="G15" s="43" t="s">
        <v>6358</v>
      </c>
      <c r="H15" s="638">
        <f>SUMIF(76:76,G16,77:77)-SUMIF(76:76,C16,77:77)+100</f>
        <v>106</v>
      </c>
      <c r="I15" s="42" t="s">
        <v>6378</v>
      </c>
      <c r="J15" s="638">
        <f>SUMIF(76:76,I16,77:77)-SUMIF(76:76,C16,77:77)+100</f>
        <v>106</v>
      </c>
      <c r="K15" s="3187">
        <v>3</v>
      </c>
      <c r="L15" s="2165"/>
      <c r="M15" s="2160"/>
      <c r="N15" s="2160"/>
      <c r="O15" s="2160"/>
      <c r="P15" s="3474" t="s">
        <v>64</v>
      </c>
      <c r="Q15" s="1145" t="str">
        <f t="shared" si="6"/>
        <v>居住社区成熟度</v>
      </c>
      <c r="R15" s="1146" t="s">
        <v>98</v>
      </c>
      <c r="S15" s="1147">
        <f t="shared" si="0"/>
        <v>100</v>
      </c>
      <c r="T15" s="1146" t="s">
        <v>98</v>
      </c>
      <c r="U15" s="1147">
        <f t="shared" si="1"/>
        <v>106</v>
      </c>
      <c r="V15" s="1146" t="s">
        <v>98</v>
      </c>
      <c r="W15" s="1147">
        <f t="shared" si="2"/>
        <v>106</v>
      </c>
      <c r="X15" s="1133"/>
      <c r="Y15" s="3476" t="s">
        <v>64</v>
      </c>
      <c r="Z15" s="1148" t="str">
        <f t="shared" si="7"/>
        <v>居住社区成熟度</v>
      </c>
      <c r="AA15" s="1149">
        <f t="shared" si="3"/>
        <v>1</v>
      </c>
      <c r="AB15" s="1149">
        <f t="shared" si="4"/>
        <v>0.94339622641509435</v>
      </c>
      <c r="AC15" s="1149">
        <f t="shared" si="5"/>
        <v>0.94339622641509435</v>
      </c>
    </row>
    <row r="16" spans="1:29" ht="14.25">
      <c r="A16" s="98"/>
      <c r="B16" s="106"/>
      <c r="C16" s="44" t="s">
        <v>102</v>
      </c>
      <c r="D16" s="645"/>
      <c r="E16" s="45" t="s">
        <v>102</v>
      </c>
      <c r="F16" s="647"/>
      <c r="G16" s="46" t="s">
        <v>100</v>
      </c>
      <c r="H16" s="648"/>
      <c r="I16" s="45" t="s">
        <v>100</v>
      </c>
      <c r="J16" s="645"/>
      <c r="K16" s="109"/>
      <c r="L16" s="2165"/>
      <c r="M16" s="2160"/>
      <c r="N16" s="2160"/>
      <c r="O16" s="2160"/>
      <c r="P16" s="3475"/>
      <c r="Q16" s="1145"/>
      <c r="R16" s="1146"/>
      <c r="S16" s="1147"/>
      <c r="T16" s="1146"/>
      <c r="U16" s="1147"/>
      <c r="V16" s="1146"/>
      <c r="W16" s="1147"/>
      <c r="X16" s="1133"/>
      <c r="Y16" s="3477"/>
      <c r="Z16" s="1148"/>
      <c r="AA16" s="1149">
        <v>1</v>
      </c>
      <c r="AB16" s="1149">
        <v>1</v>
      </c>
      <c r="AC16" s="1149">
        <v>1</v>
      </c>
    </row>
    <row r="17" spans="1:29" ht="27">
      <c r="A17" s="98"/>
      <c r="B17" s="1150" t="s">
        <v>66</v>
      </c>
      <c r="C17" s="108" t="str">
        <f>估价对象房地状况!C6</f>
        <v>192路 764路 778路</v>
      </c>
      <c r="D17" s="648">
        <v>100</v>
      </c>
      <c r="E17" s="47" t="s">
        <v>6359</v>
      </c>
      <c r="F17" s="651">
        <f>SUMIF(78:78,E18,79:79)-SUMIF(78:78,C18,79:79)+100</f>
        <v>100</v>
      </c>
      <c r="G17" s="48" t="s">
        <v>6375</v>
      </c>
      <c r="H17" s="653">
        <f>SUMIF(78:78,G18,79:79)-SUMIF(78:78,C18,79:79)+100</f>
        <v>100</v>
      </c>
      <c r="I17" s="47" t="s">
        <v>6379</v>
      </c>
      <c r="J17" s="653">
        <f>SUMIF(78:78,I18,79:79)-SUMIF(78:78,C18,79:79)+100</f>
        <v>100</v>
      </c>
      <c r="K17" s="642">
        <v>1</v>
      </c>
      <c r="L17" s="2165"/>
      <c r="M17" s="2160"/>
      <c r="N17" s="2160"/>
      <c r="O17" s="2160"/>
      <c r="P17" s="3475"/>
      <c r="Q17" s="1145" t="str">
        <f>B17</f>
        <v>交通便捷度</v>
      </c>
      <c r="R17" s="1146" t="s">
        <v>98</v>
      </c>
      <c r="S17" s="1147">
        <f>F17</f>
        <v>100</v>
      </c>
      <c r="T17" s="1146" t="s">
        <v>98</v>
      </c>
      <c r="U17" s="1147">
        <f>H17</f>
        <v>100</v>
      </c>
      <c r="V17" s="1146" t="s">
        <v>98</v>
      </c>
      <c r="W17" s="1147">
        <f>J17</f>
        <v>100</v>
      </c>
      <c r="X17" s="1133"/>
      <c r="Y17" s="3477"/>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5"/>
      <c r="M18" s="2160"/>
      <c r="N18" s="2160"/>
      <c r="O18" s="2160"/>
      <c r="P18" s="3475"/>
      <c r="Q18" s="1145"/>
      <c r="R18" s="1146"/>
      <c r="S18" s="1147"/>
      <c r="T18" s="1146"/>
      <c r="U18" s="1147"/>
      <c r="V18" s="1146"/>
      <c r="W18" s="1147"/>
      <c r="X18" s="1133"/>
      <c r="Y18" s="3477"/>
      <c r="Z18" s="1148"/>
      <c r="AA18" s="1149">
        <v>1</v>
      </c>
      <c r="AB18" s="1149">
        <v>1</v>
      </c>
      <c r="AC18" s="1149">
        <v>1</v>
      </c>
    </row>
    <row r="19" spans="1:29" ht="121.5">
      <c r="A19" s="98"/>
      <c r="B19" s="1150" t="s">
        <v>2526</v>
      </c>
      <c r="C19" s="108" t="str">
        <f>估价对象房地状况!C7</f>
        <v>余杭区良渚二小、勾庄镇中星桥小学、良渚街道社区卫生服务中心勾庄院区、中信银行(杭州良渚支行)、中信银行(杭州良渚支行)</v>
      </c>
      <c r="D19" s="653">
        <v>100</v>
      </c>
      <c r="E19" s="52" t="s">
        <v>6360</v>
      </c>
      <c r="F19" s="657">
        <f>SUMIF(80:80,E20,81:81)-SUMIF(80:80,C20,81:81)+100</f>
        <v>100</v>
      </c>
      <c r="G19" s="53" t="s">
        <v>6376</v>
      </c>
      <c r="H19" s="648">
        <f>SUMIF(80:80,G20,81:81)-SUMIF(80:80,C20,81:81)+100</f>
        <v>106</v>
      </c>
      <c r="I19" s="53" t="s">
        <v>6376</v>
      </c>
      <c r="J19" s="648">
        <f>SUMIF(80:80,I20,81:81)-SUMIF(80:80,C20,81:81)+100</f>
        <v>106</v>
      </c>
      <c r="K19" s="642">
        <v>3</v>
      </c>
      <c r="L19" s="2165"/>
      <c r="M19" s="2160"/>
      <c r="N19" s="2160"/>
      <c r="O19" s="2160"/>
      <c r="P19" s="3475"/>
      <c r="Q19" s="1145" t="str">
        <f>B19</f>
        <v>公共配套设施</v>
      </c>
      <c r="R19" s="1146" t="s">
        <v>98</v>
      </c>
      <c r="S19" s="1147">
        <f>F19</f>
        <v>100</v>
      </c>
      <c r="T19" s="1146" t="s">
        <v>98</v>
      </c>
      <c r="U19" s="1147">
        <f>H19</f>
        <v>106</v>
      </c>
      <c r="V19" s="1146" t="s">
        <v>98</v>
      </c>
      <c r="W19" s="1147">
        <f>J19</f>
        <v>106</v>
      </c>
      <c r="X19" s="1133"/>
      <c r="Y19" s="3477"/>
      <c r="Z19" s="1148" t="str">
        <f>Q19</f>
        <v>公共配套设施</v>
      </c>
      <c r="AA19" s="1149">
        <f t="shared" si="3"/>
        <v>1</v>
      </c>
      <c r="AB19" s="1149">
        <f t="shared" si="4"/>
        <v>0.94339622641509435</v>
      </c>
      <c r="AC19" s="1149">
        <f t="shared" si="5"/>
        <v>0.94339622641509435</v>
      </c>
    </row>
    <row r="20" spans="1:29" ht="14.25">
      <c r="A20" s="98"/>
      <c r="B20" s="899"/>
      <c r="C20" s="44" t="s">
        <v>102</v>
      </c>
      <c r="D20" s="645"/>
      <c r="E20" s="45" t="s">
        <v>102</v>
      </c>
      <c r="F20" s="647"/>
      <c r="G20" s="46" t="s">
        <v>100</v>
      </c>
      <c r="H20" s="645"/>
      <c r="I20" s="45" t="s">
        <v>100</v>
      </c>
      <c r="J20" s="645"/>
      <c r="K20" s="109"/>
      <c r="L20" s="2165"/>
      <c r="M20" s="2160"/>
      <c r="N20" s="2160"/>
      <c r="O20" s="2160"/>
      <c r="P20" s="3475"/>
      <c r="Q20" s="1145"/>
      <c r="R20" s="1146"/>
      <c r="S20" s="1147"/>
      <c r="T20" s="1146"/>
      <c r="U20" s="1147"/>
      <c r="V20" s="1146"/>
      <c r="W20" s="1147"/>
      <c r="X20" s="1133"/>
      <c r="Y20" s="3477"/>
      <c r="Z20" s="1148"/>
      <c r="AA20" s="1149">
        <v>1</v>
      </c>
      <c r="AB20" s="1149">
        <v>1</v>
      </c>
      <c r="AC20" s="1149">
        <v>1</v>
      </c>
    </row>
    <row r="21" spans="1:29" ht="15">
      <c r="A21" s="98"/>
      <c r="B21" s="1205" t="s">
        <v>2527</v>
      </c>
      <c r="C21" s="108" t="str">
        <f>估价对象房地状况!C8</f>
        <v>六通</v>
      </c>
      <c r="D21" s="653">
        <v>100</v>
      </c>
      <c r="E21" s="52" t="s">
        <v>6371</v>
      </c>
      <c r="F21" s="657">
        <f>SUMIF(82:82,E22,83:83)-SUMIF(82:82,C22,83:83)+100</f>
        <v>100</v>
      </c>
      <c r="G21" s="53" t="s">
        <v>6371</v>
      </c>
      <c r="H21" s="648">
        <f>SUMIF(82:82,G22,83:83)-SUMIF(82:82,C22,83:83)+100</f>
        <v>100</v>
      </c>
      <c r="I21" s="53" t="s">
        <v>6371</v>
      </c>
      <c r="J21" s="648">
        <f>SUMIF(82:82,I22,83:83)-SUMIF(82:82,C22,83:83)+100</f>
        <v>100</v>
      </c>
      <c r="K21" s="642">
        <v>2</v>
      </c>
      <c r="L21" s="2165"/>
      <c r="M21" s="2160"/>
      <c r="N21" s="2160"/>
      <c r="O21" s="2160"/>
      <c r="P21" s="3475"/>
      <c r="Q21" s="2545" t="str">
        <f>B21</f>
        <v>基础设施水平</v>
      </c>
      <c r="R21" s="1146" t="s">
        <v>98</v>
      </c>
      <c r="S21" s="1147">
        <f>F21</f>
        <v>100</v>
      </c>
      <c r="T21" s="1146" t="s">
        <v>98</v>
      </c>
      <c r="U21" s="1147">
        <f>H21</f>
        <v>100</v>
      </c>
      <c r="V21" s="1146" t="s">
        <v>98</v>
      </c>
      <c r="W21" s="1147">
        <f>J21</f>
        <v>100</v>
      </c>
      <c r="X21" s="2543"/>
      <c r="Y21" s="3477"/>
      <c r="Z21" s="2544" t="str">
        <f>Q21</f>
        <v>基础设施水平</v>
      </c>
      <c r="AA21" s="1149">
        <f t="shared" ref="AA21" si="8">D21/F21</f>
        <v>1</v>
      </c>
      <c r="AB21" s="1149">
        <f t="shared" ref="AB21" si="9">D21/H21</f>
        <v>1</v>
      </c>
      <c r="AC21" s="1149">
        <f t="shared" ref="AC21" si="10">D21/J21</f>
        <v>1</v>
      </c>
    </row>
    <row r="22" spans="1:29" ht="14.25">
      <c r="A22" s="98"/>
      <c r="B22" s="1205"/>
      <c r="C22" s="49" t="s">
        <v>114</v>
      </c>
      <c r="D22" s="645"/>
      <c r="E22" s="44" t="s">
        <v>114</v>
      </c>
      <c r="F22" s="647"/>
      <c r="G22" s="44" t="s">
        <v>114</v>
      </c>
      <c r="H22" s="645"/>
      <c r="I22" s="44" t="s">
        <v>114</v>
      </c>
      <c r="J22" s="645"/>
      <c r="K22" s="2554"/>
      <c r="L22" s="2165"/>
      <c r="M22" s="2160"/>
      <c r="N22" s="2160"/>
      <c r="O22" s="2160"/>
      <c r="P22" s="3475"/>
      <c r="Q22" s="2545"/>
      <c r="R22" s="1146"/>
      <c r="S22" s="1147"/>
      <c r="T22" s="1146"/>
      <c r="U22" s="1147"/>
      <c r="V22" s="1146"/>
      <c r="W22" s="1147"/>
      <c r="X22" s="2543"/>
      <c r="Y22" s="3477"/>
      <c r="Z22" s="2544"/>
      <c r="AA22" s="1149">
        <v>1</v>
      </c>
      <c r="AB22" s="1149">
        <v>1</v>
      </c>
      <c r="AC22" s="1149">
        <v>1</v>
      </c>
    </row>
    <row r="23" spans="1:29" ht="40.5">
      <c r="A23" s="98"/>
      <c r="B23" s="1150" t="s">
        <v>67</v>
      </c>
      <c r="C23" s="108" t="str">
        <f>估价对象房地状况!C9</f>
        <v>海德公园</v>
      </c>
      <c r="D23" s="648">
        <v>100</v>
      </c>
      <c r="E23" s="47" t="s">
        <v>8061</v>
      </c>
      <c r="F23" s="651">
        <f>SUMIF(84:84,E24,85:85)-SUMIF(84:84,C24,85:85)+100</f>
        <v>100</v>
      </c>
      <c r="G23" s="48" t="s">
        <v>8059</v>
      </c>
      <c r="H23" s="648">
        <f>SUMIF(84:84,G24,85:85)-SUMIF(84:84,C24,85:85)+100</f>
        <v>103</v>
      </c>
      <c r="I23" s="48" t="s">
        <v>8060</v>
      </c>
      <c r="J23" s="648">
        <f>SUMIF(84:84,I24,85:85)-SUMIF(84:84,C24,85:85)+100</f>
        <v>103</v>
      </c>
      <c r="K23" s="642">
        <v>3</v>
      </c>
      <c r="L23" s="2165"/>
      <c r="M23" s="2160"/>
      <c r="N23" s="2160"/>
      <c r="O23" s="2160"/>
      <c r="P23" s="3475"/>
      <c r="Q23" s="1145" t="str">
        <f>B23</f>
        <v>自然及人文环境</v>
      </c>
      <c r="R23" s="1146" t="s">
        <v>98</v>
      </c>
      <c r="S23" s="1147">
        <f>F23</f>
        <v>100</v>
      </c>
      <c r="T23" s="1146" t="s">
        <v>98</v>
      </c>
      <c r="U23" s="1147">
        <f>H23</f>
        <v>103</v>
      </c>
      <c r="V23" s="1146" t="s">
        <v>98</v>
      </c>
      <c r="W23" s="1147">
        <f>J23</f>
        <v>103</v>
      </c>
      <c r="X23" s="1133"/>
      <c r="Y23" s="3477"/>
      <c r="Z23" s="1148" t="str">
        <f>Q23</f>
        <v>自然及人文环境</v>
      </c>
      <c r="AA23" s="1149">
        <f t="shared" si="3"/>
        <v>1</v>
      </c>
      <c r="AB23" s="1149">
        <f t="shared" si="4"/>
        <v>0.970873786407767</v>
      </c>
      <c r="AC23" s="1149">
        <f t="shared" si="5"/>
        <v>0.970873786407767</v>
      </c>
    </row>
    <row r="24" spans="1:29" ht="14.25">
      <c r="A24" s="98"/>
      <c r="B24" s="899"/>
      <c r="C24" s="44" t="s">
        <v>102</v>
      </c>
      <c r="D24" s="645"/>
      <c r="E24" s="45" t="s">
        <v>102</v>
      </c>
      <c r="F24" s="647"/>
      <c r="G24" s="46" t="s">
        <v>101</v>
      </c>
      <c r="H24" s="645"/>
      <c r="I24" s="46" t="s">
        <v>101</v>
      </c>
      <c r="J24" s="645"/>
      <c r="K24" s="109"/>
      <c r="L24" s="2165"/>
      <c r="M24" s="2160"/>
      <c r="N24" s="2160"/>
      <c r="O24" s="2160"/>
      <c r="P24" s="3475"/>
      <c r="Q24" s="1145"/>
      <c r="R24" s="1146"/>
      <c r="S24" s="1147"/>
      <c r="T24" s="1146"/>
      <c r="U24" s="1147"/>
      <c r="V24" s="1146"/>
      <c r="W24" s="1147"/>
      <c r="X24" s="1133"/>
      <c r="Y24" s="3477"/>
      <c r="Z24" s="1148"/>
      <c r="AA24" s="1149">
        <v>1</v>
      </c>
      <c r="AB24" s="1149">
        <v>1</v>
      </c>
      <c r="AC24" s="1149">
        <v>1</v>
      </c>
    </row>
    <row r="25" spans="1:29" ht="15">
      <c r="A25" s="98"/>
      <c r="B25" s="4" t="s">
        <v>2189</v>
      </c>
      <c r="C25" s="54"/>
      <c r="D25" s="633">
        <v>100</v>
      </c>
      <c r="E25" s="55"/>
      <c r="F25" s="660">
        <f>SUMIF(86:86,E25,87:87)-SUMIF(86:86,C25,87:87)+100</f>
        <v>100</v>
      </c>
      <c r="G25" s="56"/>
      <c r="H25" s="633">
        <f>SUMIF(86:86,G25,87:87)-SUMIF(86:86,C25,87:87)+100</f>
        <v>100</v>
      </c>
      <c r="I25" s="55"/>
      <c r="J25" s="633">
        <f>SUMIF(86:86,I25,87:87)-SUMIF(86:86,C25,87:87)+100</f>
        <v>100</v>
      </c>
      <c r="K25" s="624"/>
      <c r="L25" s="2165"/>
      <c r="M25" s="2160"/>
      <c r="N25" s="2160"/>
      <c r="O25" s="2160"/>
      <c r="P25" s="3475"/>
      <c r="Q25" s="1145" t="str">
        <f t="shared" ref="Q25:Q46" si="11">B25</f>
        <v>楼层-1</v>
      </c>
      <c r="R25" s="1146" t="s">
        <v>98</v>
      </c>
      <c r="S25" s="1147">
        <f>F25</f>
        <v>100</v>
      </c>
      <c r="T25" s="1146" t="s">
        <v>98</v>
      </c>
      <c r="U25" s="1147">
        <f>H25</f>
        <v>100</v>
      </c>
      <c r="V25" s="1146" t="s">
        <v>98</v>
      </c>
      <c r="W25" s="1147">
        <f>J25</f>
        <v>100</v>
      </c>
      <c r="X25" s="1133"/>
      <c r="Y25" s="3477"/>
      <c r="Z25" s="1148" t="str">
        <f>Q25</f>
        <v>楼层-1</v>
      </c>
      <c r="AA25" s="1149">
        <f t="shared" si="3"/>
        <v>1</v>
      </c>
      <c r="AB25" s="1149">
        <f t="shared" si="4"/>
        <v>1</v>
      </c>
      <c r="AC25" s="1149">
        <f t="shared" si="5"/>
        <v>1</v>
      </c>
    </row>
    <row r="26" spans="1:29" ht="15">
      <c r="A26" s="98"/>
      <c r="B26" s="4" t="s">
        <v>68</v>
      </c>
      <c r="C26" s="54" t="s">
        <v>6382</v>
      </c>
      <c r="D26" s="633">
        <v>100</v>
      </c>
      <c r="E26" s="55" t="s">
        <v>6382</v>
      </c>
      <c r="F26" s="660">
        <f>SUMIF(88:88,E26,89:89)-SUMIF(88:88,C26,89:89)+100</f>
        <v>100</v>
      </c>
      <c r="G26" s="56" t="s">
        <v>6382</v>
      </c>
      <c r="H26" s="633">
        <f>SUMIF(88:88,G26,89:89)-SUMIF(88:88,C26,89:89)+100</f>
        <v>100</v>
      </c>
      <c r="I26" s="55" t="s">
        <v>6382</v>
      </c>
      <c r="J26" s="633">
        <f>SUMIF(88:88,I26,89:89)-SUMIF(88:88,C26,89:89)+100</f>
        <v>100</v>
      </c>
      <c r="K26" s="624">
        <v>1</v>
      </c>
      <c r="L26" s="2165"/>
      <c r="M26" s="2160"/>
      <c r="N26" s="2160"/>
      <c r="O26" s="2160"/>
      <c r="P26" s="3475"/>
      <c r="Q26" s="1145" t="str">
        <f t="shared" si="11"/>
        <v>朝向</v>
      </c>
      <c r="R26" s="1146" t="s">
        <v>98</v>
      </c>
      <c r="S26" s="1147">
        <f>F26</f>
        <v>100</v>
      </c>
      <c r="T26" s="1146" t="s">
        <v>98</v>
      </c>
      <c r="U26" s="1147">
        <f>H26</f>
        <v>100</v>
      </c>
      <c r="V26" s="1146" t="s">
        <v>98</v>
      </c>
      <c r="W26" s="1147">
        <f>J26</f>
        <v>100</v>
      </c>
      <c r="X26" s="1133"/>
      <c r="Y26" s="3477"/>
      <c r="Z26" s="1148" t="str">
        <f>Q26</f>
        <v>朝向</v>
      </c>
      <c r="AA26" s="1149">
        <f t="shared" si="3"/>
        <v>1</v>
      </c>
      <c r="AB26" s="1149">
        <f t="shared" si="4"/>
        <v>1</v>
      </c>
      <c r="AC26" s="1149">
        <f t="shared" si="5"/>
        <v>1</v>
      </c>
    </row>
    <row r="27" spans="1:29" s="11" customFormat="1" ht="14.25">
      <c r="A27" s="888"/>
      <c r="B27" s="889" t="s">
        <v>906</v>
      </c>
      <c r="C27" s="882" t="s">
        <v>6361</v>
      </c>
      <c r="D27" s="661">
        <v>100</v>
      </c>
      <c r="E27" s="885" t="s">
        <v>6361</v>
      </c>
      <c r="F27" s="663">
        <f>SUMIF(90:90,E27,91:91)-SUMIF(90:90,C27,91:91)+100</f>
        <v>100</v>
      </c>
      <c r="G27" s="884" t="s">
        <v>6377</v>
      </c>
      <c r="H27" s="661">
        <f>SUMIF(90:90,G27,91:91)-SUMIF(90:90,C27,91:91)+100</f>
        <v>100</v>
      </c>
      <c r="I27" s="884" t="s">
        <v>6377</v>
      </c>
      <c r="J27" s="661">
        <f>SUMIF(90:90,I27,91:91)-SUMIF(90:90,C27,91:91)+100</f>
        <v>100</v>
      </c>
      <c r="K27" s="100"/>
      <c r="L27" s="2161"/>
      <c r="M27" s="2103"/>
      <c r="N27" s="2103"/>
      <c r="O27" s="2103"/>
      <c r="P27" s="3475"/>
      <c r="Q27" s="2" t="str">
        <f t="shared" si="11"/>
        <v>道路级别</v>
      </c>
      <c r="R27" s="1135" t="s">
        <v>98</v>
      </c>
      <c r="S27" s="1136">
        <f>F27</f>
        <v>100</v>
      </c>
      <c r="T27" s="1135" t="s">
        <v>98</v>
      </c>
      <c r="U27" s="1136">
        <f>H27</f>
        <v>100</v>
      </c>
      <c r="V27" s="1135" t="s">
        <v>98</v>
      </c>
      <c r="W27" s="1136">
        <f>J27</f>
        <v>100</v>
      </c>
      <c r="X27" s="184"/>
      <c r="Y27" s="3477"/>
      <c r="Z27" s="185" t="str">
        <f>Q27</f>
        <v>道路级别</v>
      </c>
      <c r="AA27" s="1149">
        <f>D27/F27</f>
        <v>1</v>
      </c>
      <c r="AB27" s="1149">
        <f>D27/H27</f>
        <v>1</v>
      </c>
      <c r="AC27" s="1149">
        <f>D27/J27</f>
        <v>1</v>
      </c>
    </row>
    <row r="28" spans="1:29" ht="15" thickBot="1">
      <c r="A28" s="98"/>
      <c r="B28" s="1151" t="s">
        <v>6395</v>
      </c>
      <c r="C28" s="40" t="s">
        <v>6396</v>
      </c>
      <c r="D28" s="633">
        <v>100</v>
      </c>
      <c r="E28" s="40" t="s">
        <v>6396</v>
      </c>
      <c r="F28" s="660">
        <f>SUMIF(92:92,E28,93:93)-SUMIF(92:92,C28,93:93)+100</f>
        <v>100</v>
      </c>
      <c r="G28" s="40" t="s">
        <v>6396</v>
      </c>
      <c r="H28" s="633">
        <f>SUMIF(92:92,G28,93:93)-SUMIF(92:92,C28,93:93)+100</f>
        <v>100</v>
      </c>
      <c r="I28" s="40" t="s">
        <v>6394</v>
      </c>
      <c r="J28" s="633">
        <f>SUMIF(92:92,I28,93:93)-SUMIF(92:92,C28,93:93)+100</f>
        <v>100</v>
      </c>
      <c r="K28" s="100"/>
      <c r="L28" s="2165"/>
      <c r="M28" s="2160"/>
      <c r="N28" s="2160"/>
      <c r="O28" s="2160"/>
      <c r="P28" s="3475"/>
      <c r="Q28" s="1145" t="str">
        <f t="shared" si="11"/>
        <v xml:space="preserve">楼层 </v>
      </c>
      <c r="R28" s="1146" t="s">
        <v>98</v>
      </c>
      <c r="S28" s="1147">
        <f t="shared" ref="S28:S46" si="12">F28</f>
        <v>100</v>
      </c>
      <c r="T28" s="1146" t="s">
        <v>98</v>
      </c>
      <c r="U28" s="1147">
        <f t="shared" ref="U28:U46" si="13">H28</f>
        <v>100</v>
      </c>
      <c r="V28" s="1146" t="s">
        <v>98</v>
      </c>
      <c r="W28" s="1147">
        <f t="shared" ref="W28:W46" si="14">J28</f>
        <v>100</v>
      </c>
      <c r="X28" s="1133"/>
      <c r="Y28" s="3477"/>
      <c r="Z28" s="1148" t="str">
        <f t="shared" ref="Z28:Z46" si="15">Q28</f>
        <v xml:space="preserve">楼层 </v>
      </c>
      <c r="AA28" s="1149">
        <f t="shared" si="3"/>
        <v>1</v>
      </c>
      <c r="AB28" s="1149">
        <f t="shared" si="4"/>
        <v>1</v>
      </c>
      <c r="AC28" s="1149">
        <f t="shared" si="5"/>
        <v>1</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65"/>
      <c r="M29" s="2160"/>
      <c r="N29" s="2160"/>
      <c r="O29" s="2160"/>
      <c r="P29" s="3475"/>
      <c r="Q29" s="1145">
        <f t="shared" si="11"/>
        <v>0</v>
      </c>
      <c r="R29" s="1146" t="s">
        <v>98</v>
      </c>
      <c r="S29" s="1147">
        <f t="shared" si="12"/>
        <v>100</v>
      </c>
      <c r="T29" s="1146" t="s">
        <v>98</v>
      </c>
      <c r="U29" s="1147">
        <f t="shared" si="13"/>
        <v>100</v>
      </c>
      <c r="V29" s="1146" t="s">
        <v>98</v>
      </c>
      <c r="W29" s="1147">
        <f t="shared" si="14"/>
        <v>100</v>
      </c>
      <c r="X29" s="1133"/>
      <c r="Y29" s="3477"/>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65"/>
      <c r="M30" s="2160"/>
      <c r="N30" s="2160"/>
      <c r="O30" s="2160"/>
      <c r="P30" s="3475"/>
      <c r="Q30" s="1145">
        <f t="shared" si="11"/>
        <v>0</v>
      </c>
      <c r="R30" s="1146" t="s">
        <v>98</v>
      </c>
      <c r="S30" s="1147">
        <f t="shared" si="12"/>
        <v>100</v>
      </c>
      <c r="T30" s="1146" t="s">
        <v>98</v>
      </c>
      <c r="U30" s="1147">
        <f t="shared" si="13"/>
        <v>100</v>
      </c>
      <c r="V30" s="1146" t="s">
        <v>98</v>
      </c>
      <c r="W30" s="1147">
        <f t="shared" si="14"/>
        <v>100</v>
      </c>
      <c r="X30" s="1133"/>
      <c r="Y30" s="3477"/>
      <c r="Z30" s="1148">
        <f t="shared" si="15"/>
        <v>0</v>
      </c>
      <c r="AA30" s="1149">
        <f t="shared" si="3"/>
        <v>1</v>
      </c>
      <c r="AB30" s="1149">
        <f t="shared" si="4"/>
        <v>1</v>
      </c>
      <c r="AC30" s="1149">
        <f t="shared" si="5"/>
        <v>1</v>
      </c>
    </row>
    <row r="31" spans="1:29" ht="15" hidden="1" thickBot="1">
      <c r="A31" s="101"/>
      <c r="B31" s="1151"/>
      <c r="C31" s="41"/>
      <c r="D31" s="635">
        <v>100</v>
      </c>
      <c r="E31" s="41"/>
      <c r="F31" s="636">
        <f>SUMIF(98:98,E31,99:99)-SUMIF(98:98,C31,99:99)+100</f>
        <v>100</v>
      </c>
      <c r="G31" s="41"/>
      <c r="H31" s="635">
        <f>SUMIF(98:98,G31,99:99)-SUMIF(98:98,C31,99:99)+100</f>
        <v>100</v>
      </c>
      <c r="I31" s="41"/>
      <c r="J31" s="635">
        <f>SUMIF(98:98,I31,99:99)-SUMIF(98:98,C31,99:99)+100</f>
        <v>100</v>
      </c>
      <c r="K31" s="100"/>
      <c r="L31" s="2165"/>
      <c r="M31" s="2160"/>
      <c r="N31" s="2160"/>
      <c r="O31" s="2160"/>
      <c r="P31" s="3475"/>
      <c r="Q31" s="1145">
        <f t="shared" si="11"/>
        <v>0</v>
      </c>
      <c r="R31" s="1146" t="s">
        <v>98</v>
      </c>
      <c r="S31" s="1147">
        <f t="shared" si="12"/>
        <v>100</v>
      </c>
      <c r="T31" s="1146" t="s">
        <v>98</v>
      </c>
      <c r="U31" s="1147">
        <f t="shared" si="13"/>
        <v>100</v>
      </c>
      <c r="V31" s="1146" t="s">
        <v>98</v>
      </c>
      <c r="W31" s="1147">
        <f t="shared" si="14"/>
        <v>100</v>
      </c>
      <c r="X31" s="1133"/>
      <c r="Y31" s="3477"/>
      <c r="Z31" s="1148">
        <f t="shared" si="15"/>
        <v>0</v>
      </c>
      <c r="AA31" s="1149">
        <f t="shared" si="3"/>
        <v>1</v>
      </c>
      <c r="AB31" s="1149">
        <f t="shared" si="4"/>
        <v>1</v>
      </c>
      <c r="AC31" s="1149">
        <f t="shared" si="5"/>
        <v>1</v>
      </c>
    </row>
    <row r="32" spans="1:29" ht="15">
      <c r="A32" s="105" t="s">
        <v>907</v>
      </c>
      <c r="B32" s="20" t="s">
        <v>69</v>
      </c>
      <c r="C32" s="57" t="s">
        <v>6362</v>
      </c>
      <c r="D32" s="122">
        <v>100</v>
      </c>
      <c r="E32" s="58" t="s">
        <v>6362</v>
      </c>
      <c r="F32" s="123">
        <f>SUMIF(100:100,E32,101:101)-SUMIF(100:100,C32,101:101)+100</f>
        <v>100</v>
      </c>
      <c r="G32" s="57" t="s">
        <v>6362</v>
      </c>
      <c r="H32" s="122">
        <f>SUMIF(100:100,G32,101:101)-SUMIF(100:100,C32,101:101)+100</f>
        <v>100</v>
      </c>
      <c r="I32" s="57" t="s">
        <v>6362</v>
      </c>
      <c r="J32" s="102">
        <f>SUMIF(100:100,I32,101:101)-SUMIF(100:100,C32,101:101)+100</f>
        <v>100</v>
      </c>
      <c r="K32" s="624">
        <v>5</v>
      </c>
      <c r="L32" s="2165"/>
      <c r="M32" s="2160"/>
      <c r="N32" s="2160"/>
      <c r="O32" s="2160"/>
      <c r="P32" s="3478" t="s">
        <v>65</v>
      </c>
      <c r="Q32" s="1145" t="str">
        <f t="shared" si="11"/>
        <v>建筑类型</v>
      </c>
      <c r="R32" s="1146" t="s">
        <v>98</v>
      </c>
      <c r="S32" s="1147">
        <f t="shared" si="12"/>
        <v>100</v>
      </c>
      <c r="T32" s="1146" t="s">
        <v>98</v>
      </c>
      <c r="U32" s="1147">
        <f t="shared" si="13"/>
        <v>100</v>
      </c>
      <c r="V32" s="1146" t="s">
        <v>98</v>
      </c>
      <c r="W32" s="1147">
        <f t="shared" si="14"/>
        <v>100</v>
      </c>
      <c r="X32" s="1133"/>
      <c r="Y32" s="3481" t="s">
        <v>65</v>
      </c>
      <c r="Z32" s="1148" t="str">
        <f t="shared" si="15"/>
        <v>建筑类型</v>
      </c>
      <c r="AA32" s="1149">
        <f t="shared" si="3"/>
        <v>1</v>
      </c>
      <c r="AB32" s="1149">
        <f t="shared" si="4"/>
        <v>1</v>
      </c>
      <c r="AC32" s="1149">
        <f t="shared" si="5"/>
        <v>1</v>
      </c>
    </row>
    <row r="33" spans="1:29" s="898" customFormat="1" ht="14.25">
      <c r="A33" s="902"/>
      <c r="B33" s="3189" t="s">
        <v>70</v>
      </c>
      <c r="C33" s="3192">
        <v>321724</v>
      </c>
      <c r="D33" s="3191">
        <v>100</v>
      </c>
      <c r="E33" s="3193">
        <v>182899</v>
      </c>
      <c r="F33" s="3190">
        <f>LOOKUP(E33,103:103,104:104)-LOOKUP(C33,103:103,104:104)+100</f>
        <v>98</v>
      </c>
      <c r="G33" s="3194">
        <v>202714</v>
      </c>
      <c r="H33" s="3191">
        <f>LOOKUP(G33,103:103,104:104)-LOOKUP(C33,103:103,104:104)+100</f>
        <v>99</v>
      </c>
      <c r="I33" s="3193">
        <v>78109</v>
      </c>
      <c r="J33" s="3191">
        <f>LOOKUP(I33,103:103,104:104)-LOOKUP(C33,103:103,104:104)+100</f>
        <v>97</v>
      </c>
      <c r="K33" s="3195"/>
      <c r="L33" s="2164"/>
      <c r="M33" s="2166"/>
      <c r="N33" s="2166"/>
      <c r="O33" s="2166"/>
      <c r="P33" s="3479"/>
      <c r="Q33" s="1153" t="str">
        <f t="shared" si="11"/>
        <v>项目建筑规模</v>
      </c>
      <c r="R33" s="1154" t="s">
        <v>98</v>
      </c>
      <c r="S33" s="1155">
        <f t="shared" si="12"/>
        <v>98</v>
      </c>
      <c r="T33" s="1154" t="s">
        <v>98</v>
      </c>
      <c r="U33" s="1155">
        <f t="shared" si="13"/>
        <v>99</v>
      </c>
      <c r="V33" s="1154" t="s">
        <v>98</v>
      </c>
      <c r="W33" s="1155">
        <f t="shared" si="14"/>
        <v>97</v>
      </c>
      <c r="X33" s="1156"/>
      <c r="Y33" s="3481"/>
      <c r="Z33" s="1157" t="str">
        <f t="shared" si="15"/>
        <v>项目建筑规模</v>
      </c>
      <c r="AA33" s="1149">
        <f t="shared" si="3"/>
        <v>1.0204081632653061</v>
      </c>
      <c r="AB33" s="1149">
        <f t="shared" si="4"/>
        <v>1.0101010101010102</v>
      </c>
      <c r="AC33" s="1149">
        <f t="shared" si="5"/>
        <v>1.0309278350515463</v>
      </c>
    </row>
    <row r="34" spans="1:29" ht="15">
      <c r="A34" s="111"/>
      <c r="B34" s="3183" t="s">
        <v>71</v>
      </c>
      <c r="C34" s="60" t="s">
        <v>6364</v>
      </c>
      <c r="D34" s="102">
        <v>100</v>
      </c>
      <c r="E34" s="60" t="s">
        <v>6364</v>
      </c>
      <c r="F34" s="123">
        <f>SUMIF(105:105,E34,106:106)-SUMIF(105:105,C34,106:106)+100</f>
        <v>100</v>
      </c>
      <c r="G34" s="60" t="s">
        <v>6364</v>
      </c>
      <c r="H34" s="102">
        <f>SUMIF(105:105,G34,106:106)-SUMIF(105:105,C34,106:106)+100</f>
        <v>100</v>
      </c>
      <c r="I34" s="60" t="s">
        <v>6364</v>
      </c>
      <c r="J34" s="102">
        <f>SUMIF(105:105,I34,106:106)-SUMIF(105:105,C34,106:106)+100</f>
        <v>100</v>
      </c>
      <c r="K34" s="624">
        <v>2</v>
      </c>
      <c r="L34" s="2165"/>
      <c r="M34" s="2160"/>
      <c r="N34" s="2160"/>
      <c r="O34" s="2160"/>
      <c r="P34" s="3479"/>
      <c r="Q34" s="1145" t="str">
        <f t="shared" si="11"/>
        <v>建筑结构</v>
      </c>
      <c r="R34" s="1146" t="s">
        <v>98</v>
      </c>
      <c r="S34" s="1147">
        <f t="shared" si="12"/>
        <v>100</v>
      </c>
      <c r="T34" s="1146" t="s">
        <v>98</v>
      </c>
      <c r="U34" s="1147">
        <f t="shared" si="13"/>
        <v>100</v>
      </c>
      <c r="V34" s="1146" t="s">
        <v>98</v>
      </c>
      <c r="W34" s="1147">
        <f t="shared" si="14"/>
        <v>100</v>
      </c>
      <c r="X34" s="1133"/>
      <c r="Y34" s="3481"/>
      <c r="Z34" s="1148" t="str">
        <f t="shared" si="15"/>
        <v>建筑结构</v>
      </c>
      <c r="AA34" s="1149">
        <f t="shared" si="3"/>
        <v>1</v>
      </c>
      <c r="AB34" s="1149">
        <f t="shared" si="4"/>
        <v>1</v>
      </c>
      <c r="AC34" s="1149">
        <f t="shared" si="5"/>
        <v>1</v>
      </c>
    </row>
    <row r="35" spans="1:29" ht="15">
      <c r="A35" s="111"/>
      <c r="B35" s="3183" t="s">
        <v>72</v>
      </c>
      <c r="C35" s="55" t="s">
        <v>6368</v>
      </c>
      <c r="D35" s="102">
        <v>100</v>
      </c>
      <c r="E35" s="55" t="s">
        <v>6368</v>
      </c>
      <c r="F35" s="123">
        <f>SUMIF(107:107,E35,108:108)-SUMIF(107:107,C35,108:108)+100</f>
        <v>100</v>
      </c>
      <c r="G35" s="55" t="s">
        <v>6368</v>
      </c>
      <c r="H35" s="102">
        <f>SUMIF(107:107,G35,108:108)-SUMIF(107:107,C35,108:108)+100</f>
        <v>100</v>
      </c>
      <c r="I35" s="55" t="s">
        <v>6368</v>
      </c>
      <c r="J35" s="102">
        <f>SUMIF(107:107,I35,108:108)-SUMIF(107:107,C35,108:108)+100</f>
        <v>100</v>
      </c>
      <c r="K35" s="624">
        <v>5</v>
      </c>
      <c r="L35" s="2165"/>
      <c r="M35" s="2160"/>
      <c r="N35" s="2160"/>
      <c r="O35" s="2160"/>
      <c r="P35" s="3479"/>
      <c r="Q35" s="1145" t="str">
        <f t="shared" si="11"/>
        <v>建筑品质</v>
      </c>
      <c r="R35" s="1146" t="s">
        <v>98</v>
      </c>
      <c r="S35" s="1147">
        <f t="shared" si="12"/>
        <v>100</v>
      </c>
      <c r="T35" s="1146" t="s">
        <v>98</v>
      </c>
      <c r="U35" s="1147">
        <f t="shared" si="13"/>
        <v>100</v>
      </c>
      <c r="V35" s="1146" t="s">
        <v>98</v>
      </c>
      <c r="W35" s="1147">
        <f t="shared" si="14"/>
        <v>100</v>
      </c>
      <c r="X35" s="1133"/>
      <c r="Y35" s="3481"/>
      <c r="Z35" s="1148" t="str">
        <f t="shared" si="15"/>
        <v>建筑品质</v>
      </c>
      <c r="AA35" s="1149">
        <f t="shared" si="3"/>
        <v>1</v>
      </c>
      <c r="AB35" s="1149">
        <f t="shared" si="4"/>
        <v>1</v>
      </c>
      <c r="AC35" s="1149">
        <f t="shared" si="5"/>
        <v>1</v>
      </c>
    </row>
    <row r="36" spans="1:29" ht="15">
      <c r="A36" s="111"/>
      <c r="B36" s="3183" t="s">
        <v>73</v>
      </c>
      <c r="C36" s="55" t="s">
        <v>6366</v>
      </c>
      <c r="D36" s="102">
        <v>100</v>
      </c>
      <c r="E36" s="55" t="s">
        <v>6366</v>
      </c>
      <c r="F36" s="123">
        <f>SUMIF(109:109,E36,110:110)-SUMIF(109:109,C36,110:110)+100</f>
        <v>100</v>
      </c>
      <c r="G36" s="55" t="s">
        <v>6366</v>
      </c>
      <c r="H36" s="102">
        <f>SUMIF(109:109,G36,110:110)-SUMIF(109:109,C36,110:110)+100</f>
        <v>100</v>
      </c>
      <c r="I36" s="55" t="s">
        <v>6366</v>
      </c>
      <c r="J36" s="102">
        <f>SUMIF(109:109,I36,110:110)-SUMIF(109:109,C36,110:110)+100</f>
        <v>100</v>
      </c>
      <c r="K36" s="624">
        <v>2</v>
      </c>
      <c r="L36" s="2165"/>
      <c r="M36" s="2160"/>
      <c r="N36" s="2160"/>
      <c r="O36" s="2160"/>
      <c r="P36" s="3479"/>
      <c r="Q36" s="1145" t="str">
        <f t="shared" si="11"/>
        <v>公共部分装修</v>
      </c>
      <c r="R36" s="1146" t="s">
        <v>98</v>
      </c>
      <c r="S36" s="1147">
        <f t="shared" si="12"/>
        <v>100</v>
      </c>
      <c r="T36" s="1146" t="s">
        <v>98</v>
      </c>
      <c r="U36" s="1147">
        <f t="shared" si="13"/>
        <v>100</v>
      </c>
      <c r="V36" s="1146" t="s">
        <v>98</v>
      </c>
      <c r="W36" s="1147">
        <f t="shared" si="14"/>
        <v>100</v>
      </c>
      <c r="X36" s="1133"/>
      <c r="Y36" s="3481"/>
      <c r="Z36" s="1148" t="str">
        <f t="shared" si="15"/>
        <v>公共部分装修</v>
      </c>
      <c r="AA36" s="1149">
        <f t="shared" si="3"/>
        <v>1</v>
      </c>
      <c r="AB36" s="1149">
        <f t="shared" si="4"/>
        <v>1</v>
      </c>
      <c r="AC36" s="1149">
        <f t="shared" si="5"/>
        <v>1</v>
      </c>
    </row>
    <row r="37" spans="1:29" s="11" customFormat="1" ht="15">
      <c r="A37" s="900"/>
      <c r="B37" s="3196" t="s">
        <v>74</v>
      </c>
      <c r="C37" s="3197">
        <f>'数据-取费表'!E20</f>
        <v>0.97</v>
      </c>
      <c r="D37" s="883">
        <v>100</v>
      </c>
      <c r="E37" s="674">
        <f>ROUND(1-(2017-2016)/60,0)</f>
        <v>1</v>
      </c>
      <c r="F37" s="1144">
        <f>LOOKUP(E37,112:112,113:113)-LOOKUP(C37,112:112,113:113)+100</f>
        <v>100</v>
      </c>
      <c r="G37" s="674">
        <f>ROUND(1-(2017-2016)/60,0)</f>
        <v>1</v>
      </c>
      <c r="H37" s="883">
        <f>LOOKUP(G37,112:112,113:113)-LOOKUP(C37,112:112,113:113)+100</f>
        <v>100</v>
      </c>
      <c r="I37" s="674">
        <f>ROUND(1-(2017-2016)/60,0)</f>
        <v>1</v>
      </c>
      <c r="J37" s="883">
        <f>LOOKUP(I37,112:112,113:113)-LOOKUP(C37,112:112,113:113)+100</f>
        <v>100</v>
      </c>
      <c r="K37" s="624">
        <v>1</v>
      </c>
      <c r="L37" s="2161"/>
      <c r="M37" s="2103"/>
      <c r="N37" s="2103"/>
      <c r="O37" s="2103"/>
      <c r="P37" s="3479"/>
      <c r="Q37" s="2" t="str">
        <f t="shared" si="11"/>
        <v>成新度</v>
      </c>
      <c r="R37" s="1135" t="s">
        <v>98</v>
      </c>
      <c r="S37" s="1136">
        <f t="shared" si="12"/>
        <v>100</v>
      </c>
      <c r="T37" s="1135" t="s">
        <v>98</v>
      </c>
      <c r="U37" s="1136">
        <f t="shared" si="13"/>
        <v>100</v>
      </c>
      <c r="V37" s="1135" t="s">
        <v>98</v>
      </c>
      <c r="W37" s="1136">
        <f t="shared" si="14"/>
        <v>100</v>
      </c>
      <c r="X37" s="184"/>
      <c r="Y37" s="3481"/>
      <c r="Z37" s="185" t="str">
        <f t="shared" si="15"/>
        <v>成新度</v>
      </c>
      <c r="AA37" s="1137">
        <f t="shared" si="3"/>
        <v>1</v>
      </c>
      <c r="AB37" s="1137">
        <f t="shared" si="4"/>
        <v>1</v>
      </c>
      <c r="AC37" s="1137">
        <f t="shared" si="5"/>
        <v>1</v>
      </c>
    </row>
    <row r="38" spans="1:29" ht="15">
      <c r="A38" s="111"/>
      <c r="B38" s="3183" t="s">
        <v>75</v>
      </c>
      <c r="C38" s="55" t="s">
        <v>107</v>
      </c>
      <c r="D38" s="102">
        <v>100</v>
      </c>
      <c r="E38" s="55" t="s">
        <v>107</v>
      </c>
      <c r="F38" s="123">
        <f>SUMIF(114:114,E38,115:115)-SUMIF(114:114,C38,115:115)+100</f>
        <v>100</v>
      </c>
      <c r="G38" s="55" t="s">
        <v>107</v>
      </c>
      <c r="H38" s="102">
        <f>SUMIF(114:114,G38,115:115)-SUMIF(114:114,C38,115:115)+100</f>
        <v>100</v>
      </c>
      <c r="I38" s="55" t="s">
        <v>107</v>
      </c>
      <c r="J38" s="102">
        <f>SUMIF(114:114,I38,115:115)-SUMIF(114:114,C38,115:115)+100</f>
        <v>100</v>
      </c>
      <c r="K38" s="624">
        <v>3</v>
      </c>
      <c r="L38" s="2165"/>
      <c r="M38" s="2160"/>
      <c r="N38" s="2160"/>
      <c r="O38" s="2160"/>
      <c r="P38" s="3479" t="s">
        <v>65</v>
      </c>
      <c r="Q38" s="1145" t="str">
        <f t="shared" si="11"/>
        <v>物业管理</v>
      </c>
      <c r="R38" s="1146" t="s">
        <v>98</v>
      </c>
      <c r="S38" s="1147">
        <f t="shared" si="12"/>
        <v>100</v>
      </c>
      <c r="T38" s="1146" t="s">
        <v>98</v>
      </c>
      <c r="U38" s="1147">
        <f t="shared" si="13"/>
        <v>100</v>
      </c>
      <c r="V38" s="1146" t="s">
        <v>98</v>
      </c>
      <c r="W38" s="1147">
        <f t="shared" si="14"/>
        <v>100</v>
      </c>
      <c r="X38" s="1133"/>
      <c r="Y38" s="3481" t="s">
        <v>65</v>
      </c>
      <c r="Z38" s="1148" t="str">
        <f t="shared" si="15"/>
        <v>物业管理</v>
      </c>
      <c r="AA38" s="1149">
        <f t="shared" si="3"/>
        <v>1</v>
      </c>
      <c r="AB38" s="1149">
        <f t="shared" si="4"/>
        <v>1</v>
      </c>
      <c r="AC38" s="1149">
        <f t="shared" si="5"/>
        <v>1</v>
      </c>
    </row>
    <row r="39" spans="1:29" ht="15">
      <c r="A39" s="111"/>
      <c r="B39" s="3183" t="s">
        <v>2532</v>
      </c>
      <c r="C39" s="55" t="s">
        <v>114</v>
      </c>
      <c r="D39" s="102">
        <v>100</v>
      </c>
      <c r="E39" s="55" t="s">
        <v>114</v>
      </c>
      <c r="F39" s="123">
        <f>SUMIF(116:116,E39,117:117)-SUMIF(116:116,C39,117:117)+100</f>
        <v>100</v>
      </c>
      <c r="G39" s="55" t="s">
        <v>114</v>
      </c>
      <c r="H39" s="102">
        <f>SUMIF(116:116,G39,117:117)-SUMIF(116:116,C39,117:117)+100</f>
        <v>100</v>
      </c>
      <c r="I39" s="55" t="s">
        <v>114</v>
      </c>
      <c r="J39" s="102">
        <f>SUMIF(116:116,I39,117:117)-SUMIF(116:116,C39,117:117)+100</f>
        <v>100</v>
      </c>
      <c r="K39" s="624">
        <v>2</v>
      </c>
      <c r="L39" s="2165"/>
      <c r="M39" s="2160"/>
      <c r="N39" s="2160"/>
      <c r="O39" s="2160"/>
      <c r="P39" s="3479"/>
      <c r="Q39" s="1145" t="str">
        <f t="shared" si="11"/>
        <v>市政基础设施</v>
      </c>
      <c r="R39" s="1146" t="s">
        <v>98</v>
      </c>
      <c r="S39" s="1147">
        <f t="shared" si="12"/>
        <v>100</v>
      </c>
      <c r="T39" s="1146" t="s">
        <v>98</v>
      </c>
      <c r="U39" s="1147">
        <f t="shared" si="13"/>
        <v>100</v>
      </c>
      <c r="V39" s="1146" t="s">
        <v>98</v>
      </c>
      <c r="W39" s="1147">
        <f t="shared" si="14"/>
        <v>100</v>
      </c>
      <c r="X39" s="1133"/>
      <c r="Y39" s="3481"/>
      <c r="Z39" s="1148" t="str">
        <f t="shared" si="15"/>
        <v>市政基础设施</v>
      </c>
      <c r="AA39" s="1149">
        <f t="shared" si="3"/>
        <v>1</v>
      </c>
      <c r="AB39" s="1149">
        <f t="shared" si="4"/>
        <v>1</v>
      </c>
      <c r="AC39" s="1149">
        <f t="shared" si="5"/>
        <v>1</v>
      </c>
    </row>
    <row r="40" spans="1:29" ht="15">
      <c r="A40" s="111"/>
      <c r="B40" s="3183" t="s">
        <v>76</v>
      </c>
      <c r="C40" s="56" t="s">
        <v>6381</v>
      </c>
      <c r="D40" s="102">
        <v>100</v>
      </c>
      <c r="E40" s="55" t="s">
        <v>6381</v>
      </c>
      <c r="F40" s="123">
        <f>SUMIF(118:118,E40,119:119)-SUMIF(118:118,C40,119:119)+100</f>
        <v>100</v>
      </c>
      <c r="G40" s="56" t="s">
        <v>6381</v>
      </c>
      <c r="H40" s="102">
        <f>SUMIF(118:118,G40,119:119)-SUMIF(118:118,C40,119:119)+100</f>
        <v>100</v>
      </c>
      <c r="I40" s="55" t="s">
        <v>6381</v>
      </c>
      <c r="J40" s="102">
        <f>SUMIF(118:118,I40,119:119)-SUMIF(118:118,C40,119:119)+100</f>
        <v>100</v>
      </c>
      <c r="K40" s="624">
        <v>5</v>
      </c>
      <c r="L40" s="2165"/>
      <c r="M40" s="2160"/>
      <c r="N40" s="2160"/>
      <c r="O40" s="2160"/>
      <c r="P40" s="3479"/>
      <c r="Q40" s="1145" t="str">
        <f t="shared" si="11"/>
        <v>房型</v>
      </c>
      <c r="R40" s="1146" t="s">
        <v>98</v>
      </c>
      <c r="S40" s="1147">
        <f t="shared" si="12"/>
        <v>100</v>
      </c>
      <c r="T40" s="1146" t="s">
        <v>98</v>
      </c>
      <c r="U40" s="1147">
        <f t="shared" si="13"/>
        <v>100</v>
      </c>
      <c r="V40" s="1146" t="s">
        <v>98</v>
      </c>
      <c r="W40" s="1147">
        <f t="shared" si="14"/>
        <v>100</v>
      </c>
      <c r="X40" s="1133"/>
      <c r="Y40" s="3481"/>
      <c r="Z40" s="1148" t="str">
        <f t="shared" si="15"/>
        <v>房型</v>
      </c>
      <c r="AA40" s="1149">
        <f t="shared" si="3"/>
        <v>1</v>
      </c>
      <c r="AB40" s="1149">
        <f t="shared" si="4"/>
        <v>1</v>
      </c>
      <c r="AC40" s="1149">
        <f t="shared" si="5"/>
        <v>1</v>
      </c>
    </row>
    <row r="41" spans="1:29" s="898" customFormat="1" ht="27">
      <c r="A41" s="902"/>
      <c r="B41" s="3183" t="s">
        <v>99</v>
      </c>
      <c r="C41" s="1152">
        <v>88.29</v>
      </c>
      <c r="D41" s="883">
        <v>100</v>
      </c>
      <c r="E41" s="887">
        <v>90</v>
      </c>
      <c r="F41" s="1144">
        <f>SUMIF(120:120,E41,121:121)-SUMIF(120:120,C41,121:121)+100</f>
        <v>100</v>
      </c>
      <c r="G41" s="886">
        <v>89</v>
      </c>
      <c r="H41" s="883">
        <f>SUMIF(120:120,G41,121:121)-SUMIF(120:120,C41,121:121)+100</f>
        <v>100</v>
      </c>
      <c r="I41" s="61">
        <v>89</v>
      </c>
      <c r="J41" s="102">
        <f>SUMIF(120:120,I41,121:121)-SUMIF(120:120,C41,121:121)+100</f>
        <v>100</v>
      </c>
      <c r="K41" s="100"/>
      <c r="L41" s="2164"/>
      <c r="M41" s="2166"/>
      <c r="N41" s="2166"/>
      <c r="O41" s="2166"/>
      <c r="P41" s="3479"/>
      <c r="Q41" s="1153" t="str">
        <f t="shared" si="11"/>
        <v>单套/主力户型建筑面积</v>
      </c>
      <c r="R41" s="1154" t="s">
        <v>98</v>
      </c>
      <c r="S41" s="1155">
        <f t="shared" si="12"/>
        <v>100</v>
      </c>
      <c r="T41" s="1154" t="s">
        <v>98</v>
      </c>
      <c r="U41" s="1155">
        <f t="shared" si="13"/>
        <v>100</v>
      </c>
      <c r="V41" s="1154" t="s">
        <v>98</v>
      </c>
      <c r="W41" s="1155">
        <f t="shared" si="14"/>
        <v>100</v>
      </c>
      <c r="X41" s="1156"/>
      <c r="Y41" s="3481"/>
      <c r="Z41" s="1157" t="str">
        <f t="shared" si="15"/>
        <v>单套/主力户型建筑面积</v>
      </c>
      <c r="AA41" s="1149">
        <f t="shared" si="3"/>
        <v>1</v>
      </c>
      <c r="AB41" s="1149">
        <f t="shared" si="4"/>
        <v>1</v>
      </c>
      <c r="AC41" s="1149">
        <f t="shared" si="5"/>
        <v>1</v>
      </c>
    </row>
    <row r="42" spans="1:29" ht="15">
      <c r="A42" s="111"/>
      <c r="B42" s="4" t="s">
        <v>77</v>
      </c>
      <c r="C42" s="56" t="s">
        <v>6372</v>
      </c>
      <c r="D42" s="102">
        <v>100</v>
      </c>
      <c r="E42" s="55" t="s">
        <v>6372</v>
      </c>
      <c r="F42" s="123">
        <f>SUMIF(122:122,E42,123:123)-SUMIF(122:122,C42,123:123)+100</f>
        <v>100</v>
      </c>
      <c r="G42" s="55" t="s">
        <v>6372</v>
      </c>
      <c r="H42" s="102">
        <f>SUMIF(122:122,G42,123:123)-SUMIF(122:122,C42,123:123)+100</f>
        <v>100</v>
      </c>
      <c r="I42" s="55" t="s">
        <v>6372</v>
      </c>
      <c r="J42" s="102">
        <f>SUMIF(122:122,I42,123:123)-SUMIF(122:122,C42,123:123)+100</f>
        <v>100</v>
      </c>
      <c r="K42" s="624">
        <v>2</v>
      </c>
      <c r="L42" s="2165"/>
      <c r="M42" s="2160"/>
      <c r="N42" s="2160"/>
      <c r="O42" s="2160"/>
      <c r="P42" s="3479"/>
      <c r="Q42" s="1145" t="str">
        <f t="shared" si="11"/>
        <v>内部装修</v>
      </c>
      <c r="R42" s="1146" t="s">
        <v>98</v>
      </c>
      <c r="S42" s="1147">
        <f t="shared" si="12"/>
        <v>100</v>
      </c>
      <c r="T42" s="1146" t="s">
        <v>98</v>
      </c>
      <c r="U42" s="1147">
        <f t="shared" si="13"/>
        <v>100</v>
      </c>
      <c r="V42" s="1146" t="s">
        <v>98</v>
      </c>
      <c r="W42" s="1147">
        <f t="shared" si="14"/>
        <v>100</v>
      </c>
      <c r="X42" s="1133"/>
      <c r="Y42" s="3481"/>
      <c r="Z42" s="1148" t="str">
        <f t="shared" si="15"/>
        <v>内部装修</v>
      </c>
      <c r="AA42" s="1149">
        <f t="shared" si="3"/>
        <v>1</v>
      </c>
      <c r="AB42" s="1149">
        <f t="shared" si="4"/>
        <v>1</v>
      </c>
      <c r="AC42" s="1149">
        <f t="shared" si="5"/>
        <v>1</v>
      </c>
    </row>
    <row r="43" spans="1:29" ht="27.75" thickBot="1">
      <c r="A43" s="111"/>
      <c r="B43" s="4" t="s">
        <v>78</v>
      </c>
      <c r="C43" s="56" t="s">
        <v>102</v>
      </c>
      <c r="D43" s="102">
        <v>100</v>
      </c>
      <c r="E43" s="55" t="s">
        <v>102</v>
      </c>
      <c r="F43" s="123">
        <f>SUMIF(124:124,E43,125:125)-SUMIF(124:124,C43,125:125)+100</f>
        <v>100</v>
      </c>
      <c r="G43" s="55" t="s">
        <v>102</v>
      </c>
      <c r="H43" s="102">
        <f>SUMIF(124:124,G43,125:125)-SUMIF(124:124,C43,125:125)+100</f>
        <v>100</v>
      </c>
      <c r="I43" s="55" t="s">
        <v>102</v>
      </c>
      <c r="J43" s="102">
        <f>SUMIF(124:124,I43,125:125)-SUMIF(124:124,C43,125:125)+100</f>
        <v>100</v>
      </c>
      <c r="K43" s="624">
        <v>0</v>
      </c>
      <c r="L43" s="2165"/>
      <c r="M43" s="2160"/>
      <c r="N43" s="2160"/>
      <c r="O43" s="2160"/>
      <c r="P43" s="3479"/>
      <c r="Q43" s="1145" t="str">
        <f t="shared" si="11"/>
        <v>内部装修维护情况</v>
      </c>
      <c r="R43" s="1146" t="s">
        <v>98</v>
      </c>
      <c r="S43" s="1147">
        <f t="shared" si="12"/>
        <v>100</v>
      </c>
      <c r="T43" s="1146" t="s">
        <v>98</v>
      </c>
      <c r="U43" s="1147">
        <f t="shared" si="13"/>
        <v>100</v>
      </c>
      <c r="V43" s="1146" t="s">
        <v>98</v>
      </c>
      <c r="W43" s="1147">
        <f t="shared" si="14"/>
        <v>100</v>
      </c>
      <c r="X43" s="1133"/>
      <c r="Y43" s="3481"/>
      <c r="Z43" s="1148" t="str">
        <f t="shared" si="15"/>
        <v>内部装修维护情况</v>
      </c>
      <c r="AA43" s="1149">
        <f t="shared" si="3"/>
        <v>1</v>
      </c>
      <c r="AB43" s="1149">
        <f t="shared" si="4"/>
        <v>1</v>
      </c>
      <c r="AC43" s="1149">
        <f t="shared" si="5"/>
        <v>1</v>
      </c>
    </row>
    <row r="44" spans="1:29" s="11" customFormat="1" ht="14.25" hidden="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1"/>
      <c r="M44" s="2103"/>
      <c r="N44" s="2103"/>
      <c r="O44" s="2103"/>
      <c r="P44" s="3479"/>
      <c r="Q44" s="2">
        <f t="shared" si="11"/>
        <v>0</v>
      </c>
      <c r="R44" s="1135" t="s">
        <v>98</v>
      </c>
      <c r="S44" s="1136">
        <f t="shared" si="12"/>
        <v>100</v>
      </c>
      <c r="T44" s="1135" t="s">
        <v>98</v>
      </c>
      <c r="U44" s="1136">
        <f t="shared" si="13"/>
        <v>100</v>
      </c>
      <c r="V44" s="1135" t="s">
        <v>98</v>
      </c>
      <c r="W44" s="1136">
        <f t="shared" si="14"/>
        <v>100</v>
      </c>
      <c r="X44" s="184"/>
      <c r="Y44" s="3481"/>
      <c r="Z44" s="185">
        <f t="shared" si="15"/>
        <v>0</v>
      </c>
      <c r="AA44" s="1137">
        <f t="shared" si="3"/>
        <v>1</v>
      </c>
      <c r="AB44" s="1137">
        <f t="shared" si="4"/>
        <v>1</v>
      </c>
      <c r="AC44" s="1137">
        <f t="shared" si="5"/>
        <v>1</v>
      </c>
    </row>
    <row r="45" spans="1:29" ht="14.25" hidden="1">
      <c r="A45" s="111"/>
      <c r="B45" s="1151"/>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5"/>
      <c r="M45" s="2160"/>
      <c r="N45" s="2160"/>
      <c r="O45" s="2160"/>
      <c r="P45" s="3479"/>
      <c r="Q45" s="1145">
        <f t="shared" si="11"/>
        <v>0</v>
      </c>
      <c r="R45" s="1146" t="s">
        <v>98</v>
      </c>
      <c r="S45" s="1147">
        <f t="shared" si="12"/>
        <v>100</v>
      </c>
      <c r="T45" s="1146" t="s">
        <v>98</v>
      </c>
      <c r="U45" s="1147">
        <f t="shared" si="13"/>
        <v>100</v>
      </c>
      <c r="V45" s="1146" t="s">
        <v>98</v>
      </c>
      <c r="W45" s="1147">
        <f t="shared" si="14"/>
        <v>100</v>
      </c>
      <c r="X45" s="1133"/>
      <c r="Y45" s="3481"/>
      <c r="Z45" s="1148">
        <f t="shared" si="15"/>
        <v>0</v>
      </c>
      <c r="AA45" s="1149">
        <f t="shared" si="3"/>
        <v>1</v>
      </c>
      <c r="AB45" s="1149">
        <f t="shared" si="4"/>
        <v>1</v>
      </c>
      <c r="AC45" s="1149">
        <f t="shared" si="5"/>
        <v>1</v>
      </c>
    </row>
    <row r="46" spans="1:29" ht="15" hidden="1" thickBot="1">
      <c r="A46" s="112"/>
      <c r="B46" s="890"/>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5"/>
      <c r="M46" s="2160"/>
      <c r="N46" s="2160"/>
      <c r="O46" s="2160"/>
      <c r="P46" s="3480"/>
      <c r="Q46" s="1145">
        <f t="shared" si="11"/>
        <v>0</v>
      </c>
      <c r="R46" s="1146" t="s">
        <v>97</v>
      </c>
      <c r="S46" s="1147">
        <f t="shared" si="12"/>
        <v>100</v>
      </c>
      <c r="T46" s="1146" t="s">
        <v>97</v>
      </c>
      <c r="U46" s="1147">
        <f t="shared" si="13"/>
        <v>100</v>
      </c>
      <c r="V46" s="1146" t="s">
        <v>97</v>
      </c>
      <c r="W46" s="1147">
        <f t="shared" si="14"/>
        <v>100</v>
      </c>
      <c r="X46" s="1133"/>
      <c r="Y46" s="3482"/>
      <c r="Z46" s="1148">
        <f t="shared" si="15"/>
        <v>0</v>
      </c>
      <c r="AA46" s="1149">
        <f t="shared" si="3"/>
        <v>1</v>
      </c>
      <c r="AB46" s="1149">
        <f t="shared" si="4"/>
        <v>1</v>
      </c>
      <c r="AC46" s="1149">
        <f t="shared" si="5"/>
        <v>1</v>
      </c>
    </row>
    <row r="47" spans="1:29" ht="15">
      <c r="A47" s="113" t="s">
        <v>96</v>
      </c>
      <c r="B47" s="114"/>
      <c r="C47" s="2605" t="s">
        <v>95</v>
      </c>
      <c r="D47" s="2606"/>
      <c r="E47" s="2607">
        <v>16500</v>
      </c>
      <c r="F47" s="2608"/>
      <c r="G47" s="2609">
        <f>20000*0.98</f>
        <v>19600</v>
      </c>
      <c r="H47" s="2610"/>
      <c r="I47" s="2607">
        <f>21000*0.98</f>
        <v>20580</v>
      </c>
      <c r="J47" s="2610"/>
      <c r="K47" s="1158"/>
      <c r="L47" s="2167"/>
      <c r="M47" s="2168"/>
      <c r="N47" s="2160"/>
      <c r="O47" s="2168"/>
      <c r="P47" s="3473" t="str">
        <f>A47</f>
        <v>成交单价（元/平方米）</v>
      </c>
      <c r="Q47" s="3473"/>
      <c r="R47" s="3469">
        <f>E47</f>
        <v>16500</v>
      </c>
      <c r="S47" s="3469"/>
      <c r="T47" s="3469">
        <f>G47</f>
        <v>19600</v>
      </c>
      <c r="U47" s="3469"/>
      <c r="V47" s="3469">
        <f>I47</f>
        <v>20580</v>
      </c>
      <c r="W47" s="3469"/>
      <c r="X47" s="1159"/>
      <c r="Y47" s="1160"/>
      <c r="Z47" s="1159"/>
      <c r="AA47" s="1159"/>
      <c r="AB47" s="1159"/>
      <c r="AC47" s="1159"/>
    </row>
    <row r="48" spans="1:29" ht="15.75" thickBot="1">
      <c r="A48" s="115" t="s">
        <v>94</v>
      </c>
      <c r="B48" s="116"/>
      <c r="C48" s="2611">
        <f>R49</f>
        <v>17426</v>
      </c>
      <c r="D48" s="2612"/>
      <c r="E48" s="2613">
        <f>R48</f>
        <v>16837</v>
      </c>
      <c r="F48" s="2613"/>
      <c r="G48" s="2611">
        <f>T48</f>
        <v>17107</v>
      </c>
      <c r="H48" s="2612"/>
      <c r="I48" s="2613">
        <f>V48</f>
        <v>18333</v>
      </c>
      <c r="J48" s="2612"/>
      <c r="K48" s="1161"/>
      <c r="L48" s="2167"/>
      <c r="M48" s="2168"/>
      <c r="N48" s="2168"/>
      <c r="O48" s="2168"/>
      <c r="P48" s="3473" t="str">
        <f>A48</f>
        <v>比较价值（元/平方米）</v>
      </c>
      <c r="Q48" s="3473"/>
      <c r="R48" s="3469">
        <f>IF(E1="售价",ROUND(PRODUCT(R47,AA7:AA46),0),ROUND(PRODUCT(R47,AA7:AA46),1))</f>
        <v>16837</v>
      </c>
      <c r="S48" s="3469"/>
      <c r="T48" s="3467">
        <f>IF(E1="售价",ROUND(PRODUCT(T47,AB7:AB46),0),ROUND(PRODUCT(T47,AB7:AB46),1))</f>
        <v>17107</v>
      </c>
      <c r="U48" s="3468"/>
      <c r="V48" s="3469">
        <f>IF(E1="售价",ROUND(PRODUCT(V47,AC7:AC46),0),ROUND(PRODUCT(V47,AC7:AC46),1))</f>
        <v>18333</v>
      </c>
      <c r="W48" s="3469"/>
      <c r="X48" s="1159"/>
      <c r="Y48" s="1159"/>
      <c r="Z48" s="1159"/>
      <c r="AA48" s="1159"/>
      <c r="AB48" s="1159"/>
      <c r="AC48" s="1159"/>
    </row>
    <row r="49" spans="1:29" ht="15.75" thickBot="1">
      <c r="A49" s="62" t="s">
        <v>2881</v>
      </c>
      <c r="B49" s="63"/>
      <c r="C49" s="2614">
        <f>R49</f>
        <v>17426</v>
      </c>
      <c r="D49" s="2615"/>
      <c r="E49" s="2615"/>
      <c r="F49" s="2615"/>
      <c r="G49" s="2615"/>
      <c r="H49" s="2615"/>
      <c r="I49" s="2615"/>
      <c r="J49" s="2615"/>
      <c r="K49" s="1162"/>
      <c r="L49" s="2167"/>
      <c r="M49" s="2168"/>
      <c r="N49" s="2168"/>
      <c r="O49" s="2168"/>
      <c r="P49" s="3470" t="str">
        <f>A49</f>
        <v>估价对象XX用房的比较价值（楼面单价，元/平方米）</v>
      </c>
      <c r="Q49" s="3471"/>
      <c r="R49" s="3472">
        <f>IF(E1="售价",ROUND(AVERAGE(R48:V48),0),ROUND(AVERAGE(R48:V48),1))</f>
        <v>17426</v>
      </c>
      <c r="S49" s="3472"/>
      <c r="T49" s="3472"/>
      <c r="U49" s="3472"/>
      <c r="V49" s="3472"/>
      <c r="W49" s="3472"/>
      <c r="X49" s="1159"/>
      <c r="Y49" s="1159"/>
      <c r="Z49" s="1159"/>
      <c r="AA49" s="1159"/>
      <c r="AB49" s="1159"/>
      <c r="AC49" s="1159"/>
    </row>
    <row r="50" spans="1:29">
      <c r="A50" s="2168"/>
      <c r="B50" s="2168"/>
      <c r="C50" s="2168"/>
      <c r="D50" s="2168"/>
      <c r="E50" s="2168"/>
      <c r="F50" s="2168"/>
      <c r="G50" s="2172"/>
      <c r="H50" s="2168"/>
      <c r="I50" s="2168"/>
      <c r="J50" s="2168"/>
      <c r="K50" s="2173"/>
      <c r="L50" s="2169"/>
      <c r="M50" s="2168"/>
      <c r="N50" s="2168"/>
      <c r="O50" s="2168"/>
    </row>
    <row r="51" spans="1:29">
      <c r="A51" s="2168"/>
      <c r="B51" s="2168"/>
      <c r="C51" s="2168"/>
      <c r="D51" s="2168"/>
      <c r="E51" s="2168"/>
      <c r="F51" s="2168"/>
      <c r="G51" s="2168"/>
      <c r="H51" s="2168"/>
      <c r="I51" s="2168"/>
      <c r="J51" s="2168"/>
      <c r="K51" s="2173"/>
      <c r="L51" s="2169"/>
      <c r="M51" s="2168"/>
      <c r="N51" s="2168"/>
      <c r="O51" s="2168"/>
    </row>
    <row r="52" spans="1:29" ht="13.5" customHeight="1">
      <c r="A52" s="2168"/>
      <c r="B52" s="2168"/>
      <c r="C52" s="696" t="s">
        <v>911</v>
      </c>
      <c r="D52" s="697"/>
      <c r="E52" s="698">
        <f>IF(E47&lt;E48,E48/E47-1,E47/E48-1)</f>
        <v>2.0424242424242456E-2</v>
      </c>
      <c r="F52" s="699" t="str">
        <f>IF(OR(E52&gt;=0.3,E52&lt;=-0.3),"超过30%","")</f>
        <v/>
      </c>
      <c r="G52" s="698">
        <f>IF(G47&lt;G48,G48/G47-1,G47/G48-1)</f>
        <v>0.14572981820307485</v>
      </c>
      <c r="H52" s="699" t="str">
        <f>IF(OR(G52&gt;=0.3,G52&lt;=-0.3),"超过30%","")</f>
        <v/>
      </c>
      <c r="I52" s="698">
        <f>IF(I47&lt;I48,I48/I47-1,I47/I48-1)</f>
        <v>0.12256586483390608</v>
      </c>
      <c r="J52" s="699" t="str">
        <f>IF(OR(I52&gt;=0.3,I52&lt;=-0.3),"超过30%","")</f>
        <v/>
      </c>
      <c r="K52" s="2173"/>
      <c r="L52" s="2169"/>
      <c r="M52" s="2168"/>
      <c r="N52" s="2168"/>
      <c r="O52" s="2168"/>
    </row>
    <row r="53" spans="1:29" ht="13.5" customHeight="1">
      <c r="A53" s="2168"/>
      <c r="B53" s="2168"/>
      <c r="C53" s="696" t="s">
        <v>912</v>
      </c>
      <c r="D53" s="700"/>
      <c r="E53" s="698">
        <f>IF(E48&lt;G48,G48/E48-1,E48/G48-1)</f>
        <v>1.6036110946130444E-2</v>
      </c>
      <c r="F53" s="699" t="str">
        <f>IF(OR(E53&gt;=0.2,E53&lt;=-0.2),"超过20%","")</f>
        <v/>
      </c>
      <c r="G53" s="698">
        <f>IF(G48&lt;I48,I48/G48-1,G48/I48-1)</f>
        <v>7.1666569240661726E-2</v>
      </c>
      <c r="H53" s="699" t="str">
        <f>IF(OR(G53&gt;=0.2,G53&lt;=-0.2),"超过20%","")</f>
        <v/>
      </c>
      <c r="I53" s="698">
        <f>IF(I48&lt;E48,E48/I48-1,I48/E48-1)</f>
        <v>8.8851933242264147E-2</v>
      </c>
      <c r="J53" s="699" t="str">
        <f>IF(OR(I53&gt;=0.2,I53&lt;=-0.2),"超过20%","")</f>
        <v/>
      </c>
      <c r="K53" s="2173"/>
      <c r="L53" s="2169"/>
      <c r="M53" s="2168"/>
      <c r="N53" s="2168"/>
      <c r="O53" s="2168"/>
    </row>
    <row r="54" spans="1:29" s="66" customFormat="1" ht="13.5" customHeight="1">
      <c r="A54" s="2170"/>
      <c r="B54" s="2170"/>
      <c r="C54" s="696" t="s">
        <v>913</v>
      </c>
      <c r="D54" s="700"/>
      <c r="E54" s="698">
        <f>IF(E47&lt;G47,G47/E47-1,E47/G47-1)</f>
        <v>0.18787878787878798</v>
      </c>
      <c r="F54" s="699" t="str">
        <f>IF(OR(E54&gt;=0.3,E54&lt;=-0.3),"超过30%","")</f>
        <v/>
      </c>
      <c r="G54" s="698">
        <f>IF(G47&lt;I47,I47/G47-1,G47/I47-1)</f>
        <v>5.0000000000000044E-2</v>
      </c>
      <c r="H54" s="699" t="str">
        <f>IF(OR(G54&gt;=0.3,G54&lt;=-0.3),"超过30%","")</f>
        <v/>
      </c>
      <c r="I54" s="698">
        <f>IF(I47&lt;E47,E47/I47-1,I47/E47-1)</f>
        <v>0.24727272727272731</v>
      </c>
      <c r="J54" s="699" t="str">
        <f>IF(OR(I54&gt;=0.3,I54&lt;=-0.3),"超过30%","")</f>
        <v/>
      </c>
      <c r="K54" s="2174"/>
      <c r="L54" s="2175"/>
      <c r="M54" s="2170"/>
      <c r="N54" s="2170"/>
      <c r="O54" s="2170"/>
      <c r="P54" s="1164"/>
    </row>
    <row r="55" spans="1:29" s="66" customFormat="1">
      <c r="A55" s="2170"/>
      <c r="B55" s="2171"/>
      <c r="C55" s="2176"/>
      <c r="D55" s="2170"/>
      <c r="E55" s="2170"/>
      <c r="F55" s="2170"/>
      <c r="G55" s="2170"/>
      <c r="H55" s="2170"/>
      <c r="I55" s="2170"/>
      <c r="J55" s="2170"/>
      <c r="K55" s="2174"/>
      <c r="L55" s="2175"/>
      <c r="M55" s="2170"/>
      <c r="N55" s="2170"/>
      <c r="O55" s="2170"/>
      <c r="P55" s="1164"/>
    </row>
    <row r="56" spans="1:29">
      <c r="A56" s="2168"/>
      <c r="B56" s="2171"/>
      <c r="C56" s="2176"/>
      <c r="D56" s="2168"/>
      <c r="E56" s="2168"/>
      <c r="F56" s="2168"/>
      <c r="G56" s="2168"/>
      <c r="H56" s="2168"/>
      <c r="I56" s="2168"/>
      <c r="J56" s="2168"/>
      <c r="K56" s="2173"/>
      <c r="L56" s="2169"/>
      <c r="M56" s="2168"/>
      <c r="N56" s="2168"/>
      <c r="O56" s="2168"/>
    </row>
    <row r="57" spans="1:29" ht="21" thickBot="1">
      <c r="A57" s="1165" t="s">
        <v>128</v>
      </c>
      <c r="B57" s="1159"/>
      <c r="C57" s="1166"/>
      <c r="D57" s="1166"/>
      <c r="E57" s="1166"/>
      <c r="F57" s="1167"/>
      <c r="G57" s="1167"/>
      <c r="H57" s="1166"/>
      <c r="I57" s="1166"/>
      <c r="J57" s="1166"/>
      <c r="K57" s="1168"/>
      <c r="L57" s="1169"/>
      <c r="M57" s="1166"/>
      <c r="N57" s="1166"/>
      <c r="O57" s="1166"/>
      <c r="P57" s="1170"/>
      <c r="Q57" s="68"/>
    </row>
    <row r="58" spans="1:29" s="907" customFormat="1" ht="14.25">
      <c r="A58" s="904" t="s">
        <v>59</v>
      </c>
      <c r="B58" s="905"/>
      <c r="C58" s="2800" t="str">
        <f>YEAR(C7)&amp;"-"&amp;MONTH(C7)</f>
        <v>2017-6</v>
      </c>
      <c r="D58" s="2801">
        <f>EDATE(C58,-1)</f>
        <v>42856</v>
      </c>
      <c r="E58" s="2801">
        <f t="shared" ref="E58:O58" si="16">EDATE(D58,-1)</f>
        <v>42826</v>
      </c>
      <c r="F58" s="2801">
        <f t="shared" si="16"/>
        <v>42795</v>
      </c>
      <c r="G58" s="2801">
        <f t="shared" si="16"/>
        <v>42767</v>
      </c>
      <c r="H58" s="2801">
        <f t="shared" si="16"/>
        <v>42736</v>
      </c>
      <c r="I58" s="2801">
        <f t="shared" si="16"/>
        <v>42705</v>
      </c>
      <c r="J58" s="2801">
        <f t="shared" si="16"/>
        <v>42675</v>
      </c>
      <c r="K58" s="2801">
        <f t="shared" si="16"/>
        <v>42644</v>
      </c>
      <c r="L58" s="2801">
        <f t="shared" si="16"/>
        <v>42614</v>
      </c>
      <c r="M58" s="2801">
        <f t="shared" si="16"/>
        <v>42583</v>
      </c>
      <c r="N58" s="2801">
        <f t="shared" si="16"/>
        <v>42552</v>
      </c>
      <c r="O58" s="2801">
        <f t="shared" si="16"/>
        <v>42522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119</v>
      </c>
      <c r="B60" s="911"/>
      <c r="C60" s="716"/>
      <c r="D60" s="717"/>
      <c r="E60" s="717"/>
      <c r="F60" s="717"/>
      <c r="G60" s="717"/>
      <c r="H60" s="717"/>
      <c r="I60" s="717"/>
      <c r="J60" s="717"/>
      <c r="K60" s="717"/>
      <c r="L60" s="717"/>
      <c r="M60" s="718"/>
      <c r="N60" s="717"/>
      <c r="O60" s="718"/>
      <c r="P60" s="1172"/>
      <c r="Q60" s="68"/>
    </row>
    <row r="61" spans="1:29" s="11" customFormat="1">
      <c r="A61" s="912" t="s">
        <v>61</v>
      </c>
      <c r="B61" s="909"/>
      <c r="C61" s="913" t="s">
        <v>117</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62</v>
      </c>
      <c r="B63" s="183" t="s">
        <v>63</v>
      </c>
      <c r="C63" s="128" t="str">
        <f>C9</f>
        <v>住宅</v>
      </c>
      <c r="D63" s="69" t="s">
        <v>6355</v>
      </c>
      <c r="E63" s="69"/>
      <c r="F63" s="69"/>
      <c r="G63" s="69"/>
      <c r="H63" s="69"/>
      <c r="I63" s="69"/>
      <c r="J63" s="69"/>
      <c r="K63" s="70"/>
      <c r="L63" s="71"/>
      <c r="M63" s="72"/>
      <c r="N63" s="1184"/>
      <c r="O63" s="1184"/>
      <c r="P63" s="1174"/>
      <c r="Q63" s="68"/>
    </row>
    <row r="64" spans="1:29" ht="15" thickBot="1">
      <c r="A64" s="125"/>
      <c r="B64" s="916"/>
      <c r="C64" s="736">
        <v>100</v>
      </c>
      <c r="D64" s="736">
        <v>90</v>
      </c>
      <c r="E64" s="736"/>
      <c r="F64" s="736"/>
      <c r="G64" s="736"/>
      <c r="H64" s="736"/>
      <c r="I64" s="736"/>
      <c r="J64" s="736"/>
      <c r="K64" s="736"/>
      <c r="L64" s="736"/>
      <c r="M64" s="737"/>
      <c r="N64" s="1185"/>
      <c r="O64" s="1185"/>
      <c r="P64" s="1174"/>
      <c r="Q64" s="68"/>
    </row>
    <row r="65" spans="1:17" ht="27.75" thickTop="1">
      <c r="A65" s="125"/>
      <c r="B65" s="917" t="s">
        <v>103</v>
      </c>
      <c r="C65" s="740" t="s">
        <v>914</v>
      </c>
      <c r="D65" s="740" t="s">
        <v>915</v>
      </c>
      <c r="E65" s="740" t="s">
        <v>916</v>
      </c>
      <c r="F65" s="740" t="s">
        <v>917</v>
      </c>
      <c r="G65" s="740" t="s">
        <v>918</v>
      </c>
      <c r="H65" s="740" t="s">
        <v>919</v>
      </c>
      <c r="I65" s="740" t="s">
        <v>920</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87</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0</v>
      </c>
      <c r="D68" s="750">
        <v>1</v>
      </c>
      <c r="E68" s="750">
        <v>2</v>
      </c>
      <c r="F68" s="750">
        <v>3</v>
      </c>
      <c r="G68" s="750">
        <v>4</v>
      </c>
      <c r="H68" s="750">
        <v>5</v>
      </c>
      <c r="I68" s="750">
        <v>6</v>
      </c>
      <c r="J68" s="750"/>
      <c r="K68" s="751"/>
      <c r="L68" s="752"/>
      <c r="M68" s="753"/>
      <c r="N68" s="1184"/>
      <c r="O68" s="1184"/>
      <c r="P68" s="1174"/>
      <c r="Q68" s="68"/>
    </row>
    <row r="69" spans="1:17" ht="15" thickBot="1">
      <c r="A69" s="125"/>
      <c r="B69" s="916"/>
      <c r="C69" s="745">
        <v>100</v>
      </c>
      <c r="D69" s="745">
        <f t="shared" ref="D69:M69" si="19">C69-$K11</f>
        <v>99</v>
      </c>
      <c r="E69" s="745">
        <f t="shared" si="19"/>
        <v>98</v>
      </c>
      <c r="F69" s="745">
        <f t="shared" si="19"/>
        <v>97</v>
      </c>
      <c r="G69" s="745">
        <f t="shared" si="19"/>
        <v>96</v>
      </c>
      <c r="H69" s="745">
        <f t="shared" si="19"/>
        <v>95</v>
      </c>
      <c r="I69" s="745">
        <f t="shared" si="19"/>
        <v>94</v>
      </c>
      <c r="J69" s="745">
        <f t="shared" si="19"/>
        <v>93</v>
      </c>
      <c r="K69" s="745">
        <f t="shared" si="19"/>
        <v>92</v>
      </c>
      <c r="L69" s="745">
        <f t="shared" si="19"/>
        <v>91</v>
      </c>
      <c r="M69" s="746">
        <f t="shared" si="19"/>
        <v>90</v>
      </c>
      <c r="N69" s="1185"/>
      <c r="O69" s="1185"/>
      <c r="P69" s="1174"/>
      <c r="Q69" s="68"/>
    </row>
    <row r="70" spans="1:17" s="898" customFormat="1" ht="15" thickTop="1">
      <c r="A70" s="921"/>
      <c r="B70" s="917">
        <f>B12</f>
        <v>0</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0</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0</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64</v>
      </c>
      <c r="B76" s="183" t="s">
        <v>108</v>
      </c>
      <c r="C76" s="775" t="s">
        <v>921</v>
      </c>
      <c r="D76" s="775" t="s">
        <v>922</v>
      </c>
      <c r="E76" s="775" t="s">
        <v>923</v>
      </c>
      <c r="F76" s="775" t="s">
        <v>924</v>
      </c>
      <c r="G76" s="775" t="s">
        <v>925</v>
      </c>
      <c r="H76" s="728"/>
      <c r="I76" s="728"/>
      <c r="J76" s="728"/>
      <c r="K76" s="776"/>
      <c r="L76" s="777"/>
      <c r="M76" s="778"/>
      <c r="N76" s="1184"/>
      <c r="O76" s="1184"/>
      <c r="P76" s="1178"/>
      <c r="Q76" s="68"/>
    </row>
    <row r="77" spans="1:17" ht="15" thickBot="1">
      <c r="A77" s="125"/>
      <c r="B77" s="918"/>
      <c r="C77" s="745">
        <v>100</v>
      </c>
      <c r="D77" s="745">
        <f>C77-$K15</f>
        <v>97</v>
      </c>
      <c r="E77" s="745">
        <f>D77-$K15</f>
        <v>94</v>
      </c>
      <c r="F77" s="745">
        <f>E77-$K15</f>
        <v>91</v>
      </c>
      <c r="G77" s="745">
        <f>F77-$K15</f>
        <v>88</v>
      </c>
      <c r="H77" s="745"/>
      <c r="I77" s="745"/>
      <c r="J77" s="745"/>
      <c r="K77" s="745"/>
      <c r="L77" s="745"/>
      <c r="M77" s="746"/>
      <c r="N77" s="1185"/>
      <c r="O77" s="1185"/>
      <c r="P77" s="1174"/>
      <c r="Q77" s="68"/>
    </row>
    <row r="78" spans="1:17" ht="15" thickTop="1">
      <c r="A78" s="125"/>
      <c r="B78" s="917" t="s">
        <v>86</v>
      </c>
      <c r="C78" s="780" t="s">
        <v>921</v>
      </c>
      <c r="D78" s="780" t="s">
        <v>922</v>
      </c>
      <c r="E78" s="780" t="s">
        <v>923</v>
      </c>
      <c r="F78" s="780" t="s">
        <v>924</v>
      </c>
      <c r="G78" s="780" t="s">
        <v>925</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2530</v>
      </c>
      <c r="C80" s="780" t="s">
        <v>921</v>
      </c>
      <c r="D80" s="780" t="s">
        <v>922</v>
      </c>
      <c r="E80" s="780" t="s">
        <v>439</v>
      </c>
      <c r="F80" s="780" t="s">
        <v>440</v>
      </c>
      <c r="G80" s="780" t="s">
        <v>441</v>
      </c>
      <c r="H80" s="740"/>
      <c r="I80" s="740"/>
      <c r="J80" s="740"/>
      <c r="K80" s="741"/>
      <c r="L80" s="742"/>
      <c r="M80" s="743"/>
      <c r="N80" s="1184"/>
      <c r="O80" s="1184"/>
      <c r="P80" s="1174"/>
      <c r="Q80" s="68"/>
    </row>
    <row r="81" spans="1:17" ht="15" thickBot="1">
      <c r="A81" s="125"/>
      <c r="B81" s="918"/>
      <c r="C81" s="745">
        <v>100</v>
      </c>
      <c r="D81" s="745">
        <f>C81-$K19</f>
        <v>97</v>
      </c>
      <c r="E81" s="745">
        <f>D81-$K19</f>
        <v>94</v>
      </c>
      <c r="F81" s="745">
        <f>E81-$K19</f>
        <v>91</v>
      </c>
      <c r="G81" s="745">
        <f>F81-$K19</f>
        <v>88</v>
      </c>
      <c r="H81" s="745"/>
      <c r="I81" s="745"/>
      <c r="J81" s="745"/>
      <c r="K81" s="745"/>
      <c r="L81" s="745"/>
      <c r="M81" s="746"/>
      <c r="N81" s="1185"/>
      <c r="O81" s="1185"/>
      <c r="P81" s="1174"/>
      <c r="Q81" s="68"/>
    </row>
    <row r="82" spans="1:17" ht="15" thickTop="1">
      <c r="A82" s="125"/>
      <c r="B82" s="919" t="s">
        <v>2531</v>
      </c>
      <c r="C82" s="129" t="s">
        <v>2534</v>
      </c>
      <c r="D82" s="129" t="s">
        <v>2535</v>
      </c>
      <c r="E82" s="129" t="s">
        <v>2536</v>
      </c>
      <c r="F82" s="129" t="s">
        <v>2537</v>
      </c>
      <c r="G82" s="129" t="s">
        <v>2538</v>
      </c>
      <c r="H82" s="740"/>
      <c r="I82" s="740"/>
      <c r="J82" s="740"/>
      <c r="K82" s="740"/>
      <c r="L82" s="740"/>
      <c r="M82" s="2555"/>
      <c r="N82" s="1185"/>
      <c r="O82" s="1185"/>
      <c r="P82" s="1174"/>
      <c r="Q82" s="68"/>
    </row>
    <row r="83" spans="1:17" ht="15" thickBot="1">
      <c r="A83" s="125"/>
      <c r="B83" s="919"/>
      <c r="C83" s="745">
        <v>100</v>
      </c>
      <c r="D83" s="745">
        <f>C83-$K21</f>
        <v>98</v>
      </c>
      <c r="E83" s="745">
        <f>D83-$K21</f>
        <v>96</v>
      </c>
      <c r="F83" s="745">
        <f>E83-$K21</f>
        <v>94</v>
      </c>
      <c r="G83" s="745">
        <f>F83-$K21</f>
        <v>92</v>
      </c>
      <c r="H83" s="861"/>
      <c r="I83" s="861"/>
      <c r="J83" s="861"/>
      <c r="K83" s="861"/>
      <c r="L83" s="861"/>
      <c r="M83" s="648"/>
      <c r="N83" s="1185"/>
      <c r="O83" s="1185"/>
      <c r="P83" s="1174"/>
      <c r="Q83" s="68"/>
    </row>
    <row r="84" spans="1:17" ht="15" thickTop="1">
      <c r="A84" s="125"/>
      <c r="B84" s="917" t="s">
        <v>92</v>
      </c>
      <c r="C84" s="780" t="s">
        <v>437</v>
      </c>
      <c r="D84" s="780" t="s">
        <v>438</v>
      </c>
      <c r="E84" s="780" t="s">
        <v>439</v>
      </c>
      <c r="F84" s="780" t="s">
        <v>440</v>
      </c>
      <c r="G84" s="780" t="s">
        <v>441</v>
      </c>
      <c r="H84" s="740"/>
      <c r="I84" s="740"/>
      <c r="J84" s="740"/>
      <c r="K84" s="741"/>
      <c r="L84" s="742"/>
      <c r="M84" s="743"/>
      <c r="N84" s="1184"/>
      <c r="O84" s="1184"/>
      <c r="P84" s="1174"/>
      <c r="Q84" s="68"/>
    </row>
    <row r="85" spans="1:17" ht="15" thickBot="1">
      <c r="A85" s="125"/>
      <c r="B85" s="918"/>
      <c r="C85" s="745">
        <v>100</v>
      </c>
      <c r="D85" s="745">
        <f>C85-$K23</f>
        <v>97</v>
      </c>
      <c r="E85" s="745">
        <f>D85-$K23</f>
        <v>94</v>
      </c>
      <c r="F85" s="745">
        <f>E85-$K23</f>
        <v>91</v>
      </c>
      <c r="G85" s="745">
        <f>F85-$K23</f>
        <v>88</v>
      </c>
      <c r="H85" s="745"/>
      <c r="I85" s="745"/>
      <c r="J85" s="745"/>
      <c r="K85" s="745"/>
      <c r="L85" s="745"/>
      <c r="M85" s="746"/>
      <c r="N85" s="1185"/>
      <c r="O85" s="1185"/>
      <c r="P85" s="1174"/>
      <c r="Q85" s="68"/>
    </row>
    <row r="86" spans="1:17" s="11" customFormat="1" ht="14.25" thickTop="1">
      <c r="A86" s="935"/>
      <c r="B86" s="917" t="s">
        <v>2190</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91</v>
      </c>
      <c r="C88" s="86" t="s">
        <v>6383</v>
      </c>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6361</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t="str">
        <f>B28</f>
        <v xml:space="preserve">楼层 </v>
      </c>
      <c r="C92" s="3152" t="s">
        <v>6396</v>
      </c>
      <c r="D92" s="3152" t="s">
        <v>6398</v>
      </c>
      <c r="E92" s="3152" t="s">
        <v>6397</v>
      </c>
      <c r="F92" s="755"/>
      <c r="G92" s="785"/>
      <c r="H92" s="785"/>
      <c r="I92" s="785"/>
      <c r="J92" s="785"/>
      <c r="K92" s="786"/>
      <c r="L92" s="787"/>
      <c r="M92" s="788"/>
      <c r="N92" s="1184"/>
      <c r="O92" s="1184"/>
      <c r="P92" s="1174"/>
      <c r="Q92" s="68"/>
    </row>
    <row r="93" spans="1:17" ht="15" thickBot="1">
      <c r="A93" s="125"/>
      <c r="B93" s="918"/>
      <c r="C93" s="762">
        <v>100</v>
      </c>
      <c r="D93" s="736">
        <v>102</v>
      </c>
      <c r="E93" s="736">
        <v>104</v>
      </c>
      <c r="F93" s="736"/>
      <c r="G93" s="736"/>
      <c r="H93" s="736"/>
      <c r="I93" s="736"/>
      <c r="J93" s="736"/>
      <c r="K93" s="736"/>
      <c r="L93" s="736"/>
      <c r="M93" s="737"/>
      <c r="N93" s="1185"/>
      <c r="O93" s="1185"/>
      <c r="P93" s="1174"/>
      <c r="Q93" s="68"/>
    </row>
    <row r="94" spans="1:17" ht="15" thickTop="1">
      <c r="A94" s="125"/>
      <c r="B94" s="917">
        <f>B29</f>
        <v>0</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0</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0</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65</v>
      </c>
      <c r="B100" s="183" t="s">
        <v>123</v>
      </c>
      <c r="C100" s="69" t="s">
        <v>6363</v>
      </c>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29.25" thickTop="1">
      <c r="A102" s="125"/>
      <c r="B102" s="917" t="s">
        <v>90</v>
      </c>
      <c r="C102" s="780" t="str">
        <f>C103&amp;"(含)"&amp;"-"&amp;D103</f>
        <v>0(含)-100000</v>
      </c>
      <c r="D102" s="780" t="str">
        <f t="shared" ref="D102:L102" si="23">D103&amp;"(含)"&amp;"-"&amp;E103</f>
        <v>100000(含)-200000</v>
      </c>
      <c r="E102" s="780" t="str">
        <f t="shared" si="23"/>
        <v>200000(含)-300000</v>
      </c>
      <c r="F102" s="780" t="str">
        <f t="shared" si="23"/>
        <v>300000(含)-400000</v>
      </c>
      <c r="G102" s="780" t="str">
        <f t="shared" si="23"/>
        <v>400000(含)-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100000</v>
      </c>
      <c r="E103" s="797">
        <v>200000</v>
      </c>
      <c r="F103" s="797">
        <v>300000</v>
      </c>
      <c r="G103" s="797">
        <v>400000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89</v>
      </c>
      <c r="C105" s="86" t="s">
        <v>6365</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109</v>
      </c>
      <c r="C107" s="78" t="s">
        <v>6369</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95</v>
      </c>
      <c r="E108" s="745">
        <f t="shared" si="25"/>
        <v>90</v>
      </c>
      <c r="F108" s="745">
        <f t="shared" si="25"/>
        <v>85</v>
      </c>
      <c r="G108" s="745">
        <f t="shared" si="25"/>
        <v>80</v>
      </c>
      <c r="H108" s="745">
        <f t="shared" si="25"/>
        <v>75</v>
      </c>
      <c r="I108" s="745">
        <f t="shared" si="25"/>
        <v>70</v>
      </c>
      <c r="J108" s="745">
        <f t="shared" si="25"/>
        <v>65</v>
      </c>
      <c r="K108" s="745">
        <f t="shared" si="25"/>
        <v>60</v>
      </c>
      <c r="L108" s="745">
        <f t="shared" si="25"/>
        <v>55</v>
      </c>
      <c r="M108" s="745">
        <f t="shared" si="25"/>
        <v>50</v>
      </c>
      <c r="N108" s="1185"/>
      <c r="O108" s="1185"/>
      <c r="P108" s="1174"/>
      <c r="Q108" s="68"/>
    </row>
    <row r="109" spans="1:17" ht="14.25" thickTop="1">
      <c r="A109" s="127"/>
      <c r="B109" s="917" t="s">
        <v>125</v>
      </c>
      <c r="C109" s="86" t="s">
        <v>6367</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110</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126</v>
      </c>
      <c r="C114" s="86" t="s">
        <v>6370</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2533</v>
      </c>
      <c r="C116" s="86" t="s">
        <v>6371</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111</v>
      </c>
      <c r="C118" s="78" t="s">
        <v>6380</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thickTop="1">
      <c r="A120" s="936"/>
      <c r="B120" s="917" t="s">
        <v>99</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127</v>
      </c>
      <c r="C122" s="86" t="s">
        <v>6373</v>
      </c>
      <c r="D122" s="86" t="s">
        <v>6374</v>
      </c>
      <c r="E122" s="86" t="s">
        <v>6367</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88</v>
      </c>
      <c r="C124" s="780" t="s">
        <v>437</v>
      </c>
      <c r="D124" s="780" t="s">
        <v>438</v>
      </c>
      <c r="E124" s="780" t="s">
        <v>439</v>
      </c>
      <c r="F124" s="780" t="s">
        <v>440</v>
      </c>
      <c r="G124" s="780" t="s">
        <v>441</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0</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0</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3" t="s">
        <v>2192</v>
      </c>
    </row>
    <row r="137" spans="1:17" ht="14.25">
      <c r="B137" s="2177" t="s">
        <v>2173</v>
      </c>
      <c r="C137" s="2178"/>
      <c r="D137" s="2178"/>
      <c r="E137" s="2178"/>
      <c r="F137" s="2178"/>
      <c r="G137" s="2179"/>
      <c r="H137" s="2180"/>
      <c r="I137" s="2181" t="s">
        <v>2174</v>
      </c>
      <c r="J137" s="2178"/>
      <c r="K137" s="2182"/>
    </row>
    <row r="138" spans="1:17" ht="14.25">
      <c r="B138" s="1934"/>
      <c r="C138" s="1612" t="s">
        <v>2175</v>
      </c>
      <c r="D138" s="1612" t="s">
        <v>2176</v>
      </c>
      <c r="E138" s="1938" t="s">
        <v>2177</v>
      </c>
      <c r="F138" s="1939" t="s">
        <v>2178</v>
      </c>
      <c r="G138" s="1612" t="s">
        <v>2176</v>
      </c>
      <c r="H138" s="1940" t="s">
        <v>2177</v>
      </c>
      <c r="I138" s="1941"/>
      <c r="J138" s="1612" t="s">
        <v>2179</v>
      </c>
      <c r="K138" s="1940" t="s">
        <v>2180</v>
      </c>
    </row>
    <row r="139" spans="1:17" ht="15">
      <c r="B139" s="1935">
        <v>6</v>
      </c>
      <c r="C139" s="1955">
        <v>96</v>
      </c>
      <c r="D139" s="1956" t="s">
        <v>2181</v>
      </c>
      <c r="E139" s="1957">
        <v>100</v>
      </c>
      <c r="F139" s="1958">
        <v>102.5</v>
      </c>
      <c r="G139" s="1956" t="s">
        <v>2181</v>
      </c>
      <c r="H139" s="1959">
        <v>105</v>
      </c>
      <c r="I139" s="1942" t="s">
        <v>2182</v>
      </c>
      <c r="J139" s="1955">
        <v>20</v>
      </c>
      <c r="K139" s="1945">
        <f>C145/(J139-2)</f>
        <v>4.0555555555555553E-3</v>
      </c>
    </row>
    <row r="140" spans="1:17" ht="15">
      <c r="B140" s="1936">
        <v>5</v>
      </c>
      <c r="C140" s="1960">
        <v>100</v>
      </c>
      <c r="D140" s="1961"/>
      <c r="E140" s="1962"/>
      <c r="F140" s="1963">
        <v>102</v>
      </c>
      <c r="G140" s="1961"/>
      <c r="H140" s="1964"/>
      <c r="I140" s="1943" t="s">
        <v>2183</v>
      </c>
      <c r="J140" s="434">
        <f>ROUNDUP((J139-1)/2,0)</f>
        <v>10</v>
      </c>
      <c r="K140" s="1946">
        <v>100</v>
      </c>
    </row>
    <row r="141" spans="1:17" ht="15">
      <c r="B141" s="1936">
        <v>4</v>
      </c>
      <c r="C141" s="1960">
        <v>102</v>
      </c>
      <c r="D141" s="1961"/>
      <c r="E141" s="1962"/>
      <c r="F141" s="1963">
        <v>101.5</v>
      </c>
      <c r="G141" s="1961"/>
      <c r="H141" s="1964"/>
      <c r="I141" s="1943" t="s">
        <v>2184</v>
      </c>
      <c r="J141" s="434">
        <v>1</v>
      </c>
      <c r="K141" s="1947">
        <f>ROUND(100+(J141-J140)*K139*100,1)</f>
        <v>96.4</v>
      </c>
    </row>
    <row r="142" spans="1:17" ht="15">
      <c r="B142" s="1936">
        <v>3</v>
      </c>
      <c r="C142" s="1960">
        <v>103</v>
      </c>
      <c r="D142" s="1961"/>
      <c r="E142" s="1962"/>
      <c r="F142" s="1963">
        <v>101</v>
      </c>
      <c r="G142" s="1961"/>
      <c r="H142" s="1964"/>
      <c r="I142" s="1943" t="s">
        <v>2185</v>
      </c>
      <c r="J142" s="434">
        <f>J139</f>
        <v>20</v>
      </c>
      <c r="K142" s="1966">
        <v>95</v>
      </c>
    </row>
    <row r="143" spans="1:17" ht="15">
      <c r="B143" s="1936">
        <v>2</v>
      </c>
      <c r="C143" s="1960">
        <v>100</v>
      </c>
      <c r="D143" s="1961"/>
      <c r="E143" s="1962"/>
      <c r="F143" s="1963">
        <v>100.5</v>
      </c>
      <c r="G143" s="1961"/>
      <c r="H143" s="1964"/>
      <c r="I143" s="1943" t="s">
        <v>2186</v>
      </c>
      <c r="J143" s="1960">
        <v>15</v>
      </c>
      <c r="K143" s="1947">
        <f>ROUND(100+(J143-J140)*K139*100,1)</f>
        <v>102</v>
      </c>
    </row>
    <row r="144" spans="1:17" ht="15">
      <c r="B144" s="1936">
        <v>1</v>
      </c>
      <c r="C144" s="1960">
        <v>98</v>
      </c>
      <c r="D144" s="1022" t="s">
        <v>2187</v>
      </c>
      <c r="E144" s="1962">
        <v>102</v>
      </c>
      <c r="F144" s="1965">
        <v>100</v>
      </c>
      <c r="G144" s="1022" t="s">
        <v>2187</v>
      </c>
      <c r="H144" s="1964">
        <v>105</v>
      </c>
      <c r="I144" s="1943" t="s">
        <v>2186</v>
      </c>
      <c r="J144" s="1960">
        <v>18</v>
      </c>
      <c r="K144" s="1947">
        <f>ROUND(100+(J144-J140)*K139*100,1)</f>
        <v>103.2</v>
      </c>
    </row>
    <row r="145" spans="2:11" ht="15.75" thickBot="1">
      <c r="B145" s="1937" t="s">
        <v>2188</v>
      </c>
      <c r="C145" s="1949">
        <f>ROUND(MAX(C139:C144)/MIN(C139:C144)-1,3)</f>
        <v>7.2999999999999995E-2</v>
      </c>
      <c r="D145" s="1950"/>
      <c r="E145" s="1951"/>
      <c r="F145" s="1952" t="s">
        <v>2191</v>
      </c>
      <c r="G145" s="1953"/>
      <c r="H145" s="1954"/>
      <c r="I145" s="1944" t="s">
        <v>2186</v>
      </c>
      <c r="J145" s="1967">
        <v>8</v>
      </c>
      <c r="K145" s="1948">
        <f>ROUND(100+(J145-J140)*K139*100,1)</f>
        <v>99.2</v>
      </c>
    </row>
    <row r="147" spans="2:11">
      <c r="B147" s="1933" t="s">
        <v>2211</v>
      </c>
    </row>
    <row r="148" spans="2:11">
      <c r="B148" s="1933" t="s">
        <v>2212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view="pageBreakPreview" topLeftCell="A13" zoomScale="85" zoomScaleNormal="90" zoomScaleSheetLayoutView="85" workbookViewId="0">
      <selection activeCell="F8" sqref="F8"/>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813</v>
      </c>
      <c r="B1" s="523"/>
      <c r="C1" s="1088"/>
      <c r="D1" s="2318" t="s">
        <v>2283</v>
      </c>
      <c r="E1" s="2124"/>
      <c r="F1" s="2124"/>
      <c r="G1" s="525" t="e">
        <f>MATCH(C1,'数据-取费表'!A18:A18,0)+5</f>
        <v>#N/A</v>
      </c>
      <c r="H1" s="1089"/>
      <c r="I1" s="2125"/>
      <c r="J1" s="2125"/>
      <c r="K1" s="2126"/>
      <c r="L1" s="2125"/>
      <c r="M1" s="2125"/>
      <c r="N1" s="1274"/>
      <c r="O1" s="1274"/>
      <c r="P1" s="1274"/>
      <c r="Q1" s="2385"/>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726</v>
      </c>
      <c r="B2" s="1200">
        <f ca="1">IF(C2="元",IF('数据-取费表'!B28="租赁期内按合同租金",C40+L47+J29,C40+L47),ROUND(IF('数据-取费表'!B28="租赁期内按合同租金",(C40+L47+J29)/10000,(C40+L47)/10000),0))</f>
        <v>88</v>
      </c>
      <c r="C2" s="1090" t="str">
        <f>'数据-取费表'!B3</f>
        <v>万元</v>
      </c>
      <c r="D2" s="2127"/>
      <c r="E2" s="2128"/>
      <c r="F2" s="2128"/>
      <c r="G2" s="2153"/>
      <c r="H2" s="1087"/>
      <c r="I2" s="2129"/>
      <c r="J2" s="2129"/>
      <c r="K2" s="2130"/>
      <c r="L2" s="2129"/>
      <c r="M2" s="2129"/>
    </row>
    <row r="3" spans="1:37" ht="18" customHeight="1" thickBot="1">
      <c r="A3" s="528" t="s">
        <v>727</v>
      </c>
      <c r="B3" s="1201">
        <f ca="1">ROUND(IF('数据-取费表'!B28="租赁期内按合同租金",(C40+L47+J29)/F43,(C40+L47)/F43),0)</f>
        <v>9958</v>
      </c>
      <c r="C3" s="1090" t="s">
        <v>1008</v>
      </c>
      <c r="D3" s="2127"/>
      <c r="E3" s="2128"/>
      <c r="F3" s="2128"/>
      <c r="G3" s="2153"/>
      <c r="H3" s="529" t="s">
        <v>814</v>
      </c>
      <c r="I3" s="2129"/>
      <c r="J3" s="2129"/>
      <c r="K3" s="2130"/>
      <c r="L3" s="2129"/>
      <c r="M3" s="2129"/>
    </row>
    <row r="4" spans="1:37" ht="18" customHeight="1">
      <c r="A4" s="530" t="s">
        <v>815</v>
      </c>
      <c r="B4" s="531" t="s">
        <v>816</v>
      </c>
      <c r="C4" s="531" t="s">
        <v>817</v>
      </c>
      <c r="D4" s="531" t="s">
        <v>818</v>
      </c>
      <c r="E4" s="532" t="s">
        <v>819</v>
      </c>
      <c r="F4" s="533"/>
      <c r="G4" s="2151"/>
      <c r="H4" s="530" t="s">
        <v>815</v>
      </c>
      <c r="I4" s="531" t="s">
        <v>816</v>
      </c>
      <c r="J4" s="531" t="s">
        <v>817</v>
      </c>
      <c r="K4" s="531" t="s">
        <v>818</v>
      </c>
      <c r="L4" s="532" t="s">
        <v>819</v>
      </c>
      <c r="M4" s="533"/>
    </row>
    <row r="5" spans="1:37" ht="18" customHeight="1">
      <c r="A5" s="534">
        <v>1</v>
      </c>
      <c r="B5" s="535" t="s">
        <v>820</v>
      </c>
      <c r="C5" s="536">
        <f ca="1">C6+C10+C12</f>
        <v>33653</v>
      </c>
      <c r="D5" s="2450" t="s">
        <v>2443</v>
      </c>
      <c r="E5" s="2127"/>
      <c r="F5" s="2441"/>
      <c r="G5" s="2151"/>
      <c r="H5" s="534">
        <v>1</v>
      </c>
      <c r="I5" s="535" t="s">
        <v>820</v>
      </c>
      <c r="J5" s="536">
        <f ca="1">J6+J10+J12</f>
        <v>0</v>
      </c>
      <c r="K5" s="2450" t="s">
        <v>2443</v>
      </c>
      <c r="L5" s="2127"/>
      <c r="M5" s="2441"/>
    </row>
    <row r="6" spans="1:37" ht="18" customHeight="1">
      <c r="A6" s="2442" t="s">
        <v>2223</v>
      </c>
      <c r="B6" s="1814" t="s">
        <v>2501</v>
      </c>
      <c r="C6" s="536">
        <f>ROUND(F6*F8*F7*(1-F9),0)</f>
        <v>33600</v>
      </c>
      <c r="D6" s="2448" t="s">
        <v>2441</v>
      </c>
      <c r="E6" s="537" t="s">
        <v>822</v>
      </c>
      <c r="F6" s="538">
        <f>'数据-取费表'!B29</f>
        <v>3500</v>
      </c>
      <c r="G6" s="2151"/>
      <c r="H6" s="2442" t="s">
        <v>2505</v>
      </c>
      <c r="I6" s="1814" t="s">
        <v>2502</v>
      </c>
      <c r="J6" s="536">
        <f>ROUND(M6*M8*M7*(1-M9),0)</f>
        <v>0</v>
      </c>
      <c r="K6" s="297" t="s">
        <v>821</v>
      </c>
      <c r="L6" s="537" t="s">
        <v>822</v>
      </c>
      <c r="M6" s="538">
        <f>'数据-取费表'!B36</f>
        <v>0</v>
      </c>
    </row>
    <row r="7" spans="1:37" ht="18" customHeight="1">
      <c r="A7" s="2514"/>
      <c r="B7" s="2440"/>
      <c r="C7" s="541"/>
      <c r="D7" s="2439"/>
      <c r="E7" s="537" t="s">
        <v>823</v>
      </c>
      <c r="F7" s="538">
        <f>IF('数据-取费表'!B41="",IF(D1="仅计算典型户型",'数据-取费表'!E5,'数据-取费表'!B5),'数据-取费表'!B41)</f>
        <v>1</v>
      </c>
      <c r="G7" s="2151"/>
      <c r="H7" s="539"/>
      <c r="I7" s="2440"/>
      <c r="J7" s="541"/>
      <c r="K7" s="542"/>
      <c r="L7" s="537" t="s">
        <v>823</v>
      </c>
      <c r="M7" s="538">
        <f>IF('数据-取费表'!B41="",IF(D1="仅计算典型户型",'数据-取费表'!E5,'数据-取费表'!B5),'数据-取费表'!B41)</f>
        <v>1</v>
      </c>
    </row>
    <row r="8" spans="1:37" ht="18" customHeight="1">
      <c r="A8" s="2514"/>
      <c r="B8" s="2440"/>
      <c r="C8" s="541"/>
      <c r="D8" s="2439"/>
      <c r="E8" s="1666" t="s">
        <v>2284</v>
      </c>
      <c r="F8" s="538">
        <f>'数据-取费表'!B42</f>
        <v>12</v>
      </c>
      <c r="G8" s="2151"/>
      <c r="H8" s="539"/>
      <c r="I8" s="2440"/>
      <c r="J8" s="541"/>
      <c r="K8" s="542"/>
      <c r="L8" s="537" t="s">
        <v>824</v>
      </c>
      <c r="M8" s="538">
        <f>'数据-取费表'!B42</f>
        <v>12</v>
      </c>
    </row>
    <row r="9" spans="1:37" ht="18" customHeight="1">
      <c r="A9" s="2514"/>
      <c r="B9" s="2440"/>
      <c r="C9" s="541"/>
      <c r="D9" s="2449"/>
      <c r="E9" s="537" t="s">
        <v>825</v>
      </c>
      <c r="F9" s="547">
        <f>'数据-取费表'!B32</f>
        <v>0.2</v>
      </c>
      <c r="G9" s="2151"/>
      <c r="H9" s="539"/>
      <c r="I9" s="2440"/>
      <c r="J9" s="2447"/>
      <c r="K9" s="312"/>
      <c r="L9" s="548" t="s">
        <v>825</v>
      </c>
      <c r="M9" s="547">
        <f>'数据-取费表'!B38</f>
        <v>0</v>
      </c>
    </row>
    <row r="10" spans="1:37" ht="18" customHeight="1">
      <c r="A10" s="2442" t="s">
        <v>2503</v>
      </c>
      <c r="B10" s="2445" t="s">
        <v>2436</v>
      </c>
      <c r="C10" s="2444">
        <f ca="1">ROUND(IF(F10="押一",F6*F7*F8/12*F11,IF(F10="押二",F6*F7*F8/12*2*F11,IF(F10="押三",F6*F7*F8/12*3*F11,C11*F11))),0)</f>
        <v>53</v>
      </c>
      <c r="D10" s="2443" t="s">
        <v>2439</v>
      </c>
      <c r="E10" s="2438" t="s">
        <v>2440</v>
      </c>
      <c r="F10" s="2446" t="s">
        <v>2894</v>
      </c>
      <c r="G10" s="2151"/>
      <c r="H10" s="2442" t="s">
        <v>2506</v>
      </c>
      <c r="I10" s="2445" t="s">
        <v>2436</v>
      </c>
      <c r="J10" s="2444">
        <f ca="1">ROUND(IF(M10="押一",M6*M8*M7/12*M11,IF(M10="押二",M6*M8*M7/12*2*M11,IF(M10="押三",M6*M8*M7/12*3*M11,J11*M11))),0)</f>
        <v>0</v>
      </c>
      <c r="K10" s="2448" t="s">
        <v>2439</v>
      </c>
      <c r="L10" s="2438" t="s">
        <v>2440</v>
      </c>
      <c r="M10" s="2446"/>
    </row>
    <row r="11" spans="1:37" s="559" customFormat="1" ht="18" customHeight="1">
      <c r="A11" s="566"/>
      <c r="B11" s="2451" t="s">
        <v>2500</v>
      </c>
      <c r="C11" s="2483"/>
      <c r="D11" s="2439"/>
      <c r="E11" s="2438" t="s">
        <v>2438</v>
      </c>
      <c r="F11" s="549">
        <f ca="1">'数据-取费表'!B30</f>
        <v>1.4999999999999999E-2</v>
      </c>
      <c r="G11" s="2152"/>
      <c r="H11" s="543"/>
      <c r="I11" s="2451" t="s">
        <v>2565</v>
      </c>
      <c r="J11" s="2483"/>
      <c r="K11" s="2439"/>
      <c r="L11" s="2438" t="s">
        <v>2438</v>
      </c>
      <c r="M11" s="549">
        <f ca="1">'数据-取费表'!B30</f>
        <v>1.4999999999999999E-2</v>
      </c>
      <c r="N11" s="1273"/>
      <c r="O11" s="1273"/>
      <c r="P11" s="1273"/>
      <c r="Q11" s="2386"/>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89" t="s">
        <v>2504</v>
      </c>
      <c r="B12" s="2490" t="s">
        <v>2442</v>
      </c>
      <c r="C12" s="2491"/>
      <c r="D12" s="2492"/>
      <c r="E12" s="1830"/>
      <c r="F12" s="2493"/>
      <c r="G12" s="2151"/>
      <c r="H12" s="2489" t="s">
        <v>2507</v>
      </c>
      <c r="I12" s="2490" t="s">
        <v>2442</v>
      </c>
      <c r="J12" s="2491"/>
      <c r="K12" s="2508"/>
      <c r="L12" s="1830"/>
      <c r="M12" s="2509"/>
    </row>
    <row r="13" spans="1:37" s="559" customFormat="1" ht="18" customHeight="1" thickTop="1">
      <c r="A13" s="2485">
        <v>2</v>
      </c>
      <c r="B13" s="2486" t="s">
        <v>826</v>
      </c>
      <c r="C13" s="545">
        <f ca="1">ROUND(C29*F13,0)</f>
        <v>308468</v>
      </c>
      <c r="D13" s="2487" t="s">
        <v>827</v>
      </c>
      <c r="E13" s="2487" t="s">
        <v>828</v>
      </c>
      <c r="F13" s="2488">
        <f>'数据-取费表'!E20</f>
        <v>0.97</v>
      </c>
      <c r="G13" s="2152"/>
      <c r="H13" s="2485">
        <v>2</v>
      </c>
      <c r="I13" s="2486" t="s">
        <v>826</v>
      </c>
      <c r="J13" s="2447">
        <f ca="1">ROUND(J14*J15,0)</f>
        <v>0</v>
      </c>
      <c r="K13" s="2494" t="s">
        <v>827</v>
      </c>
      <c r="L13" s="2506"/>
      <c r="M13" s="2507"/>
      <c r="N13" s="1273"/>
      <c r="O13" s="1273"/>
      <c r="P13" s="1273"/>
      <c r="Q13" s="2386"/>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2231</v>
      </c>
      <c r="B14" s="537" t="s">
        <v>371</v>
      </c>
      <c r="C14" s="556">
        <f>IF(D1="仅计算典型户型",'数据-取费表'!F18,'数据-取费表'!E18)</f>
        <v>194238</v>
      </c>
      <c r="D14" s="2434" t="s">
        <v>829</v>
      </c>
      <c r="E14" s="2435"/>
      <c r="F14" s="1635"/>
      <c r="G14" s="2152"/>
      <c r="H14" s="555" t="s">
        <v>2223</v>
      </c>
      <c r="I14" s="537" t="s">
        <v>830</v>
      </c>
      <c r="J14" s="197">
        <f ca="1">C29</f>
        <v>318008</v>
      </c>
      <c r="K14" s="195"/>
      <c r="L14" s="553"/>
      <c r="M14" s="554"/>
      <c r="N14" s="1273"/>
      <c r="O14" s="1273"/>
      <c r="P14" s="1273"/>
      <c r="Q14" s="2386"/>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2232</v>
      </c>
      <c r="B15" s="537" t="s">
        <v>372</v>
      </c>
      <c r="C15" s="197">
        <f>ROUND(C14*F15,0)</f>
        <v>5827</v>
      </c>
      <c r="D15" s="557" t="s">
        <v>831</v>
      </c>
      <c r="E15" s="557" t="s">
        <v>832</v>
      </c>
      <c r="F15" s="558">
        <f>'数据-取费表'!E21</f>
        <v>0.03</v>
      </c>
      <c r="G15" s="2151"/>
      <c r="H15" s="2497" t="s">
        <v>2237</v>
      </c>
      <c r="I15" s="2498" t="s">
        <v>828</v>
      </c>
      <c r="J15" s="2510">
        <f>'数据-取费表'!B39</f>
        <v>0</v>
      </c>
      <c r="K15" s="2511"/>
      <c r="L15" s="2512"/>
      <c r="M15" s="2513"/>
    </row>
    <row r="16" spans="1:37" s="559" customFormat="1" ht="18" customHeight="1" thickTop="1">
      <c r="A16" s="555" t="s">
        <v>2233</v>
      </c>
      <c r="B16" s="537" t="s">
        <v>373</v>
      </c>
      <c r="C16" s="197">
        <f>ROUND(C14*F16,0)</f>
        <v>9712</v>
      </c>
      <c r="D16" s="537" t="s">
        <v>831</v>
      </c>
      <c r="E16" s="537" t="s">
        <v>832</v>
      </c>
      <c r="F16" s="560">
        <f>IF('数据-取费表'!B10="住宅",'数据-取费表'!E22,0)</f>
        <v>0.05</v>
      </c>
      <c r="G16" s="2152"/>
      <c r="H16" s="2485" t="s">
        <v>37</v>
      </c>
      <c r="I16" s="2486" t="s">
        <v>833</v>
      </c>
      <c r="J16" s="545">
        <f ca="1">ROUND(J17+J22+J23+J24,0)</f>
        <v>7491</v>
      </c>
      <c r="K16" s="2494" t="s">
        <v>834</v>
      </c>
      <c r="L16" s="2495"/>
      <c r="M16" s="2496"/>
      <c r="N16" s="1273"/>
      <c r="O16" s="1273"/>
      <c r="P16" s="1273"/>
      <c r="Q16" s="2386"/>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2234</v>
      </c>
      <c r="B17" s="537" t="s">
        <v>374</v>
      </c>
      <c r="C17" s="197">
        <f>ROUND(F17*IF(D1="仅计算典型户型",'数据-取费表'!E5,'数据-取费表'!B5),0)</f>
        <v>17658</v>
      </c>
      <c r="D17" s="537" t="s">
        <v>835</v>
      </c>
      <c r="E17" s="537" t="s">
        <v>836</v>
      </c>
      <c r="F17" s="199">
        <f>'数据-取费表'!E23</f>
        <v>200</v>
      </c>
      <c r="G17" s="2152"/>
      <c r="H17" s="555" t="s">
        <v>2229</v>
      </c>
      <c r="I17" s="537" t="s">
        <v>375</v>
      </c>
      <c r="J17" s="197">
        <f ca="1">ROUND(IF(项目基本情况!B7="自然人",J5*M17,J18+J19+J20),0)</f>
        <v>2721</v>
      </c>
      <c r="K17" s="2064" t="s">
        <v>837</v>
      </c>
      <c r="L17" s="2065" t="s">
        <v>838</v>
      </c>
      <c r="M17" s="561" t="str">
        <f>IF(项目基本情况!B7="企业","",IF('数据-取费表'!B10="住宅",5%,IF(M6*M7*M8/12/(1+'数据-取费表'!F30)&gt;20000,12%,7%)))</f>
        <v/>
      </c>
      <c r="N17" s="1273"/>
      <c r="O17" s="1273"/>
      <c r="P17" s="1273"/>
      <c r="Q17" s="2386"/>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2235</v>
      </c>
      <c r="B18" s="537" t="s">
        <v>376</v>
      </c>
      <c r="C18" s="197">
        <f>ROUND(C14*F18,0)</f>
        <v>2914</v>
      </c>
      <c r="D18" s="537" t="s">
        <v>831</v>
      </c>
      <c r="E18" s="537" t="s">
        <v>832</v>
      </c>
      <c r="F18" s="560">
        <f>'数据-取费表'!E24</f>
        <v>1.4999999999999999E-2</v>
      </c>
      <c r="G18" s="2151"/>
      <c r="H18" s="555" t="s">
        <v>2231</v>
      </c>
      <c r="I18" s="537" t="s">
        <v>839</v>
      </c>
      <c r="J18" s="197">
        <f ca="1">IF(项目基本情况!B7="自然人","——",ROUND(J5*M18/(1+'数据-取费表'!F30),0))</f>
        <v>0</v>
      </c>
      <c r="K18" s="2065" t="s">
        <v>840</v>
      </c>
      <c r="L18" s="537" t="s">
        <v>832</v>
      </c>
      <c r="M18" s="560">
        <f>'数据-取费表'!E29</f>
        <v>5.6000000000000001E-2</v>
      </c>
    </row>
    <row r="19" spans="1:37" s="559" customFormat="1" ht="18" customHeight="1">
      <c r="A19" s="555" t="s">
        <v>2432</v>
      </c>
      <c r="B19" s="537" t="s">
        <v>378</v>
      </c>
      <c r="C19" s="197">
        <f>SUM(C14:C18)</f>
        <v>230349</v>
      </c>
      <c r="D19" s="272" t="s">
        <v>841</v>
      </c>
      <c r="E19" s="2437"/>
      <c r="F19" s="199"/>
      <c r="G19" s="2152"/>
      <c r="H19" s="555" t="s">
        <v>2232</v>
      </c>
      <c r="I19" s="537" t="s">
        <v>842</v>
      </c>
      <c r="J19" s="197">
        <f ca="1">IF(项目基本情况!B7="自然人","——",IF(K19="按租金收入计税",ROUND(J5*M19,1),ROUND(C29*M19*0.7,1)))</f>
        <v>2671.3</v>
      </c>
      <c r="K19" s="1091" t="s">
        <v>2218</v>
      </c>
      <c r="L19" s="537" t="s">
        <v>832</v>
      </c>
      <c r="M19" s="560">
        <f>IF(K19="按租金收入计税",'数据-取费表'!E39,'数据-取费表'!E38)</f>
        <v>1.2E-2</v>
      </c>
      <c r="N19" s="1273"/>
      <c r="O19" s="1273"/>
      <c r="P19" s="1273"/>
      <c r="Q19" s="2386"/>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2433</v>
      </c>
      <c r="B20" s="537" t="s">
        <v>379</v>
      </c>
      <c r="C20" s="197">
        <f>ROUND(C19*F20,0)</f>
        <v>4607</v>
      </c>
      <c r="D20" s="562" t="s">
        <v>843</v>
      </c>
      <c r="E20" s="537" t="s">
        <v>832</v>
      </c>
      <c r="F20" s="560">
        <f>'数据-取费表'!E25</f>
        <v>0.02</v>
      </c>
      <c r="G20" s="2152"/>
      <c r="H20" s="555" t="s">
        <v>2233</v>
      </c>
      <c r="I20" s="297" t="s">
        <v>844</v>
      </c>
      <c r="J20" s="198">
        <f>IF(项目基本情况!B7="自然人","——",ROUND(M20*M21,0))</f>
        <v>50</v>
      </c>
      <c r="K20" s="564" t="s">
        <v>845</v>
      </c>
      <c r="L20" s="537" t="s">
        <v>846</v>
      </c>
      <c r="M20" s="565">
        <f>'数据-取费表'!E40</f>
        <v>5</v>
      </c>
      <c r="N20" s="1273"/>
      <c r="O20" s="1273"/>
      <c r="P20" s="1273"/>
      <c r="Q20" s="2386"/>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2224</v>
      </c>
      <c r="B21" s="537" t="s">
        <v>847</v>
      </c>
      <c r="C21" s="991">
        <f>F21</f>
        <v>0.02</v>
      </c>
      <c r="D21" s="562" t="s">
        <v>848</v>
      </c>
      <c r="E21" s="537" t="s">
        <v>849</v>
      </c>
      <c r="F21" s="560">
        <f>'数据-取费表'!E26</f>
        <v>0.02</v>
      </c>
      <c r="G21" s="2151"/>
      <c r="H21" s="566"/>
      <c r="I21" s="546"/>
      <c r="J21" s="202"/>
      <c r="K21" s="567"/>
      <c r="L21" s="537" t="s">
        <v>850</v>
      </c>
      <c r="M21" s="538">
        <f>IF(D1="仅计算典型户型",'数据-取费表'!E6,'数据-取费表'!B6)</f>
        <v>9.9</v>
      </c>
    </row>
    <row r="22" spans="1:37" ht="18" customHeight="1">
      <c r="A22" s="555" t="s">
        <v>2225</v>
      </c>
      <c r="B22" s="537" t="s">
        <v>851</v>
      </c>
      <c r="C22" s="197"/>
      <c r="D22" s="2525" t="str">
        <f>IF(F23&lt;=1,"单利计息。","复利计息。")&amp;"建造成本、管理费用、销售费用产生的利息。"</f>
        <v>复利计息。建造成本、管理费用、销售费用产生的利息。</v>
      </c>
      <c r="E22" s="2437"/>
      <c r="F22" s="199"/>
      <c r="G22" s="2151"/>
      <c r="H22" s="555" t="s">
        <v>2230</v>
      </c>
      <c r="I22" s="537" t="s">
        <v>852</v>
      </c>
      <c r="J22" s="197">
        <f ca="1">ROUND(J14*M22,0)</f>
        <v>4770</v>
      </c>
      <c r="K22" s="2065" t="s">
        <v>853</v>
      </c>
      <c r="L22" s="537" t="s">
        <v>832</v>
      </c>
      <c r="M22" s="568">
        <f>'数据-取费表'!B44</f>
        <v>1.4999999999999999E-2</v>
      </c>
    </row>
    <row r="23" spans="1:37" ht="18" customHeight="1">
      <c r="A23" s="555" t="s">
        <v>2231</v>
      </c>
      <c r="B23" s="537" t="s">
        <v>2434</v>
      </c>
      <c r="C23" s="197">
        <f ca="1">IF('数据-取费表'!B23&lt;=1,ROUND(C19*F24*F23/2,0)+ROUND(C20*F24*F23/2,0),ROUND(C19*(POWER((1+F24),F23/2)-1),0)+ROUND(C20*(POWER((1+F24),F23/2)-1),0))</f>
        <v>11161</v>
      </c>
      <c r="D23" s="1659" t="str">
        <f>IF(F23&lt;=1,"(建造成本+管理费用)×利率×(建设周期÷2)","(建造成本+管理费用)×((1+利率)^(建设周期÷2)-1)")</f>
        <v>(建造成本+管理费用)×((1+利率)^(建设周期÷2)-1)</v>
      </c>
      <c r="E23" s="537" t="s">
        <v>854</v>
      </c>
      <c r="F23" s="565">
        <f>'数据-取费表'!B21</f>
        <v>2</v>
      </c>
      <c r="G23" s="2151"/>
      <c r="H23" s="555" t="s">
        <v>2224</v>
      </c>
      <c r="I23" s="537" t="s">
        <v>380</v>
      </c>
      <c r="J23" s="197">
        <f ca="1">ROUND(J13*M23,0)</f>
        <v>0</v>
      </c>
      <c r="K23" s="2065" t="s">
        <v>855</v>
      </c>
      <c r="L23" s="537" t="s">
        <v>832</v>
      </c>
      <c r="M23" s="569">
        <f>'数据-取费表'!B45</f>
        <v>1.5E-3</v>
      </c>
    </row>
    <row r="24" spans="1:37" s="559" customFormat="1" ht="18" customHeight="1" thickBot="1">
      <c r="A24" s="555" t="s">
        <v>2236</v>
      </c>
      <c r="B24" s="537" t="s">
        <v>856</v>
      </c>
      <c r="C24" s="197">
        <f ca="1">ROUND(IF('数据-取费表'!B23&lt;=1,F21*F24*F23/2,F21*(POWER((1+F24),F23/2)-1)),4)</f>
        <v>1E-3</v>
      </c>
      <c r="D24" s="1659" t="str">
        <f>IF(F23&lt;=1,"销售费用×利率×(建设周期÷2)","销售费用×((1+利率)^(建设周期÷2)-1)")</f>
        <v>销售费用×((1+利率)^(建设周期÷2)-1)</v>
      </c>
      <c r="E24" s="537" t="s">
        <v>857</v>
      </c>
      <c r="F24" s="570">
        <f ca="1">'数据-取费表'!E27</f>
        <v>4.7500000000000001E-2</v>
      </c>
      <c r="G24" s="2152"/>
      <c r="H24" s="2497" t="s">
        <v>2225</v>
      </c>
      <c r="I24" s="2498" t="s">
        <v>379</v>
      </c>
      <c r="J24" s="2499">
        <f ca="1">ROUND(J5*M24,0)</f>
        <v>0</v>
      </c>
      <c r="K24" s="2500" t="s">
        <v>858</v>
      </c>
      <c r="L24" s="2498" t="s">
        <v>832</v>
      </c>
      <c r="M24" s="2493">
        <f>'数据-取费表'!B46</f>
        <v>0.02</v>
      </c>
      <c r="N24" s="1273"/>
      <c r="O24" s="1273"/>
      <c r="P24" s="1273"/>
      <c r="Q24" s="2386"/>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2226</v>
      </c>
      <c r="B25" s="537" t="s">
        <v>384</v>
      </c>
      <c r="C25" s="197"/>
      <c r="D25" s="272" t="s">
        <v>859</v>
      </c>
      <c r="E25" s="2437"/>
      <c r="F25" s="199"/>
      <c r="G25" s="2152"/>
      <c r="H25" s="2485" t="s">
        <v>45</v>
      </c>
      <c r="I25" s="2502" t="s">
        <v>860</v>
      </c>
      <c r="J25" s="545">
        <f ca="1">J5-J16</f>
        <v>-7491</v>
      </c>
      <c r="K25" s="2503" t="s">
        <v>861</v>
      </c>
      <c r="L25" s="2504"/>
      <c r="M25" s="2505"/>
      <c r="N25" s="1273"/>
      <c r="O25" s="1273"/>
      <c r="P25" s="1273"/>
      <c r="Q25" s="2386"/>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2231</v>
      </c>
      <c r="B26" s="537" t="s">
        <v>2435</v>
      </c>
      <c r="C26" s="197">
        <f>ROUND((C19+C20)*F26,0)</f>
        <v>46991</v>
      </c>
      <c r="D26" s="562" t="s">
        <v>862</v>
      </c>
      <c r="E26" s="548" t="s">
        <v>863</v>
      </c>
      <c r="F26" s="547">
        <f>'数据-取费表'!E28</f>
        <v>0.2</v>
      </c>
      <c r="G26" s="1268"/>
      <c r="H26" s="534" t="s">
        <v>46</v>
      </c>
      <c r="I26" s="535" t="s">
        <v>864</v>
      </c>
      <c r="J26" s="536">
        <f ca="1">IF(J5&lt;&gt;0,ROUND(J25*(1-((1+M28)/(1+M26))^M27)/(M26-M28),0),0)</f>
        <v>0</v>
      </c>
      <c r="K26" s="564" t="s">
        <v>865</v>
      </c>
      <c r="L26" s="537" t="s">
        <v>873</v>
      </c>
      <c r="M26" s="547">
        <f>'数据-取费表'!B16</f>
        <v>4.4999999999999998E-2</v>
      </c>
    </row>
    <row r="27" spans="1:37" ht="18" customHeight="1">
      <c r="A27" s="555" t="s">
        <v>2236</v>
      </c>
      <c r="B27" s="537" t="s">
        <v>387</v>
      </c>
      <c r="C27" s="197">
        <f>ROUND(F21*F26,4)</f>
        <v>4.0000000000000001E-3</v>
      </c>
      <c r="D27" s="562" t="s">
        <v>866</v>
      </c>
      <c r="E27" s="557"/>
      <c r="F27" s="558"/>
      <c r="G27" s="1268"/>
      <c r="H27" s="539"/>
      <c r="I27" s="540"/>
      <c r="J27" s="541"/>
      <c r="K27" s="572" t="s">
        <v>867</v>
      </c>
      <c r="L27" s="537" t="s">
        <v>874</v>
      </c>
      <c r="M27" s="573" t="str">
        <f>'数据-取费表'!B40</f>
        <v>——</v>
      </c>
    </row>
    <row r="28" spans="1:37" ht="18" customHeight="1">
      <c r="A28" s="555" t="s">
        <v>2227</v>
      </c>
      <c r="B28" s="537" t="s">
        <v>388</v>
      </c>
      <c r="C28" s="197">
        <f>ROUND(F28/(1+'数据-取费表'!F30),4)</f>
        <v>5.33E-2</v>
      </c>
      <c r="D28" s="562" t="s">
        <v>875</v>
      </c>
      <c r="E28" s="537" t="s">
        <v>832</v>
      </c>
      <c r="F28" s="560">
        <f>'数据-取费表'!E29</f>
        <v>5.6000000000000001E-2</v>
      </c>
      <c r="G28" s="1268"/>
      <c r="H28" s="543"/>
      <c r="I28" s="544"/>
      <c r="J28" s="545"/>
      <c r="K28" s="567"/>
      <c r="L28" s="537" t="s">
        <v>876</v>
      </c>
      <c r="M28" s="547">
        <f>'数据-取费表'!B37</f>
        <v>0</v>
      </c>
    </row>
    <row r="29" spans="1:37" ht="18" customHeight="1" thickBot="1">
      <c r="A29" s="2497" t="s">
        <v>2228</v>
      </c>
      <c r="B29" s="2498" t="s">
        <v>877</v>
      </c>
      <c r="C29" s="2499">
        <f ca="1">ROUND((C19+C20+C23+C26)/(1-F21-C24-C27-C28),0)</f>
        <v>318008</v>
      </c>
      <c r="D29" s="2500"/>
      <c r="E29" s="2498"/>
      <c r="F29" s="2501"/>
      <c r="G29" s="1268"/>
      <c r="H29" s="574" t="s">
        <v>47</v>
      </c>
      <c r="I29" s="575" t="s">
        <v>868</v>
      </c>
      <c r="J29" s="576">
        <f ca="1">ROUND(J26/(1+F40)^F41,0)</f>
        <v>0</v>
      </c>
      <c r="K29" s="577" t="s">
        <v>869</v>
      </c>
      <c r="L29" s="578"/>
      <c r="M29" s="579">
        <f>IF(D1="仅计算典型户型",'数据-取费表'!E5,'数据-取费表'!B5)</f>
        <v>88.29</v>
      </c>
    </row>
    <row r="30" spans="1:37" ht="18" customHeight="1" thickTop="1">
      <c r="A30" s="2485" t="s">
        <v>37</v>
      </c>
      <c r="B30" s="2486" t="s">
        <v>833</v>
      </c>
      <c r="C30" s="545">
        <f ca="1">ROUND(C31+C36+C37+C38,0)</f>
        <v>10422</v>
      </c>
      <c r="D30" s="2494" t="s">
        <v>834</v>
      </c>
      <c r="E30" s="2495"/>
      <c r="F30" s="2496"/>
      <c r="G30" s="1268"/>
      <c r="H30" s="2131"/>
      <c r="I30" s="2132"/>
      <c r="J30" s="2133"/>
      <c r="K30" s="2134"/>
      <c r="L30" s="2135"/>
      <c r="M30" s="2136"/>
    </row>
    <row r="31" spans="1:37" ht="18" customHeight="1">
      <c r="A31" s="555" t="s">
        <v>2229</v>
      </c>
      <c r="B31" s="537" t="s">
        <v>375</v>
      </c>
      <c r="C31" s="197">
        <f ca="1">ROUND(IF(项目基本情况!B7="自然人",C5*F31,C32+C33+C34),1)</f>
        <v>4516.3</v>
      </c>
      <c r="D31" s="2434" t="s">
        <v>837</v>
      </c>
      <c r="E31" s="2436" t="s">
        <v>878</v>
      </c>
      <c r="F31" s="561" t="str">
        <f>IF(项目基本情况!B7="企业","",IF('数据-取费表'!B10="住宅",5%,IF(F6*F7*F8/12/(1+'数据-取费表'!F30)&gt;20000,12%,7%)))</f>
        <v/>
      </c>
      <c r="G31" s="1268"/>
      <c r="H31" s="2131"/>
      <c r="I31" s="2132"/>
      <c r="J31" s="2133"/>
      <c r="K31" s="2134"/>
      <c r="L31" s="2135"/>
      <c r="M31" s="2136"/>
    </row>
    <row r="32" spans="1:37" ht="18" customHeight="1">
      <c r="A32" s="555" t="s">
        <v>2231</v>
      </c>
      <c r="B32" s="537" t="s">
        <v>839</v>
      </c>
      <c r="C32" s="197">
        <f ca="1">IF(项目基本情况!B7="自然人","——",ROUND(C5*F32/(1+'数据-取费表'!F30),0))</f>
        <v>1795</v>
      </c>
      <c r="D32" s="2436" t="s">
        <v>840</v>
      </c>
      <c r="E32" s="537" t="s">
        <v>832</v>
      </c>
      <c r="F32" s="570">
        <f>'数据-取费表'!E29</f>
        <v>5.6000000000000001E-2</v>
      </c>
      <c r="G32" s="1268"/>
      <c r="H32" s="2137"/>
      <c r="I32" s="2138"/>
      <c r="J32" s="2139"/>
      <c r="K32" s="2140"/>
      <c r="L32" s="2141"/>
      <c r="M32" s="2142"/>
    </row>
    <row r="33" spans="1:18" ht="18" customHeight="1">
      <c r="A33" s="555" t="s">
        <v>2232</v>
      </c>
      <c r="B33" s="537" t="s">
        <v>842</v>
      </c>
      <c r="C33" s="197">
        <f ca="1">IF(项目基本情况!B7="自然人","——",IF(D33="按租金收入计税",ROUND(C5*F33,1),IF(D33="按房产原值计税",ROUND(C29*F33*0.7,1),'数据-取费表'!B43)))</f>
        <v>2671.3</v>
      </c>
      <c r="D33" s="1091" t="s">
        <v>2218</v>
      </c>
      <c r="E33" s="537" t="s">
        <v>377</v>
      </c>
      <c r="F33" s="560">
        <f>IF(D33="按票据","——",IF(D33="按租金收入计税",'数据-取费表'!E39,'数据-取费表'!E38))</f>
        <v>1.2E-2</v>
      </c>
      <c r="G33" s="1268"/>
      <c r="H33" s="2143"/>
      <c r="I33" s="581" t="s">
        <v>398</v>
      </c>
      <c r="J33" s="582"/>
      <c r="K33" s="2144"/>
      <c r="L33" s="2143"/>
      <c r="M33" s="2143"/>
    </row>
    <row r="34" spans="1:18" ht="18" customHeight="1">
      <c r="A34" s="2442" t="s">
        <v>2233</v>
      </c>
      <c r="B34" s="297" t="s">
        <v>879</v>
      </c>
      <c r="C34" s="198">
        <f>IF(项目基本情况!B7="自然人","——",ROUND(F34*F35,0))</f>
        <v>50</v>
      </c>
      <c r="D34" s="564" t="s">
        <v>880</v>
      </c>
      <c r="E34" s="537" t="s">
        <v>881</v>
      </c>
      <c r="F34" s="565">
        <f>'数据-取费表'!E40</f>
        <v>5</v>
      </c>
      <c r="G34" s="1268"/>
      <c r="H34" s="2131"/>
      <c r="I34" s="583" t="s">
        <v>882</v>
      </c>
      <c r="J34" s="584">
        <f ca="1">ROUND(C13*J35,0)</f>
        <v>24677</v>
      </c>
      <c r="K34" s="2145"/>
      <c r="L34" s="2146"/>
      <c r="M34" s="2146"/>
    </row>
    <row r="35" spans="1:18" ht="24.6" customHeight="1">
      <c r="A35" s="2453"/>
      <c r="B35" s="546"/>
      <c r="C35" s="202"/>
      <c r="D35" s="567"/>
      <c r="E35" s="537" t="s">
        <v>850</v>
      </c>
      <c r="F35" s="538">
        <f>IF(D1="仅计算典型户型",'数据-取费表'!E6,'数据-取费表'!B6)</f>
        <v>9.9</v>
      </c>
      <c r="G35" s="1268"/>
      <c r="H35" s="2131"/>
      <c r="I35" s="585" t="s">
        <v>883</v>
      </c>
      <c r="J35" s="586">
        <f>'数据-取费表'!B17</f>
        <v>0.08</v>
      </c>
      <c r="K35" s="2144"/>
      <c r="L35" s="2143"/>
      <c r="M35" s="2143"/>
    </row>
    <row r="36" spans="1:18" ht="18" customHeight="1">
      <c r="A36" s="2452" t="s">
        <v>2230</v>
      </c>
      <c r="B36" s="537" t="s">
        <v>852</v>
      </c>
      <c r="C36" s="197">
        <f ca="1">ROUND(C29*F36,0)</f>
        <v>4770</v>
      </c>
      <c r="D36" s="2436" t="s">
        <v>884</v>
      </c>
      <c r="E36" s="537" t="s">
        <v>885</v>
      </c>
      <c r="F36" s="568">
        <f>'数据-取费表'!B44</f>
        <v>1.4999999999999999E-2</v>
      </c>
      <c r="G36" s="1268"/>
      <c r="H36" s="2143"/>
      <c r="I36" s="587" t="s">
        <v>886</v>
      </c>
      <c r="J36" s="588"/>
      <c r="K36" s="2147"/>
      <c r="L36" s="2143"/>
      <c r="M36" s="2143"/>
    </row>
    <row r="37" spans="1:18" ht="18" customHeight="1">
      <c r="A37" s="555" t="s">
        <v>2224</v>
      </c>
      <c r="B37" s="537" t="s">
        <v>380</v>
      </c>
      <c r="C37" s="197">
        <f ca="1">ROUND(C13*F37,0)</f>
        <v>463</v>
      </c>
      <c r="D37" s="2436" t="s">
        <v>381</v>
      </c>
      <c r="E37" s="537" t="s">
        <v>382</v>
      </c>
      <c r="F37" s="569">
        <f>'数据-取费表'!B45</f>
        <v>1.5E-3</v>
      </c>
      <c r="G37" s="1268"/>
      <c r="H37" s="2143"/>
      <c r="I37" s="433" t="s">
        <v>870</v>
      </c>
      <c r="J37" s="589"/>
      <c r="K37" s="2147"/>
      <c r="L37" s="2143"/>
      <c r="M37" s="2143"/>
    </row>
    <row r="38" spans="1:18" ht="18" customHeight="1" thickBot="1">
      <c r="A38" s="2497" t="s">
        <v>2225</v>
      </c>
      <c r="B38" s="2498" t="s">
        <v>379</v>
      </c>
      <c r="C38" s="2499">
        <f ca="1">ROUND(C5*F38,0)</f>
        <v>673</v>
      </c>
      <c r="D38" s="2500" t="s">
        <v>383</v>
      </c>
      <c r="E38" s="2498" t="s">
        <v>382</v>
      </c>
      <c r="F38" s="2493">
        <f>'数据-取费表'!B46</f>
        <v>0.02</v>
      </c>
      <c r="G38" s="1268"/>
      <c r="H38" s="2143"/>
      <c r="I38" s="583" t="s">
        <v>871</v>
      </c>
      <c r="J38" s="437">
        <f ca="1">ROUND(J34/C39,3)</f>
        <v>1.0620000000000001</v>
      </c>
      <c r="K38" s="2148"/>
      <c r="L38" s="2143"/>
      <c r="M38" s="2143"/>
    </row>
    <row r="39" spans="1:18" ht="18" customHeight="1" thickTop="1">
      <c r="A39" s="2485" t="s">
        <v>45</v>
      </c>
      <c r="B39" s="2502" t="s">
        <v>389</v>
      </c>
      <c r="C39" s="545">
        <f ca="1">C5-C30</f>
        <v>23231</v>
      </c>
      <c r="D39" s="2503" t="s">
        <v>390</v>
      </c>
      <c r="E39" s="2504"/>
      <c r="F39" s="2505"/>
      <c r="G39" s="1268"/>
      <c r="H39" s="2143"/>
      <c r="I39" s="583" t="s">
        <v>872</v>
      </c>
      <c r="J39" s="437">
        <f ca="1">1-J38</f>
        <v>-6.2000000000000055E-2</v>
      </c>
      <c r="K39" s="2148"/>
      <c r="L39" s="2143"/>
      <c r="M39" s="2143"/>
    </row>
    <row r="40" spans="1:18" s="1268" customFormat="1" ht="18" customHeight="1">
      <c r="A40" s="534" t="s">
        <v>46</v>
      </c>
      <c r="B40" s="535" t="s">
        <v>391</v>
      </c>
      <c r="C40" s="536">
        <f ca="1">ROUND(C39*(1-((1+F42)/(1+F40))^F41)/(F40-F42),0)</f>
        <v>879171</v>
      </c>
      <c r="D40" s="564" t="s">
        <v>385</v>
      </c>
      <c r="E40" s="537" t="s">
        <v>386</v>
      </c>
      <c r="F40" s="547">
        <f>'数据-取费表'!B16</f>
        <v>4.4999999999999998E-2</v>
      </c>
      <c r="H40" s="2149"/>
      <c r="I40" s="433" t="s">
        <v>399</v>
      </c>
      <c r="J40" s="434"/>
      <c r="K40" s="2148"/>
      <c r="L40" s="2149"/>
      <c r="M40" s="2149"/>
      <c r="Q40" s="1272"/>
    </row>
    <row r="41" spans="1:18" s="1268" customFormat="1" ht="18" customHeight="1">
      <c r="A41" s="539"/>
      <c r="B41" s="540"/>
      <c r="C41" s="541"/>
      <c r="D41" s="572" t="s">
        <v>392</v>
      </c>
      <c r="E41" s="3005" t="s">
        <v>2800</v>
      </c>
      <c r="F41" s="573">
        <f>IF('数据-取费表'!B28="租赁期内按合同租金",'数据-取费表'!B34,IF(E41="收益年期(n)",'数据-取费表'!B33,'数据-取费表'!B13))</f>
        <v>58</v>
      </c>
      <c r="H41" s="2150"/>
      <c r="I41" s="436" t="s">
        <v>369</v>
      </c>
      <c r="J41" s="437">
        <f ca="1">ROUND(C13/C40,3)</f>
        <v>0.35099999999999998</v>
      </c>
      <c r="K41" s="2147"/>
      <c r="L41" s="2150"/>
      <c r="M41" s="2150"/>
      <c r="Q41" s="1272"/>
    </row>
    <row r="42" spans="1:18" s="1268" customFormat="1" ht="18" customHeight="1">
      <c r="A42" s="543"/>
      <c r="B42" s="544"/>
      <c r="C42" s="545"/>
      <c r="D42" s="567"/>
      <c r="E42" s="537" t="s">
        <v>394</v>
      </c>
      <c r="F42" s="547">
        <f>'数据-取费表'!B31</f>
        <v>0.03</v>
      </c>
      <c r="H42" s="2150"/>
      <c r="I42" s="436" t="s">
        <v>370</v>
      </c>
      <c r="J42" s="438">
        <f ca="1">1-J41</f>
        <v>0.64900000000000002</v>
      </c>
      <c r="K42" s="2147"/>
      <c r="L42" s="2150"/>
      <c r="M42" s="2150"/>
      <c r="Q42" s="1272"/>
    </row>
    <row r="43" spans="1:18" s="1268" customFormat="1" ht="18" customHeight="1" thickBot="1">
      <c r="A43" s="574" t="s">
        <v>47</v>
      </c>
      <c r="B43" s="575" t="s">
        <v>395</v>
      </c>
      <c r="C43" s="576">
        <f ca="1">ROUND(C40/F43,0)</f>
        <v>9958</v>
      </c>
      <c r="D43" s="577" t="s">
        <v>396</v>
      </c>
      <c r="E43" s="578" t="s">
        <v>397</v>
      </c>
      <c r="F43" s="579">
        <f>IF(D1="仅计算典型户型",'数据-取费表'!E5,'数据-取费表'!B5)</f>
        <v>88.29</v>
      </c>
      <c r="G43" s="1270"/>
      <c r="H43" s="2150"/>
      <c r="I43" s="2150"/>
      <c r="J43" s="2150"/>
      <c r="K43" s="2147"/>
      <c r="L43" s="2150"/>
      <c r="M43" s="2150"/>
      <c r="O43" s="2387" t="s">
        <v>2332</v>
      </c>
      <c r="P43" s="2388"/>
      <c r="Q43" s="2384"/>
      <c r="R43" s="2388"/>
    </row>
    <row r="44" spans="1:18" s="1268" customFormat="1" ht="18" customHeight="1" thickBot="1">
      <c r="A44" s="1224"/>
      <c r="B44" s="1224"/>
      <c r="C44" s="1267"/>
      <c r="D44" s="1224"/>
      <c r="E44" s="1224"/>
      <c r="F44" s="1224"/>
      <c r="G44" s="1270"/>
      <c r="K44" s="1269"/>
      <c r="O44" s="2389" t="s">
        <v>2333</v>
      </c>
      <c r="P44" s="2390" t="s">
        <v>2334</v>
      </c>
      <c r="Q44" s="2391" t="s">
        <v>2335</v>
      </c>
      <c r="R44" s="2392" t="s">
        <v>2336</v>
      </c>
    </row>
    <row r="45" spans="1:18" s="1268" customFormat="1" ht="18" customHeight="1" thickBot="1">
      <c r="A45" s="1224"/>
      <c r="B45" s="1224"/>
      <c r="C45" s="1267"/>
      <c r="D45" s="1224"/>
      <c r="E45" s="1224"/>
      <c r="F45" s="1224"/>
      <c r="G45" s="1271"/>
      <c r="K45" s="1269"/>
      <c r="O45" s="2393" t="s">
        <v>2337</v>
      </c>
      <c r="P45" s="2402" t="s">
        <v>2363</v>
      </c>
      <c r="Q45" s="2395">
        <f ca="1">C40+J29</f>
        <v>879171</v>
      </c>
      <c r="R45" s="2396" t="s">
        <v>2338</v>
      </c>
    </row>
    <row r="46" spans="1:18" s="1268" customFormat="1" ht="18" customHeight="1" thickBot="1">
      <c r="A46" s="1224"/>
      <c r="D46" s="1224"/>
      <c r="E46" s="1224"/>
      <c r="F46" s="1224"/>
      <c r="K46" s="1269"/>
      <c r="O46" s="2393" t="s">
        <v>2339</v>
      </c>
      <c r="P46" s="2402" t="s">
        <v>2364</v>
      </c>
      <c r="Q46" s="2395" t="str">
        <f>J61</f>
        <v>0</v>
      </c>
      <c r="R46" s="2396" t="s">
        <v>2340</v>
      </c>
    </row>
    <row r="47" spans="1:18" s="1268" customFormat="1" ht="21" thickBot="1">
      <c r="A47" s="2270" t="s">
        <v>2222</v>
      </c>
      <c r="B47" s="2267"/>
      <c r="C47" s="2279">
        <f ca="1">IF(C2="元",C69-C40,ROUND((C69-C40)/10000,0))</f>
        <v>-110</v>
      </c>
      <c r="D47" s="2280" t="str">
        <f>C2</f>
        <v>万元</v>
      </c>
      <c r="E47" s="1224"/>
      <c r="F47" s="1224"/>
      <c r="I47" s="2355" t="s">
        <v>2303</v>
      </c>
      <c r="J47" s="2356"/>
      <c r="K47" s="2357"/>
      <c r="L47" s="2383">
        <f>IF(M48="住宅",0,IF(L49&gt;J52,L61,J61))</f>
        <v>0</v>
      </c>
      <c r="O47" s="2397" t="s">
        <v>2341</v>
      </c>
      <c r="P47" s="2402" t="s">
        <v>2365</v>
      </c>
      <c r="Q47" s="2395">
        <f ca="1">C29</f>
        <v>318008</v>
      </c>
      <c r="R47" s="2396" t="s">
        <v>2338</v>
      </c>
    </row>
    <row r="48" spans="1:18" s="1268" customFormat="1" ht="15.75" thickBot="1">
      <c r="A48" s="530" t="s">
        <v>815</v>
      </c>
      <c r="B48" s="531" t="s">
        <v>816</v>
      </c>
      <c r="C48" s="531" t="s">
        <v>817</v>
      </c>
      <c r="D48" s="531" t="s">
        <v>818</v>
      </c>
      <c r="E48" s="2273" t="s">
        <v>819</v>
      </c>
      <c r="F48" s="2274"/>
      <c r="H48" s="2348"/>
      <c r="I48" s="2358" t="s">
        <v>2304</v>
      </c>
      <c r="J48" s="2359" t="s">
        <v>6364</v>
      </c>
      <c r="K48" s="2360" t="s">
        <v>2305</v>
      </c>
      <c r="L48" s="2361">
        <f>'数据-取费表'!B11</f>
        <v>70</v>
      </c>
      <c r="M48" s="2384" t="str">
        <f>IF('数据-取费表'!B10="住宅","住宅","非住宅")</f>
        <v>住宅</v>
      </c>
      <c r="O48" s="2397" t="s">
        <v>2342</v>
      </c>
      <c r="P48" s="2394" t="s">
        <v>2343</v>
      </c>
      <c r="Q48" s="2398" t="e">
        <f>J59</f>
        <v>#VALUE!</v>
      </c>
      <c r="R48" s="2396"/>
    </row>
    <row r="49" spans="1:18" s="1268" customFormat="1" ht="15.75" thickBot="1">
      <c r="A49" s="2528" t="s">
        <v>2513</v>
      </c>
      <c r="B49" s="535" t="s">
        <v>820</v>
      </c>
      <c r="C49" s="2529">
        <f ca="1">C50+C54+C56</f>
        <v>0</v>
      </c>
      <c r="D49" s="2530"/>
      <c r="E49" s="318"/>
      <c r="F49" s="199"/>
      <c r="H49" s="2348"/>
      <c r="I49" s="2351" t="s">
        <v>2306</v>
      </c>
      <c r="J49" s="2362" t="s">
        <v>2292</v>
      </c>
      <c r="K49" s="2363" t="s">
        <v>2307</v>
      </c>
      <c r="L49" s="1946">
        <f>'数据-取费表'!B13</f>
        <v>64.84</v>
      </c>
      <c r="O49" s="2397" t="s">
        <v>2344</v>
      </c>
      <c r="P49" s="2394" t="s">
        <v>2345</v>
      </c>
      <c r="Q49" s="2398">
        <f>J53</f>
        <v>0.09</v>
      </c>
      <c r="R49" s="2396"/>
    </row>
    <row r="50" spans="1:18" s="1268" customFormat="1" ht="15.75" thickBot="1">
      <c r="A50" s="563" t="s">
        <v>2515</v>
      </c>
      <c r="B50" s="1814" t="s">
        <v>2514</v>
      </c>
      <c r="C50" s="536">
        <f>ROUND(F50*F52*F51*(1-F53),0)</f>
        <v>0</v>
      </c>
      <c r="D50" s="310" t="s">
        <v>821</v>
      </c>
      <c r="E50" s="2272" t="s">
        <v>2221</v>
      </c>
      <c r="F50" s="2275"/>
      <c r="H50" s="2348"/>
      <c r="I50" s="2351" t="s">
        <v>2308</v>
      </c>
      <c r="J50" s="1946">
        <f>'数据-取费表'!B26</f>
        <v>2015</v>
      </c>
      <c r="K50" s="2364" t="s">
        <v>2309</v>
      </c>
      <c r="L50" s="2365"/>
      <c r="O50" s="2397" t="s">
        <v>2346</v>
      </c>
      <c r="P50" s="2394" t="s">
        <v>2347</v>
      </c>
      <c r="Q50" s="2395">
        <f>J54</f>
        <v>58</v>
      </c>
      <c r="R50" s="2396" t="s">
        <v>2348</v>
      </c>
    </row>
    <row r="51" spans="1:18" s="1268" customFormat="1" ht="15.75" thickBot="1">
      <c r="A51" s="539"/>
      <c r="B51" s="540"/>
      <c r="C51" s="541"/>
      <c r="D51" s="542"/>
      <c r="E51" s="557" t="s">
        <v>823</v>
      </c>
      <c r="F51" s="2271">
        <f>F7</f>
        <v>1</v>
      </c>
      <c r="H51" s="2348"/>
      <c r="I51" s="2351" t="s">
        <v>2310</v>
      </c>
      <c r="J51" s="2366">
        <f>SUMPRODUCT((I64:I66=J48)*(J63:L63=J49)*(J64:L66))</f>
        <v>60</v>
      </c>
      <c r="K51" s="2364" t="s">
        <v>2311</v>
      </c>
      <c r="L51" s="2365"/>
      <c r="O51" s="2393" t="s">
        <v>2349</v>
      </c>
      <c r="P51" s="2394" t="str">
        <f>IF(C2="元","收益价值(元)","收益价值(万元)")</f>
        <v>收益价值(万元)</v>
      </c>
      <c r="Q51" s="2395">
        <f ca="1">ROUND(IF(C2="元",Q45+Q46,(Q45+Q46)/10000),0)</f>
        <v>88</v>
      </c>
      <c r="R51" s="2396" t="s">
        <v>2350</v>
      </c>
    </row>
    <row r="52" spans="1:18" s="1268" customFormat="1" ht="16.5" thickBot="1">
      <c r="A52" s="539"/>
      <c r="B52" s="540"/>
      <c r="C52" s="541"/>
      <c r="D52" s="542"/>
      <c r="E52" s="537" t="s">
        <v>824</v>
      </c>
      <c r="F52" s="538">
        <f>F8</f>
        <v>12</v>
      </c>
      <c r="H52" s="2348"/>
      <c r="I52" s="2367" t="s">
        <v>2312</v>
      </c>
      <c r="J52" s="2368">
        <f>IF(J50="",J51,J50+J51-YEAR('数据-取费表'!B2))</f>
        <v>58</v>
      </c>
      <c r="K52" s="2369" t="s">
        <v>2313</v>
      </c>
      <c r="L52" s="2370">
        <f ca="1">ROUND(-PV('数据-取费表'!B15,L49,(C40-C13*J35)),0)</f>
        <v>19682734</v>
      </c>
      <c r="O52" s="2387" t="s">
        <v>2351</v>
      </c>
      <c r="P52" s="2388"/>
      <c r="Q52" s="2384"/>
      <c r="R52" s="2388"/>
    </row>
    <row r="53" spans="1:18" s="1268" customFormat="1" ht="15.75" thickBot="1">
      <c r="A53" s="543"/>
      <c r="B53" s="544"/>
      <c r="C53" s="545"/>
      <c r="D53" s="546"/>
      <c r="E53" s="537" t="s">
        <v>825</v>
      </c>
      <c r="F53" s="2382"/>
      <c r="H53" s="2348"/>
      <c r="I53" s="2371" t="s">
        <v>2314</v>
      </c>
      <c r="J53" s="2372">
        <v>0.09</v>
      </c>
      <c r="K53" s="2371" t="s">
        <v>2315</v>
      </c>
      <c r="L53" s="2372">
        <v>5.5E-2</v>
      </c>
      <c r="O53" s="2389" t="s">
        <v>2333</v>
      </c>
      <c r="P53" s="2390" t="s">
        <v>2334</v>
      </c>
      <c r="Q53" s="2391" t="s">
        <v>2335</v>
      </c>
      <c r="R53" s="2392" t="s">
        <v>2336</v>
      </c>
    </row>
    <row r="54" spans="1:18" s="1268" customFormat="1" ht="29.25" thickBot="1">
      <c r="A54" s="2442" t="s">
        <v>2230</v>
      </c>
      <c r="B54" s="2445" t="s">
        <v>2436</v>
      </c>
      <c r="C54" s="2444">
        <f ca="1">ROUND(IF(F54="押一",F50*F51*F52/12*F11,IF(F54="押二",F50*F51*F52/12*2*F11,IF(F54="押三",F50*F51*F52/12*3*F11,C55*F11))),0)</f>
        <v>0</v>
      </c>
      <c r="D54" s="2443" t="s">
        <v>2439</v>
      </c>
      <c r="E54" s="2438" t="s">
        <v>2440</v>
      </c>
      <c r="F54" s="2446"/>
      <c r="H54" s="2348"/>
      <c r="I54" s="2373" t="s">
        <v>2316</v>
      </c>
      <c r="J54" s="2374">
        <f>IF(M48="住宅",J52,MIN(J52,L49))</f>
        <v>58</v>
      </c>
      <c r="K54" s="351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16"/>
      <c r="O54" s="2393" t="s">
        <v>2337</v>
      </c>
      <c r="P54" s="2402" t="s">
        <v>2363</v>
      </c>
      <c r="Q54" s="2395">
        <f ca="1">C40+J29</f>
        <v>879171</v>
      </c>
      <c r="R54" s="2396" t="s">
        <v>2338</v>
      </c>
    </row>
    <row r="55" spans="1:18" s="1268" customFormat="1" ht="20.25" thickBot="1">
      <c r="A55" s="2442"/>
      <c r="B55" s="2600" t="s">
        <v>2565</v>
      </c>
      <c r="C55" s="2483"/>
      <c r="D55" s="2599"/>
      <c r="E55" s="2531"/>
      <c r="F55" s="2276"/>
      <c r="H55" s="2348"/>
      <c r="I55" s="2149"/>
      <c r="J55" s="2375"/>
      <c r="K55" s="2375"/>
      <c r="L55" s="2375"/>
      <c r="O55" s="2393" t="s">
        <v>2339</v>
      </c>
      <c r="P55" s="2402" t="s">
        <v>2366</v>
      </c>
      <c r="Q55" s="2395">
        <f>L61</f>
        <v>0</v>
      </c>
      <c r="R55" s="2396" t="s">
        <v>2352</v>
      </c>
    </row>
    <row r="56" spans="1:18" s="1268" customFormat="1" ht="20.25" thickBot="1">
      <c r="A56" s="2489" t="s">
        <v>2504</v>
      </c>
      <c r="B56" s="2490" t="s">
        <v>2442</v>
      </c>
      <c r="C56" s="2491"/>
      <c r="D56" s="2602"/>
      <c r="E56" s="2603"/>
      <c r="F56" s="2604"/>
      <c r="H56" s="2348"/>
      <c r="I56" s="3100" t="s">
        <v>2317</v>
      </c>
      <c r="J56" s="3102" t="e">
        <f>ROUND(IF(J48="钢混",J58/J51,1-(1-2%)*(J51-J58)/J51),3)</f>
        <v>#VALUE!</v>
      </c>
      <c r="K56" s="2376" t="s">
        <v>2318</v>
      </c>
      <c r="L56" s="2377" t="s">
        <v>8055</v>
      </c>
      <c r="O56" s="2397" t="s">
        <v>2341</v>
      </c>
      <c r="P56" s="2394" t="s">
        <v>2367</v>
      </c>
      <c r="Q56" s="2395">
        <f>IF(L56="比较法",L50,IF(L56="基准地价",L51,0))</f>
        <v>0</v>
      </c>
      <c r="R56" s="2396" t="s">
        <v>2338</v>
      </c>
    </row>
    <row r="57" spans="1:18" s="1268" customFormat="1" ht="44.25" thickTop="1" thickBot="1">
      <c r="A57" s="2485">
        <v>2</v>
      </c>
      <c r="B57" s="2486" t="s">
        <v>826</v>
      </c>
      <c r="C57" s="2601">
        <f ca="1">C13</f>
        <v>308468</v>
      </c>
      <c r="D57" s="2268"/>
      <c r="E57" s="2269"/>
      <c r="F57" s="2278"/>
      <c r="H57" s="2348"/>
      <c r="I57" s="2349" t="s">
        <v>2319</v>
      </c>
      <c r="J57" s="2381" t="s">
        <v>2892</v>
      </c>
      <c r="K57" s="2351" t="s">
        <v>2324</v>
      </c>
      <c r="L57" s="1946">
        <f>IF(L49&lt;J52,"——",L49-J52)</f>
        <v>6.8400000000000034</v>
      </c>
      <c r="O57" s="2397" t="s">
        <v>2342</v>
      </c>
      <c r="P57" s="2394" t="s">
        <v>2353</v>
      </c>
      <c r="Q57" s="2398">
        <f>L53</f>
        <v>5.5E-2</v>
      </c>
      <c r="R57" s="2396"/>
    </row>
    <row r="58" spans="1:18" s="1268" customFormat="1" ht="29.25" thickBot="1">
      <c r="A58" s="2277"/>
      <c r="B58" s="537" t="s">
        <v>877</v>
      </c>
      <c r="C58" s="405">
        <f ca="1">C29</f>
        <v>318008</v>
      </c>
      <c r="D58" s="2268"/>
      <c r="E58" s="2269"/>
      <c r="F58" s="2278"/>
      <c r="H58" s="2348"/>
      <c r="I58" s="2350" t="s">
        <v>2320</v>
      </c>
      <c r="J58" s="2380" t="str">
        <f>IF(OR(M48="住宅",J52&lt;L49,J57="是"),"——",J52-L49)</f>
        <v>——</v>
      </c>
      <c r="K58" s="2351" t="s">
        <v>2325</v>
      </c>
      <c r="L58" s="1946">
        <f>IF(L49&lt;J52,"——",IF(L56="比较法",L50,IF(L56="基准地价",L51,L52)))</f>
        <v>0</v>
      </c>
      <c r="O58" s="2397" t="s">
        <v>2344</v>
      </c>
      <c r="P58" s="2394" t="s">
        <v>2354</v>
      </c>
      <c r="Q58" s="2395">
        <f>L59</f>
        <v>0.99231945823248369</v>
      </c>
      <c r="R58" s="2396" t="s">
        <v>2355</v>
      </c>
    </row>
    <row r="59" spans="1:18" s="1268" customFormat="1" ht="29.25" thickBot="1">
      <c r="A59" s="550" t="s">
        <v>37</v>
      </c>
      <c r="B59" s="551" t="s">
        <v>833</v>
      </c>
      <c r="C59" s="552">
        <f ca="1">ROUND(C60+C65+C66+C67,0)</f>
        <v>7954</v>
      </c>
      <c r="D59" s="195" t="s">
        <v>834</v>
      </c>
      <c r="E59" s="2266"/>
      <c r="F59" s="199"/>
      <c r="H59" s="2348"/>
      <c r="I59" s="2350" t="s">
        <v>2321</v>
      </c>
      <c r="J59" s="3101" t="e">
        <f>IF(J56&lt;0.4,0.4,J56)</f>
        <v>#VALUE!</v>
      </c>
      <c r="K59" s="2369" t="s">
        <v>2326</v>
      </c>
      <c r="L59" s="1946">
        <f>IF(ISERROR(POWER(1+L53,L48-L49)*(POWER(1+L53,L49)-1)/(POWER(1+L53,L48)-1)),0,POWER(1+L53,L48-L49)*(POWER(1+L53,L49)-1)/(POWER(1+L53,L48)-1))</f>
        <v>0.99231945823248369</v>
      </c>
      <c r="O59" s="2397" t="s">
        <v>2346</v>
      </c>
      <c r="P59" s="2394" t="s">
        <v>2356</v>
      </c>
      <c r="Q59" s="2395">
        <f>L60</f>
        <v>0.97824742196677072</v>
      </c>
      <c r="R59" s="2396" t="s">
        <v>2357</v>
      </c>
    </row>
    <row r="60" spans="1:18" s="1268" customFormat="1" ht="29.25" thickBot="1">
      <c r="A60" s="555" t="s">
        <v>38</v>
      </c>
      <c r="B60" s="537" t="s">
        <v>375</v>
      </c>
      <c r="C60" s="197">
        <f ca="1">ROUND(IF(项目基本情况!B7="自然人",C49*F60,C61+C62+C63),1)</f>
        <v>2721.3</v>
      </c>
      <c r="D60" s="2263" t="s">
        <v>837</v>
      </c>
      <c r="E60" s="2264" t="s">
        <v>878</v>
      </c>
      <c r="F60" s="561" t="str">
        <f>IF(项目基本情况!B7="企业","",IF('数据-取费表'!B10="住宅",5%,IF(F50*F51*F52/12/(1+'数据-取费表'!F30)&gt;20000,12%,7%)))</f>
        <v/>
      </c>
      <c r="I60" s="2350" t="s">
        <v>2322</v>
      </c>
      <c r="J60" s="2380" t="str">
        <f>IF(OR(M48="住宅",J52&lt;L49,J57="是"),"——",ROUND(C29*J59,0))</f>
        <v>——</v>
      </c>
      <c r="K60" s="2369" t="s">
        <v>2327</v>
      </c>
      <c r="L60" s="1946">
        <f>IF(ISERROR(POWER(1+L53,L48-J52)*(POWER(1+L53,J52)-1)/(POWER(1+L53,L48)-1)),0,POWER(1+L53,L48-J52)*(POWER(1+L53,J52)-1)/(POWER(1+L53,L48)-1))</f>
        <v>0.97824742196677072</v>
      </c>
      <c r="O60" s="2393" t="s">
        <v>2349</v>
      </c>
      <c r="P60" s="2394" t="str">
        <f>IF(C2="元","收益价值(元)","收益价值(万元)")</f>
        <v>收益价值(万元)</v>
      </c>
      <c r="Q60" s="2395">
        <f ca="1">ROUND(IF(C2="元",Q54+Q55,(Q54+Q55)/10000),0)</f>
        <v>88</v>
      </c>
      <c r="R60" s="2396" t="s">
        <v>2350</v>
      </c>
    </row>
    <row r="61" spans="1:18" s="1268" customFormat="1" ht="16.5" thickBot="1">
      <c r="A61" s="555" t="s">
        <v>39</v>
      </c>
      <c r="B61" s="537" t="s">
        <v>839</v>
      </c>
      <c r="C61" s="197">
        <f ca="1">IF(项目基本情况!B7="自然人","——",ROUND(C49*F61/(1+'数据-取费表'!F30),0))</f>
        <v>0</v>
      </c>
      <c r="D61" s="2264" t="s">
        <v>840</v>
      </c>
      <c r="E61" s="537" t="s">
        <v>377</v>
      </c>
      <c r="F61" s="570">
        <f t="shared" ref="F61:F67" si="0">F32</f>
        <v>5.6000000000000001E-2</v>
      </c>
      <c r="I61" s="2352" t="s">
        <v>2323</v>
      </c>
      <c r="J61" s="2379" t="str">
        <f>IF(OR(M48="住宅",J52&lt;L49,J57="是"),"0",ROUND(J60/(1+J53)^J54,0))</f>
        <v>0</v>
      </c>
      <c r="K61" s="2378" t="s">
        <v>2328</v>
      </c>
      <c r="L61" s="2379">
        <f>IF(OR(M48="住宅",L49&lt;J52),0,ROUND(L58*(L59/L60-1),0))</f>
        <v>0</v>
      </c>
      <c r="O61" s="2387" t="s">
        <v>2358</v>
      </c>
      <c r="P61" s="2388"/>
      <c r="Q61" s="2384"/>
      <c r="R61" s="2388"/>
    </row>
    <row r="62" spans="1:18" s="1268" customFormat="1" ht="15.75" thickBot="1">
      <c r="A62" s="555" t="s">
        <v>40</v>
      </c>
      <c r="B62" s="537" t="s">
        <v>842</v>
      </c>
      <c r="C62" s="197">
        <f ca="1">IF(项目基本情况!B7="自然人","——",IF(D62="按租金收入计税",ROUND(C49*F62,1),IF(D62="按房产原值计税",ROUND(C58*F62*0.7,1),'数据-取费表'!B43)))</f>
        <v>2671.3</v>
      </c>
      <c r="D62" s="1091" t="s">
        <v>2218</v>
      </c>
      <c r="E62" s="537" t="s">
        <v>377</v>
      </c>
      <c r="F62" s="560">
        <f t="shared" si="0"/>
        <v>1.2E-2</v>
      </c>
      <c r="O62" s="2389" t="s">
        <v>2333</v>
      </c>
      <c r="P62" s="2390" t="s">
        <v>2334</v>
      </c>
      <c r="Q62" s="2391" t="s">
        <v>2335</v>
      </c>
      <c r="R62" s="2392" t="s">
        <v>2336</v>
      </c>
    </row>
    <row r="63" spans="1:18" s="1268" customFormat="1" ht="15.75" thickBot="1">
      <c r="A63" s="563" t="s">
        <v>41</v>
      </c>
      <c r="B63" s="297" t="s">
        <v>879</v>
      </c>
      <c r="C63" s="198">
        <f>IF(项目基本情况!B7="自然人","——",ROUND(F63*F64,0))</f>
        <v>50</v>
      </c>
      <c r="D63" s="564" t="s">
        <v>880</v>
      </c>
      <c r="E63" s="537" t="s">
        <v>881</v>
      </c>
      <c r="F63" s="565">
        <f t="shared" si="0"/>
        <v>5</v>
      </c>
      <c r="I63" s="2353" t="s">
        <v>2302</v>
      </c>
      <c r="J63" s="2354" t="s">
        <v>2294</v>
      </c>
      <c r="K63" s="2354" t="s">
        <v>2296</v>
      </c>
      <c r="L63" s="2354" t="s">
        <v>2292</v>
      </c>
      <c r="M63" s="3105" t="s">
        <v>2900</v>
      </c>
      <c r="O63" s="2393" t="s">
        <v>2337</v>
      </c>
      <c r="P63" s="2402" t="s">
        <v>2368</v>
      </c>
      <c r="Q63" s="2395">
        <f ca="1">C40+J29</f>
        <v>879171</v>
      </c>
      <c r="R63" s="2396" t="s">
        <v>2338</v>
      </c>
    </row>
    <row r="64" spans="1:18" s="1268" customFormat="1" ht="20.25" thickBot="1">
      <c r="A64" s="566"/>
      <c r="B64" s="546"/>
      <c r="C64" s="202"/>
      <c r="D64" s="567"/>
      <c r="E64" s="537" t="s">
        <v>850</v>
      </c>
      <c r="F64" s="538">
        <f t="shared" si="0"/>
        <v>9.9</v>
      </c>
      <c r="I64" s="2353" t="s">
        <v>2329</v>
      </c>
      <c r="J64" s="3106">
        <v>70</v>
      </c>
      <c r="K64" s="3106">
        <v>50</v>
      </c>
      <c r="L64" s="3106">
        <v>80</v>
      </c>
      <c r="M64" s="3103">
        <v>0.02</v>
      </c>
      <c r="O64" s="2393" t="s">
        <v>2339</v>
      </c>
      <c r="P64" s="2402" t="s">
        <v>2366</v>
      </c>
      <c r="Q64" s="2395">
        <f>L61</f>
        <v>0</v>
      </c>
      <c r="R64" s="2396" t="s">
        <v>2352</v>
      </c>
    </row>
    <row r="65" spans="1:18" s="1268" customFormat="1" ht="23.25" thickBot="1">
      <c r="A65" s="555" t="s">
        <v>42</v>
      </c>
      <c r="B65" s="537" t="s">
        <v>852</v>
      </c>
      <c r="C65" s="197">
        <f ca="1">ROUND(C58*F65,0)</f>
        <v>4770</v>
      </c>
      <c r="D65" s="2264" t="s">
        <v>884</v>
      </c>
      <c r="E65" s="537" t="s">
        <v>885</v>
      </c>
      <c r="F65" s="568">
        <f t="shared" si="0"/>
        <v>1.4999999999999999E-2</v>
      </c>
      <c r="I65" s="2353" t="s">
        <v>2330</v>
      </c>
      <c r="J65" s="3106">
        <v>50</v>
      </c>
      <c r="K65" s="3106">
        <v>35</v>
      </c>
      <c r="L65" s="3106">
        <v>60</v>
      </c>
      <c r="M65" s="3104">
        <v>0</v>
      </c>
      <c r="O65" s="2397" t="s">
        <v>2341</v>
      </c>
      <c r="P65" s="2394" t="s">
        <v>2367</v>
      </c>
      <c r="Q65" s="2399">
        <f ca="1">L52</f>
        <v>19682734</v>
      </c>
      <c r="R65" s="2400" t="s">
        <v>2372</v>
      </c>
    </row>
    <row r="66" spans="1:18" s="1268" customFormat="1" ht="20.25" thickBot="1">
      <c r="A66" s="555" t="s">
        <v>43</v>
      </c>
      <c r="B66" s="537" t="s">
        <v>380</v>
      </c>
      <c r="C66" s="197">
        <f ca="1">ROUND(C57*F66,0)</f>
        <v>463</v>
      </c>
      <c r="D66" s="2264" t="s">
        <v>381</v>
      </c>
      <c r="E66" s="537" t="s">
        <v>382</v>
      </c>
      <c r="F66" s="569">
        <f t="shared" si="0"/>
        <v>1.5E-3</v>
      </c>
      <c r="I66" s="2353" t="s">
        <v>2331</v>
      </c>
      <c r="J66" s="3106">
        <v>40</v>
      </c>
      <c r="K66" s="3106">
        <v>30</v>
      </c>
      <c r="L66" s="3106">
        <v>50</v>
      </c>
      <c r="M66" s="3103">
        <v>0.02</v>
      </c>
      <c r="O66" s="2397" t="s">
        <v>2342</v>
      </c>
      <c r="P66" s="2401" t="s">
        <v>2369</v>
      </c>
      <c r="Q66" s="2395">
        <f ca="1">ROUND(Q67-Q68*Q69,0)</f>
        <v>-1446</v>
      </c>
      <c r="R66" s="2396"/>
    </row>
    <row r="67" spans="1:18" s="1268" customFormat="1" ht="15.75" thickBot="1">
      <c r="A67" s="555" t="s">
        <v>44</v>
      </c>
      <c r="B67" s="537" t="s">
        <v>379</v>
      </c>
      <c r="C67" s="197">
        <f ca="1">ROUND(C49*F67,0)</f>
        <v>0</v>
      </c>
      <c r="D67" s="2264" t="s">
        <v>383</v>
      </c>
      <c r="E67" s="537" t="s">
        <v>382</v>
      </c>
      <c r="F67" s="547">
        <f t="shared" si="0"/>
        <v>0.02</v>
      </c>
      <c r="O67" s="2397" t="s">
        <v>2359</v>
      </c>
      <c r="P67" s="2403" t="s">
        <v>2370</v>
      </c>
      <c r="Q67" s="2395">
        <f ca="1">C39</f>
        <v>23231</v>
      </c>
      <c r="R67" s="2396" t="s">
        <v>2338</v>
      </c>
    </row>
    <row r="68" spans="1:18" ht="24.75" thickBot="1">
      <c r="A68" s="550" t="s">
        <v>45</v>
      </c>
      <c r="B68" s="306" t="s">
        <v>389</v>
      </c>
      <c r="C68" s="552">
        <f ca="1">C49-C59</f>
        <v>-7954</v>
      </c>
      <c r="D68" s="2263" t="s">
        <v>390</v>
      </c>
      <c r="E68" s="2265"/>
      <c r="F68" s="571"/>
      <c r="H68" s="1268"/>
      <c r="I68" s="1268"/>
      <c r="J68" s="1268"/>
      <c r="K68" s="1268"/>
      <c r="L68" s="1268"/>
      <c r="M68" s="1268"/>
      <c r="O68" s="2397" t="s">
        <v>2360</v>
      </c>
      <c r="P68" s="2403" t="s">
        <v>2371</v>
      </c>
      <c r="Q68" s="2395">
        <f ca="1">C13</f>
        <v>308468</v>
      </c>
      <c r="R68" s="2396" t="s">
        <v>2338</v>
      </c>
    </row>
    <row r="69" spans="1:18" ht="15.75" thickBot="1">
      <c r="A69" s="534" t="s">
        <v>46</v>
      </c>
      <c r="B69" s="535" t="s">
        <v>391</v>
      </c>
      <c r="C69" s="536">
        <f ca="1">ROUND(C68*(1-((1+F71)/(1+F69))^F70)/(F69-F71),0)</f>
        <v>-216184</v>
      </c>
      <c r="D69" s="564" t="s">
        <v>385</v>
      </c>
      <c r="E69" s="537" t="s">
        <v>386</v>
      </c>
      <c r="F69" s="547">
        <f>F40</f>
        <v>4.4999999999999998E-2</v>
      </c>
      <c r="H69" s="1268"/>
      <c r="I69" s="1268"/>
      <c r="J69" s="1268"/>
      <c r="K69" s="1268"/>
      <c r="L69" s="1268"/>
      <c r="M69" s="1268"/>
      <c r="O69" s="2397" t="s">
        <v>2361</v>
      </c>
      <c r="P69" s="2401" t="s">
        <v>2362</v>
      </c>
      <c r="Q69" s="2398">
        <f>J35</f>
        <v>0.08</v>
      </c>
      <c r="R69" s="2396"/>
    </row>
    <row r="70" spans="1:18" ht="15.75" thickBot="1">
      <c r="A70" s="539"/>
      <c r="B70" s="540"/>
      <c r="C70" s="541"/>
      <c r="D70" s="572" t="s">
        <v>392</v>
      </c>
      <c r="E70" s="537" t="s">
        <v>393</v>
      </c>
      <c r="F70" s="573">
        <f>F41</f>
        <v>58</v>
      </c>
      <c r="H70" s="1268"/>
      <c r="I70" s="1268"/>
      <c r="J70" s="1268"/>
      <c r="K70" s="1268"/>
      <c r="L70" s="1268"/>
      <c r="M70" s="1268"/>
      <c r="O70" s="2397" t="s">
        <v>2344</v>
      </c>
      <c r="P70" s="2394" t="s">
        <v>2353</v>
      </c>
      <c r="Q70" s="2398">
        <f>L53</f>
        <v>5.5E-2</v>
      </c>
      <c r="R70" s="2396"/>
    </row>
    <row r="71" spans="1:18" ht="20.25" thickBot="1">
      <c r="A71" s="543"/>
      <c r="B71" s="544"/>
      <c r="C71" s="545"/>
      <c r="D71" s="567"/>
      <c r="E71" s="537" t="s">
        <v>394</v>
      </c>
      <c r="F71" s="2382">
        <v>1.4999999999999999E-2</v>
      </c>
      <c r="H71" s="1268"/>
      <c r="M71" s="1268"/>
      <c r="O71" s="2397" t="s">
        <v>2346</v>
      </c>
      <c r="P71" s="2394" t="s">
        <v>2354</v>
      </c>
      <c r="Q71" s="2395">
        <f>L59</f>
        <v>0.99231945823248369</v>
      </c>
      <c r="R71" s="2396" t="s">
        <v>2355</v>
      </c>
    </row>
    <row r="72" spans="1:18" ht="20.25" thickBot="1">
      <c r="A72" s="574" t="s">
        <v>47</v>
      </c>
      <c r="B72" s="575" t="s">
        <v>395</v>
      </c>
      <c r="C72" s="576">
        <f ca="1">ROUND(C69/F72,0)</f>
        <v>-2449</v>
      </c>
      <c r="D72" s="577" t="s">
        <v>396</v>
      </c>
      <c r="E72" s="578" t="s">
        <v>397</v>
      </c>
      <c r="F72" s="579">
        <f>F43</f>
        <v>88.29</v>
      </c>
      <c r="O72" s="2397" t="s">
        <v>2373</v>
      </c>
      <c r="P72" s="2394" t="s">
        <v>2356</v>
      </c>
      <c r="Q72" s="2395">
        <f>L60</f>
        <v>0.97824742196677072</v>
      </c>
      <c r="R72" s="2396" t="s">
        <v>2357</v>
      </c>
    </row>
    <row r="73" spans="1:18" ht="15.75" thickBot="1">
      <c r="A73" s="1268"/>
      <c r="B73" s="1272"/>
      <c r="C73" s="1272"/>
      <c r="D73" s="1268"/>
      <c r="E73" s="1268"/>
      <c r="F73" s="1268"/>
      <c r="O73" s="2393" t="s">
        <v>2349</v>
      </c>
      <c r="P73" s="2394" t="str">
        <f>IF(C2="元","收益价值(元)","收益价值(万元)")</f>
        <v>收益价值(万元)</v>
      </c>
      <c r="Q73" s="2395">
        <f ca="1">ROUND(IF(C2="元",Q63+Q64,(Q63+Q64)/10000),0)</f>
        <v>88</v>
      </c>
      <c r="R73" s="2396" t="s">
        <v>2350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33" t="s">
        <v>2494</v>
      </c>
      <c r="B1" s="3534"/>
      <c r="C1" s="3535"/>
      <c r="D1" s="3536">
        <f>SUM(I10,I15,I20,I21,I23)</f>
        <v>0</v>
      </c>
      <c r="E1" s="3536"/>
      <c r="F1" s="3536"/>
      <c r="G1" s="3536"/>
      <c r="H1" s="3536"/>
      <c r="I1" s="3537"/>
    </row>
    <row r="2" spans="1:9">
      <c r="A2" s="3523" t="s">
        <v>2495</v>
      </c>
      <c r="B2" s="3524" t="s">
        <v>2444</v>
      </c>
      <c r="C2" s="3524"/>
      <c r="D2" s="2454" t="s">
        <v>2445</v>
      </c>
      <c r="E2" s="2454" t="s">
        <v>2446</v>
      </c>
      <c r="F2" s="2454" t="s">
        <v>2447</v>
      </c>
      <c r="G2" s="2454" t="s">
        <v>2448</v>
      </c>
      <c r="H2" s="2454" t="s">
        <v>2449</v>
      </c>
      <c r="I2" s="2455" t="s">
        <v>2450</v>
      </c>
    </row>
    <row r="3" spans="1:9">
      <c r="A3" s="3523"/>
      <c r="B3" s="3524" t="s">
        <v>2451</v>
      </c>
      <c r="C3" s="3524"/>
      <c r="D3" s="2456"/>
      <c r="E3" s="2454"/>
      <c r="F3" s="2457"/>
      <c r="G3" s="2457"/>
      <c r="H3" s="2458"/>
      <c r="I3" s="2459">
        <f>ROUND(D3*E3*F3*G3*H3/10000,0)</f>
        <v>0</v>
      </c>
    </row>
    <row r="4" spans="1:9">
      <c r="A4" s="3523"/>
      <c r="B4" s="3524" t="s">
        <v>2452</v>
      </c>
      <c r="C4" s="3524"/>
      <c r="D4" s="2456"/>
      <c r="E4" s="2454"/>
      <c r="F4" s="2457"/>
      <c r="G4" s="2457"/>
      <c r="H4" s="2458"/>
      <c r="I4" s="2459">
        <f t="shared" ref="I4:I9" si="0">ROUND(D4*E4*F4*G4*H4/10000,0)</f>
        <v>0</v>
      </c>
    </row>
    <row r="5" spans="1:9">
      <c r="A5" s="3523"/>
      <c r="B5" s="3524" t="s">
        <v>2453</v>
      </c>
      <c r="C5" s="3524"/>
      <c r="D5" s="2456"/>
      <c r="E5" s="2454"/>
      <c r="F5" s="2457"/>
      <c r="G5" s="2457"/>
      <c r="H5" s="2458"/>
      <c r="I5" s="2459">
        <f t="shared" si="0"/>
        <v>0</v>
      </c>
    </row>
    <row r="6" spans="1:9">
      <c r="A6" s="3523"/>
      <c r="B6" s="3524" t="s">
        <v>2454</v>
      </c>
      <c r="C6" s="3524"/>
      <c r="D6" s="2456"/>
      <c r="E6" s="2454"/>
      <c r="F6" s="2457"/>
      <c r="G6" s="2457"/>
      <c r="H6" s="2458"/>
      <c r="I6" s="2459">
        <f t="shared" si="0"/>
        <v>0</v>
      </c>
    </row>
    <row r="7" spans="1:9">
      <c r="A7" s="3523"/>
      <c r="B7" s="3524" t="s">
        <v>2455</v>
      </c>
      <c r="C7" s="3524"/>
      <c r="D7" s="2456"/>
      <c r="E7" s="2454"/>
      <c r="F7" s="2457"/>
      <c r="G7" s="2457"/>
      <c r="H7" s="2458"/>
      <c r="I7" s="2459">
        <f t="shared" si="0"/>
        <v>0</v>
      </c>
    </row>
    <row r="8" spans="1:9">
      <c r="A8" s="3523"/>
      <c r="B8" s="3524" t="s">
        <v>2456</v>
      </c>
      <c r="C8" s="3524"/>
      <c r="D8" s="2456"/>
      <c r="E8" s="2454"/>
      <c r="F8" s="2457"/>
      <c r="G8" s="2457"/>
      <c r="H8" s="2458"/>
      <c r="I8" s="2459">
        <f t="shared" si="0"/>
        <v>0</v>
      </c>
    </row>
    <row r="9" spans="1:9">
      <c r="A9" s="3523"/>
      <c r="B9" s="3524" t="s">
        <v>2457</v>
      </c>
      <c r="C9" s="3524"/>
      <c r="D9" s="2456"/>
      <c r="E9" s="2454"/>
      <c r="F9" s="2457"/>
      <c r="G9" s="2457"/>
      <c r="H9" s="2458"/>
      <c r="I9" s="2459">
        <f t="shared" si="0"/>
        <v>0</v>
      </c>
    </row>
    <row r="10" spans="1:9">
      <c r="A10" s="3523"/>
      <c r="B10" s="3525" t="s">
        <v>2458</v>
      </c>
      <c r="C10" s="3525"/>
      <c r="D10" s="2460">
        <v>527</v>
      </c>
      <c r="E10" s="2460" t="e">
        <f>ROUND(D1*10000/D10/H9,0)</f>
        <v>#DIV/0!</v>
      </c>
      <c r="F10" s="2461"/>
      <c r="G10" s="2461"/>
      <c r="H10" s="2462"/>
      <c r="I10" s="2463">
        <f>SUM(I3:I9)</f>
        <v>0</v>
      </c>
    </row>
    <row r="11" spans="1:9" ht="14.25">
      <c r="A11" s="3523" t="s">
        <v>2496</v>
      </c>
      <c r="B11" s="3524" t="s">
        <v>2459</v>
      </c>
      <c r="C11" s="3524"/>
      <c r="D11" s="2456" t="s">
        <v>2460</v>
      </c>
      <c r="E11" s="2456" t="s">
        <v>2461</v>
      </c>
      <c r="F11" s="2457" t="s">
        <v>2462</v>
      </c>
      <c r="G11" s="2457" t="s">
        <v>2449</v>
      </c>
      <c r="H11" s="2464" t="s">
        <v>2463</v>
      </c>
      <c r="I11" s="2455" t="s">
        <v>2450</v>
      </c>
    </row>
    <row r="12" spans="1:9">
      <c r="A12" s="3523"/>
      <c r="B12" s="3524" t="s">
        <v>2464</v>
      </c>
      <c r="C12" s="3524"/>
      <c r="D12" s="2456"/>
      <c r="E12" s="2456"/>
      <c r="F12" s="2457"/>
      <c r="G12" s="2458"/>
      <c r="H12" s="2465"/>
      <c r="I12" s="2455">
        <f>ROUND(D12*E12*F12*G12/10000,0)</f>
        <v>0</v>
      </c>
    </row>
    <row r="13" spans="1:9">
      <c r="A13" s="3523"/>
      <c r="B13" s="3524" t="s">
        <v>2465</v>
      </c>
      <c r="C13" s="3524"/>
      <c r="D13" s="2456"/>
      <c r="E13" s="2456"/>
      <c r="F13" s="2457"/>
      <c r="G13" s="2458"/>
      <c r="H13" s="2465"/>
      <c r="I13" s="2455">
        <f>ROUND(D13*E13*F13*G13/10000,0)</f>
        <v>0</v>
      </c>
    </row>
    <row r="14" spans="1:9">
      <c r="A14" s="3523"/>
      <c r="B14" s="3524" t="s">
        <v>2466</v>
      </c>
      <c r="C14" s="3524"/>
      <c r="D14" s="2456"/>
      <c r="E14" s="2456"/>
      <c r="F14" s="2457"/>
      <c r="G14" s="2458"/>
      <c r="H14" s="2465"/>
      <c r="I14" s="2455">
        <f>ROUND(D14*E14*F14*G14/10000,0)</f>
        <v>0</v>
      </c>
    </row>
    <row r="15" spans="1:9">
      <c r="A15" s="3523"/>
      <c r="B15" s="3525" t="s">
        <v>2458</v>
      </c>
      <c r="C15" s="3525"/>
      <c r="D15" s="2460"/>
      <c r="E15" s="2460">
        <f>SUM(E12:E14)</f>
        <v>0</v>
      </c>
      <c r="F15" s="2461"/>
      <c r="G15" s="2458"/>
      <c r="H15" s="2465"/>
      <c r="I15" s="2466">
        <f>SUM(I12:I14)</f>
        <v>0</v>
      </c>
    </row>
    <row r="16" spans="1:9" ht="24">
      <c r="A16" s="3523" t="s">
        <v>2497</v>
      </c>
      <c r="B16" s="3524" t="s">
        <v>2467</v>
      </c>
      <c r="C16" s="3524"/>
      <c r="D16" s="2456" t="s">
        <v>2445</v>
      </c>
      <c r="E16" s="2467" t="s">
        <v>2468</v>
      </c>
      <c r="F16" s="2457" t="s">
        <v>2469</v>
      </c>
      <c r="G16" s="2458" t="s">
        <v>2449</v>
      </c>
      <c r="H16" s="2464" t="s">
        <v>2463</v>
      </c>
      <c r="I16" s="2455" t="s">
        <v>2450</v>
      </c>
    </row>
    <row r="17" spans="1:9" ht="14.25">
      <c r="A17" s="3523"/>
      <c r="B17" s="3524" t="s">
        <v>2470</v>
      </c>
      <c r="C17" s="3524"/>
      <c r="D17" s="2456"/>
      <c r="E17" s="2456"/>
      <c r="F17" s="2457"/>
      <c r="G17" s="2458"/>
      <c r="H17" s="2468"/>
      <c r="I17" s="2469">
        <f>ROUND(D17*E17*F17*G17/10000,0)</f>
        <v>0</v>
      </c>
    </row>
    <row r="18" spans="1:9" ht="14.25">
      <c r="A18" s="3523"/>
      <c r="B18" s="3524" t="s">
        <v>2471</v>
      </c>
      <c r="C18" s="3524"/>
      <c r="D18" s="2456"/>
      <c r="E18" s="2456"/>
      <c r="F18" s="2457"/>
      <c r="G18" s="2458"/>
      <c r="H18" s="2468"/>
      <c r="I18" s="2469">
        <f>ROUND(D18*E18*F18*G18/10000,0)</f>
        <v>0</v>
      </c>
    </row>
    <row r="19" spans="1:9" ht="14.25">
      <c r="A19" s="3523"/>
      <c r="B19" s="3524" t="s">
        <v>2472</v>
      </c>
      <c r="C19" s="3524"/>
      <c r="D19" s="2456"/>
      <c r="E19" s="2456"/>
      <c r="F19" s="2457"/>
      <c r="G19" s="2458"/>
      <c r="H19" s="2468"/>
      <c r="I19" s="2469">
        <f>ROUND(D19*E19*F19*G19/10000,0)</f>
        <v>0</v>
      </c>
    </row>
    <row r="20" spans="1:9">
      <c r="A20" s="3523"/>
      <c r="B20" s="3525" t="s">
        <v>2458</v>
      </c>
      <c r="C20" s="3525"/>
      <c r="D20" s="2460">
        <f>SUM(D17:D19)</f>
        <v>0</v>
      </c>
      <c r="E20" s="2460"/>
      <c r="F20" s="2461"/>
      <c r="G20" s="2458"/>
      <c r="H20" s="2465"/>
      <c r="I20" s="2466">
        <f>SUM(I17:I19)</f>
        <v>0</v>
      </c>
    </row>
    <row r="21" spans="1:9">
      <c r="A21" s="3523" t="s">
        <v>2498</v>
      </c>
      <c r="B21" s="3526"/>
      <c r="C21" s="3526"/>
      <c r="D21" s="3526"/>
      <c r="E21" s="3526"/>
      <c r="F21" s="3526"/>
      <c r="G21" s="3526"/>
      <c r="H21" s="2470">
        <v>0.1</v>
      </c>
      <c r="I21" s="2463">
        <f>ROUND(I10*H21,0)</f>
        <v>0</v>
      </c>
    </row>
    <row r="22" spans="1:9" ht="14.25">
      <c r="A22" s="3527" t="s">
        <v>2499</v>
      </c>
      <c r="B22" s="3528"/>
      <c r="C22" s="3529"/>
      <c r="D22" s="2471" t="s">
        <v>2473</v>
      </c>
      <c r="E22" s="2471" t="s">
        <v>2474</v>
      </c>
      <c r="F22" s="2472" t="s">
        <v>2449</v>
      </c>
      <c r="G22" s="2472" t="s">
        <v>2475</v>
      </c>
      <c r="H22" s="2464" t="s">
        <v>2463</v>
      </c>
      <c r="I22" s="2455" t="s">
        <v>2450</v>
      </c>
    </row>
    <row r="23" spans="1:9" ht="14.25" thickBot="1">
      <c r="A23" s="3530"/>
      <c r="B23" s="3531"/>
      <c r="C23" s="3532"/>
      <c r="D23" s="2473"/>
      <c r="E23" s="2473"/>
      <c r="F23" s="2473"/>
      <c r="G23" s="2474"/>
      <c r="H23" s="2475"/>
      <c r="I23" s="2476">
        <f>ROUND(E23*D23*F23*(1-G23)/10000,0)</f>
        <v>0</v>
      </c>
    </row>
    <row r="26" spans="1:9">
      <c r="A26" s="2477" t="s">
        <v>2476</v>
      </c>
      <c r="B26" s="2477"/>
      <c r="C26" s="2477"/>
      <c r="D26" s="2477"/>
      <c r="E26" s="3520">
        <f>C27-C30-C31-C32</f>
        <v>0</v>
      </c>
      <c r="F26" s="3520"/>
      <c r="G26" s="3520"/>
      <c r="H26" s="3011" t="s">
        <v>2804</v>
      </c>
    </row>
    <row r="27" spans="1:9">
      <c r="A27" s="2478">
        <v>1</v>
      </c>
      <c r="B27" s="2479" t="s">
        <v>2477</v>
      </c>
      <c r="C27" s="2479">
        <f>C28+C29</f>
        <v>0</v>
      </c>
      <c r="D27" s="2479"/>
      <c r="E27" s="3521"/>
      <c r="F27" s="3521"/>
      <c r="G27" s="3521"/>
    </row>
    <row r="28" spans="1:9">
      <c r="A28" s="2480" t="s">
        <v>2478</v>
      </c>
      <c r="B28" s="2479" t="s">
        <v>2479</v>
      </c>
      <c r="C28" s="2479"/>
      <c r="D28" s="2479"/>
      <c r="E28" s="3521"/>
      <c r="F28" s="3521"/>
      <c r="G28" s="3521"/>
    </row>
    <row r="29" spans="1:9">
      <c r="A29" s="2480" t="s">
        <v>2480</v>
      </c>
      <c r="B29" s="2479" t="s">
        <v>2481</v>
      </c>
      <c r="C29" s="2479"/>
      <c r="D29" s="2479"/>
      <c r="E29" s="2479" t="s">
        <v>2482</v>
      </c>
      <c r="F29" s="2479"/>
      <c r="G29" s="2479"/>
    </row>
    <row r="30" spans="1:9">
      <c r="A30" s="2478">
        <v>2</v>
      </c>
      <c r="B30" s="2479" t="s">
        <v>2483</v>
      </c>
      <c r="C30" s="2479">
        <f>C27*D30</f>
        <v>0</v>
      </c>
      <c r="D30" s="2481">
        <v>0.2</v>
      </c>
      <c r="E30" s="2479" t="s">
        <v>2484</v>
      </c>
      <c r="F30" s="2479"/>
      <c r="G30" s="2479"/>
    </row>
    <row r="31" spans="1:9">
      <c r="A31" s="2478">
        <v>3</v>
      </c>
      <c r="B31" s="2479" t="s">
        <v>2485</v>
      </c>
      <c r="C31" s="2479">
        <f>C25*D31</f>
        <v>0</v>
      </c>
      <c r="D31" s="2481">
        <v>0.15</v>
      </c>
      <c r="E31" s="2479" t="s">
        <v>2486</v>
      </c>
      <c r="F31" s="2479"/>
      <c r="G31" s="2479"/>
    </row>
    <row r="32" spans="1:9">
      <c r="A32" s="2478">
        <v>4</v>
      </c>
      <c r="B32" s="2479" t="s">
        <v>2487</v>
      </c>
      <c r="C32" s="2479">
        <f>C27*D32</f>
        <v>0</v>
      </c>
      <c r="D32" s="2481">
        <v>0.05</v>
      </c>
      <c r="E32" s="3522"/>
      <c r="F32" s="3522"/>
      <c r="G32" s="3522"/>
    </row>
    <row r="33" spans="1:7" hidden="1">
      <c r="A33" s="3517" t="s">
        <v>2488</v>
      </c>
      <c r="B33" s="3518"/>
      <c r="C33" s="3518"/>
      <c r="D33" s="3519"/>
      <c r="E33" s="3520"/>
      <c r="F33" s="3520"/>
      <c r="G33" s="3520"/>
    </row>
    <row r="34" spans="1:7" hidden="1">
      <c r="A34" s="2482">
        <v>1</v>
      </c>
      <c r="B34" s="2479" t="s">
        <v>2489</v>
      </c>
      <c r="C34" s="2479"/>
      <c r="D34" s="2479"/>
      <c r="E34" s="3521"/>
      <c r="F34" s="3521"/>
      <c r="G34" s="3521"/>
    </row>
    <row r="35" spans="1:7" hidden="1">
      <c r="A35" s="2482">
        <v>2</v>
      </c>
      <c r="B35" s="2479" t="s">
        <v>2490</v>
      </c>
      <c r="C35" s="2479"/>
      <c r="D35" s="2479"/>
      <c r="E35" s="3521"/>
      <c r="F35" s="3521"/>
      <c r="G35" s="3521"/>
    </row>
    <row r="36" spans="1:7" hidden="1">
      <c r="A36" s="2482">
        <v>3</v>
      </c>
      <c r="B36" s="2479" t="s">
        <v>2491</v>
      </c>
      <c r="C36" s="2479"/>
      <c r="D36" s="2479"/>
      <c r="E36" s="3521"/>
      <c r="F36" s="3521"/>
      <c r="G36" s="3521"/>
    </row>
    <row r="37" spans="1:7" hidden="1">
      <c r="A37" s="2482">
        <v>4</v>
      </c>
      <c r="B37" s="2479" t="s">
        <v>2492</v>
      </c>
      <c r="C37" s="2479"/>
      <c r="D37" s="2479"/>
      <c r="E37" s="3521"/>
      <c r="F37" s="3521"/>
      <c r="G37" s="3521"/>
    </row>
    <row r="38" spans="1:7" hidden="1">
      <c r="A38" s="3517" t="s">
        <v>2493</v>
      </c>
      <c r="B38" s="3518"/>
      <c r="C38" s="3518"/>
      <c r="D38" s="3519"/>
      <c r="E38" s="3520"/>
      <c r="F38" s="3520"/>
      <c r="G38" s="35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1" zoomScale="80" zoomScaleNormal="80" workbookViewId="0">
      <selection activeCell="L42" sqref="L4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491</v>
      </c>
      <c r="B1" s="592"/>
      <c r="C1" s="593" t="s">
        <v>492</v>
      </c>
      <c r="D1" s="1094"/>
      <c r="E1" s="1094"/>
      <c r="F1" s="1093" t="s">
        <v>401</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357</v>
      </c>
      <c r="B2" s="942" t="e">
        <f>F66</f>
        <v>#N/A</v>
      </c>
      <c r="C2" s="1969" t="s">
        <v>2197</v>
      </c>
      <c r="D2" s="1638"/>
      <c r="E2" s="1639"/>
      <c r="F2" s="1640"/>
      <c r="G2" s="1639"/>
      <c r="H2" s="1639"/>
      <c r="I2" s="1639"/>
      <c r="J2" s="1639"/>
      <c r="K2" s="1641"/>
      <c r="L2" s="2199"/>
      <c r="M2" s="2200"/>
      <c r="N2" s="2200"/>
      <c r="O2" s="2200"/>
      <c r="P2" s="1107"/>
      <c r="Q2" s="1107"/>
      <c r="R2" s="1107"/>
      <c r="S2" s="1107"/>
      <c r="T2" s="1107"/>
      <c r="U2" s="1107"/>
      <c r="V2" s="1107"/>
      <c r="W2" s="1107"/>
      <c r="X2" s="1107"/>
      <c r="Y2" s="1107"/>
      <c r="Z2" s="1107"/>
      <c r="AA2" s="1107"/>
      <c r="AB2" s="1107"/>
      <c r="AC2" s="1108"/>
      <c r="AD2" s="594"/>
    </row>
    <row r="3" spans="1:30" s="595" customFormat="1" ht="28.5" customHeight="1" thickBot="1">
      <c r="A3" s="384" t="s">
        <v>358</v>
      </c>
      <c r="B3" s="811" t="e">
        <f>ROUND(B2/'数据-取费表'!B5,0)</f>
        <v>#N/A</v>
      </c>
      <c r="C3" s="1092" t="s">
        <v>2198</v>
      </c>
      <c r="D3" s="1639"/>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30" ht="15">
      <c r="A4" s="598" t="s">
        <v>402</v>
      </c>
      <c r="B4" s="599"/>
      <c r="C4" s="3560" t="s">
        <v>403</v>
      </c>
      <c r="D4" s="3561"/>
      <c r="E4" s="3562" t="s">
        <v>404</v>
      </c>
      <c r="F4" s="3563"/>
      <c r="G4" s="3560" t="s">
        <v>405</v>
      </c>
      <c r="H4" s="3561"/>
      <c r="I4" s="3560" t="s">
        <v>406</v>
      </c>
      <c r="J4" s="3561"/>
      <c r="K4" s="812" t="s">
        <v>407</v>
      </c>
      <c r="L4" s="2201"/>
      <c r="M4" s="2202"/>
      <c r="N4" s="2202"/>
      <c r="O4" s="2202"/>
      <c r="P4" s="3564" t="s">
        <v>408</v>
      </c>
      <c r="Q4" s="3565"/>
      <c r="R4" s="3548" t="s">
        <v>404</v>
      </c>
      <c r="S4" s="3549"/>
      <c r="T4" s="3548" t="s">
        <v>405</v>
      </c>
      <c r="U4" s="3549"/>
      <c r="V4" s="3545" t="s">
        <v>406</v>
      </c>
      <c r="W4" s="3545"/>
      <c r="X4" s="1109"/>
      <c r="Y4" s="3548" t="s">
        <v>408</v>
      </c>
      <c r="Z4" s="3549"/>
      <c r="AA4" s="3557" t="s">
        <v>404</v>
      </c>
      <c r="AB4" s="3558" t="s">
        <v>405</v>
      </c>
      <c r="AC4" s="3557" t="s">
        <v>406</v>
      </c>
    </row>
    <row r="5" spans="1:30" ht="15">
      <c r="A5" s="601"/>
      <c r="B5" s="602"/>
      <c r="C5" s="3485" t="s">
        <v>1033</v>
      </c>
      <c r="D5" s="3486"/>
      <c r="E5" s="3511" t="s">
        <v>6310</v>
      </c>
      <c r="F5" s="3512"/>
      <c r="G5" s="3485" t="s">
        <v>6336</v>
      </c>
      <c r="H5" s="3486"/>
      <c r="I5" s="3485" t="s">
        <v>6337</v>
      </c>
      <c r="J5" s="3486"/>
      <c r="K5" s="812"/>
      <c r="L5" s="2201"/>
      <c r="M5" s="2202"/>
      <c r="N5" s="2202"/>
      <c r="O5" s="2202"/>
      <c r="P5" s="3566"/>
      <c r="Q5" s="3567"/>
      <c r="R5" s="3550"/>
      <c r="S5" s="3551"/>
      <c r="T5" s="3550"/>
      <c r="U5" s="3551"/>
      <c r="V5" s="3545"/>
      <c r="W5" s="3545"/>
      <c r="X5" s="1109"/>
      <c r="Y5" s="3550"/>
      <c r="Z5" s="3551"/>
      <c r="AA5" s="3558"/>
      <c r="AB5" s="3558"/>
      <c r="AC5" s="3558"/>
    </row>
    <row r="6" spans="1:30" ht="15.75" thickBot="1">
      <c r="A6" s="603"/>
      <c r="B6" s="604"/>
      <c r="C6" s="3483" t="s">
        <v>1036</v>
      </c>
      <c r="D6" s="3484"/>
      <c r="E6" s="3513" t="s">
        <v>6339</v>
      </c>
      <c r="F6" s="3514"/>
      <c r="G6" s="3483" t="s">
        <v>6335</v>
      </c>
      <c r="H6" s="3484"/>
      <c r="I6" s="3483" t="s">
        <v>6338</v>
      </c>
      <c r="J6" s="3484"/>
      <c r="K6" s="812" t="s">
        <v>409</v>
      </c>
      <c r="L6" s="2201"/>
      <c r="M6" s="2202"/>
      <c r="N6" s="2202"/>
      <c r="O6" s="2202"/>
      <c r="P6" s="3568"/>
      <c r="Q6" s="3569"/>
      <c r="R6" s="3550"/>
      <c r="S6" s="3551"/>
      <c r="T6" s="3552"/>
      <c r="U6" s="3553"/>
      <c r="V6" s="3545"/>
      <c r="W6" s="3545"/>
      <c r="X6" s="1109"/>
      <c r="Y6" s="3552"/>
      <c r="Z6" s="3553"/>
      <c r="AA6" s="3559"/>
      <c r="AB6" s="3559"/>
      <c r="AC6" s="3559"/>
    </row>
    <row r="7" spans="1:30" s="218" customFormat="1" ht="15.75" thickBot="1">
      <c r="A7" s="605" t="s">
        <v>410</v>
      </c>
      <c r="B7" s="606"/>
      <c r="C7" s="607">
        <f>'数据-取费表'!B2</f>
        <v>42916</v>
      </c>
      <c r="D7" s="608">
        <v>100</v>
      </c>
      <c r="E7" s="875">
        <v>42272</v>
      </c>
      <c r="F7" s="610">
        <f>SUMIF(70:70,YEAR(E7)&amp;"-"&amp;INT((MONTH(E7)+2)/3),71:71)</f>
        <v>79.28</v>
      </c>
      <c r="G7" s="876"/>
      <c r="H7" s="608">
        <f>SUMIF(70:70,YEAR(G7)&amp;"-"&amp;INT((MONTH(G7)+2)/3),71:71)</f>
        <v>0</v>
      </c>
      <c r="I7" s="876"/>
      <c r="J7" s="608">
        <f>SUMIF(70:70,YEAR(I7)&amp;"-"&amp;INT((MONTH(I7)+2)/3),71:71)</f>
        <v>0</v>
      </c>
      <c r="K7" s="813"/>
      <c r="L7" s="2203"/>
      <c r="M7" s="2204"/>
      <c r="N7" s="2204"/>
      <c r="O7" s="2204"/>
      <c r="P7" s="3546" t="s">
        <v>411</v>
      </c>
      <c r="Q7" s="3554"/>
      <c r="R7" s="1110" t="s">
        <v>60</v>
      </c>
      <c r="S7" s="1111">
        <f t="shared" ref="S7:S15" si="0">F7</f>
        <v>79.28</v>
      </c>
      <c r="T7" s="1110" t="s">
        <v>60</v>
      </c>
      <c r="U7" s="1111">
        <f t="shared" ref="U7:U15" si="1">H7</f>
        <v>0</v>
      </c>
      <c r="V7" s="1110" t="s">
        <v>60</v>
      </c>
      <c r="W7" s="1111">
        <f t="shared" ref="W7:W15" si="2">J7</f>
        <v>0</v>
      </c>
      <c r="X7" s="1112"/>
      <c r="Y7" s="3546" t="s">
        <v>411</v>
      </c>
      <c r="Z7" s="3547"/>
      <c r="AA7" s="1113">
        <f>D7/F7</f>
        <v>1.2613521695257315</v>
      </c>
      <c r="AB7" s="1113" t="e">
        <f>D7/H7</f>
        <v>#DIV/0!</v>
      </c>
      <c r="AC7" s="1113" t="e">
        <f>D7/J7</f>
        <v>#DIV/0!</v>
      </c>
    </row>
    <row r="8" spans="1:30" s="218" customFormat="1" ht="15.75" thickBot="1">
      <c r="A8" s="605" t="s">
        <v>412</v>
      </c>
      <c r="B8" s="606"/>
      <c r="C8" s="878" t="s">
        <v>156</v>
      </c>
      <c r="D8" s="608">
        <v>100</v>
      </c>
      <c r="E8" s="878" t="s">
        <v>156</v>
      </c>
      <c r="F8" s="610">
        <f>SUMIF(73:73,E8,74:74)-SUMIF(73:73,C8,74:74)+100</f>
        <v>100</v>
      </c>
      <c r="G8" s="878" t="s">
        <v>156</v>
      </c>
      <c r="H8" s="608">
        <f>SUMIF(73:73,G8,74:74)-SUMIF(73:73,C8,74:74)+100</f>
        <v>100</v>
      </c>
      <c r="I8" s="878" t="s">
        <v>156</v>
      </c>
      <c r="J8" s="608">
        <f>SUMIF(73:73,I8,74:74)-SUMIF(73:73,C8,74:74)+100</f>
        <v>100</v>
      </c>
      <c r="K8" s="813"/>
      <c r="L8" s="2203"/>
      <c r="M8" s="2204"/>
      <c r="N8" s="2204"/>
      <c r="O8" s="2204"/>
      <c r="P8" s="3546" t="s">
        <v>446</v>
      </c>
      <c r="Q8" s="3547"/>
      <c r="R8" s="1110" t="s">
        <v>60</v>
      </c>
      <c r="S8" s="1111">
        <f t="shared" si="0"/>
        <v>100</v>
      </c>
      <c r="T8" s="1110" t="s">
        <v>60</v>
      </c>
      <c r="U8" s="1111">
        <f t="shared" si="1"/>
        <v>100</v>
      </c>
      <c r="V8" s="1110" t="s">
        <v>60</v>
      </c>
      <c r="W8" s="1111">
        <f t="shared" si="2"/>
        <v>100</v>
      </c>
      <c r="X8" s="1112"/>
      <c r="Y8" s="3546" t="s">
        <v>446</v>
      </c>
      <c r="Z8" s="3547"/>
      <c r="AA8" s="1113">
        <f t="shared" ref="AA8:AA45" si="3">D8/F8</f>
        <v>1</v>
      </c>
      <c r="AB8" s="1113">
        <f t="shared" ref="AB8:AB45" si="4">D8/H8</f>
        <v>1</v>
      </c>
      <c r="AC8" s="1113">
        <f t="shared" ref="AC8:AC45" si="5">D8/J8</f>
        <v>1</v>
      </c>
    </row>
    <row r="9" spans="1:30" s="218" customFormat="1">
      <c r="A9" s="613" t="s">
        <v>413</v>
      </c>
      <c r="B9" s="211" t="s">
        <v>431</v>
      </c>
      <c r="C9" s="880"/>
      <c r="D9" s="234">
        <v>100</v>
      </c>
      <c r="E9" s="880" t="s">
        <v>6305</v>
      </c>
      <c r="F9" s="234">
        <f>SUMIF(75:75,E9,76:76)-SUMIF(75:75,C9,76:76)+100</f>
        <v>200</v>
      </c>
      <c r="G9" s="880" t="s">
        <v>6305</v>
      </c>
      <c r="H9" s="234">
        <f>SUMIF(75:75,G9,76:76)-SUMIF(75:75,C9,76:76)+100</f>
        <v>200</v>
      </c>
      <c r="I9" s="880" t="s">
        <v>6305</v>
      </c>
      <c r="J9" s="234">
        <f>SUMIF(75:75,I9,76:76)-SUMIF(75:75,C9,76:76)+100</f>
        <v>200</v>
      </c>
      <c r="K9" s="813"/>
      <c r="L9" s="2203"/>
      <c r="M9" s="2204"/>
      <c r="N9" s="2204"/>
      <c r="O9" s="2205"/>
      <c r="P9" s="3538" t="s">
        <v>414</v>
      </c>
      <c r="Q9" s="192" t="str">
        <f t="shared" ref="Q9:Q15" si="6">B9</f>
        <v>用途</v>
      </c>
      <c r="R9" s="1110" t="s">
        <v>60</v>
      </c>
      <c r="S9" s="1111">
        <f t="shared" si="0"/>
        <v>200</v>
      </c>
      <c r="T9" s="1110" t="s">
        <v>60</v>
      </c>
      <c r="U9" s="1111">
        <f t="shared" si="1"/>
        <v>200</v>
      </c>
      <c r="V9" s="1110" t="s">
        <v>60</v>
      </c>
      <c r="W9" s="1111">
        <f t="shared" si="2"/>
        <v>200</v>
      </c>
      <c r="X9" s="1112"/>
      <c r="Y9" s="3369" t="s">
        <v>415</v>
      </c>
      <c r="Z9" s="206" t="str">
        <f t="shared" ref="Z9:Z15" si="7">Q9</f>
        <v>用途</v>
      </c>
      <c r="AA9" s="1113">
        <f t="shared" si="3"/>
        <v>0.5</v>
      </c>
      <c r="AB9" s="1113">
        <f t="shared" si="4"/>
        <v>0.5</v>
      </c>
      <c r="AC9" s="1113">
        <f t="shared" si="5"/>
        <v>0.5</v>
      </c>
    </row>
    <row r="10" spans="1:30" s="625" customFormat="1" ht="27">
      <c r="A10" s="619"/>
      <c r="B10" s="620" t="s">
        <v>416</v>
      </c>
      <c r="C10" s="664" t="s">
        <v>6308</v>
      </c>
      <c r="D10" s="235">
        <v>100</v>
      </c>
      <c r="E10" s="664" t="s">
        <v>6308</v>
      </c>
      <c r="F10" s="235">
        <f>ROUND(100/'数据-取费表'!B14,0)</f>
        <v>102</v>
      </c>
      <c r="G10" s="662" t="s">
        <v>6309</v>
      </c>
      <c r="H10" s="235">
        <f>ROUND(100/'数据-取费表'!B14,0)</f>
        <v>102</v>
      </c>
      <c r="I10" s="662" t="s">
        <v>6309</v>
      </c>
      <c r="J10" s="235">
        <f>ROUND(100/'数据-取费表'!B14,0)</f>
        <v>102</v>
      </c>
      <c r="K10" s="943"/>
      <c r="L10" s="2206"/>
      <c r="M10" s="2207"/>
      <c r="N10" s="2207"/>
      <c r="O10" s="2208"/>
      <c r="P10" s="3538"/>
      <c r="Q10" s="192" t="str">
        <f t="shared" si="6"/>
        <v>土地使用年限（年）</v>
      </c>
      <c r="R10" s="1110" t="s">
        <v>60</v>
      </c>
      <c r="S10" s="1111">
        <f t="shared" si="0"/>
        <v>102</v>
      </c>
      <c r="T10" s="1110" t="s">
        <v>60</v>
      </c>
      <c r="U10" s="1111">
        <f t="shared" si="1"/>
        <v>102</v>
      </c>
      <c r="V10" s="1110" t="s">
        <v>60</v>
      </c>
      <c r="W10" s="1111">
        <f t="shared" si="2"/>
        <v>102</v>
      </c>
      <c r="X10" s="1112"/>
      <c r="Y10" s="3369"/>
      <c r="Z10" s="206" t="str">
        <f t="shared" si="7"/>
        <v>土地使用年限（年）</v>
      </c>
      <c r="AA10" s="1113">
        <f t="shared" si="3"/>
        <v>0.98039215686274506</v>
      </c>
      <c r="AB10" s="1113">
        <f t="shared" si="4"/>
        <v>0.98039215686274506</v>
      </c>
      <c r="AC10" s="1113">
        <f t="shared" si="5"/>
        <v>0.98039215686274506</v>
      </c>
    </row>
    <row r="11" spans="1:30" ht="15.75" thickBot="1">
      <c r="A11" s="626"/>
      <c r="B11" s="620" t="s">
        <v>417</v>
      </c>
      <c r="C11" s="627">
        <v>2</v>
      </c>
      <c r="D11" s="235">
        <v>100</v>
      </c>
      <c r="E11" s="627">
        <v>2.2000000000000002</v>
      </c>
      <c r="F11" s="235">
        <f>LOOKUP(E11,80:80,81:81)-LOOKUP(C11,80:80,81:81)+100</f>
        <v>100</v>
      </c>
      <c r="G11" s="628">
        <v>2.2000000000000002</v>
      </c>
      <c r="H11" s="235">
        <f>LOOKUP(G11,80:80,81:81)-LOOKUP(C11,80:80,81:81)+100</f>
        <v>100</v>
      </c>
      <c r="I11" s="627">
        <v>2.2000000000000002</v>
      </c>
      <c r="J11" s="235">
        <f>LOOKUP(I11,80:80,81:81)-LOOKUP(C11,80:80,81:81)+100</f>
        <v>100</v>
      </c>
      <c r="K11" s="944">
        <v>1</v>
      </c>
      <c r="L11" s="2209"/>
      <c r="M11" s="2202"/>
      <c r="N11" s="2202"/>
      <c r="O11" s="2210"/>
      <c r="P11" s="3538"/>
      <c r="Q11" s="192" t="str">
        <f t="shared" si="6"/>
        <v>容积率</v>
      </c>
      <c r="R11" s="1110" t="s">
        <v>60</v>
      </c>
      <c r="S11" s="1111">
        <f t="shared" si="0"/>
        <v>100</v>
      </c>
      <c r="T11" s="1110" t="s">
        <v>60</v>
      </c>
      <c r="U11" s="1111">
        <f t="shared" si="1"/>
        <v>100</v>
      </c>
      <c r="V11" s="1110" t="s">
        <v>60</v>
      </c>
      <c r="W11" s="1111">
        <f t="shared" si="2"/>
        <v>100</v>
      </c>
      <c r="X11" s="1112"/>
      <c r="Y11" s="3369"/>
      <c r="Z11" s="206" t="str">
        <f t="shared" si="7"/>
        <v>容积率</v>
      </c>
      <c r="AA11" s="1113">
        <f t="shared" si="3"/>
        <v>1</v>
      </c>
      <c r="AB11" s="1113">
        <f t="shared" si="4"/>
        <v>1</v>
      </c>
      <c r="AC11" s="1113">
        <f t="shared" si="5"/>
        <v>1</v>
      </c>
    </row>
    <row r="12" spans="1:30" s="218" customFormat="1" ht="15" hidden="1">
      <c r="A12" s="629"/>
      <c r="B12" s="889"/>
      <c r="C12" s="882"/>
      <c r="D12" s="631">
        <v>100</v>
      </c>
      <c r="E12" s="884"/>
      <c r="F12" s="235">
        <f>SUMIF(82:82,E12,83:83)-SUMIF(82:82,C12,83:83)+100</f>
        <v>100</v>
      </c>
      <c r="G12" s="885"/>
      <c r="H12" s="235">
        <f>SUMIF(82:82,G12,83:83)-SUMIF(82:82,C12,83:83)+100</f>
        <v>100</v>
      </c>
      <c r="I12" s="884"/>
      <c r="J12" s="235">
        <f>SUMIF(82:82,I12,83:83)-SUMIF(82:82,C12,83:83)+100</f>
        <v>100</v>
      </c>
      <c r="K12" s="943"/>
      <c r="L12" s="2203"/>
      <c r="M12" s="2204"/>
      <c r="N12" s="2204"/>
      <c r="O12" s="2205"/>
      <c r="P12" s="3538"/>
      <c r="Q12" s="192">
        <f t="shared" si="6"/>
        <v>0</v>
      </c>
      <c r="R12" s="1110" t="s">
        <v>60</v>
      </c>
      <c r="S12" s="1111">
        <f t="shared" si="0"/>
        <v>100</v>
      </c>
      <c r="T12" s="1110" t="s">
        <v>60</v>
      </c>
      <c r="U12" s="1111">
        <f t="shared" si="1"/>
        <v>100</v>
      </c>
      <c r="V12" s="1110" t="s">
        <v>60</v>
      </c>
      <c r="W12" s="1111">
        <f t="shared" si="2"/>
        <v>100</v>
      </c>
      <c r="X12" s="1112"/>
      <c r="Y12" s="3369"/>
      <c r="Z12" s="206">
        <f t="shared" si="7"/>
        <v>0</v>
      </c>
      <c r="AA12" s="1113">
        <f>D12/F12</f>
        <v>1</v>
      </c>
      <c r="AB12" s="1113">
        <f>D12/H12</f>
        <v>1</v>
      </c>
      <c r="AC12" s="1113">
        <f>D12/J12</f>
        <v>1</v>
      </c>
    </row>
    <row r="13" spans="1:30" ht="15" hidden="1">
      <c r="A13" s="626"/>
      <c r="B13" s="889"/>
      <c r="C13" s="40"/>
      <c r="D13" s="633">
        <v>100</v>
      </c>
      <c r="E13" s="73"/>
      <c r="F13" s="235">
        <f>SUMIF(84:84,E13,85:85)-SUMIF(84:84,C13,85:85)+100</f>
        <v>100</v>
      </c>
      <c r="G13" s="155"/>
      <c r="H13" s="633">
        <f>SUMIF(84:84,G13,85:85)-SUMIF(84:84,C13,85:85)+100</f>
        <v>100</v>
      </c>
      <c r="I13" s="155"/>
      <c r="J13" s="633">
        <f>SUMIF(84:84,I13,85:85)-SUMIF(84:84,C13,85:85)+100</f>
        <v>100</v>
      </c>
      <c r="K13" s="943"/>
      <c r="L13" s="2211"/>
      <c r="M13" s="2202"/>
      <c r="N13" s="2202"/>
      <c r="O13" s="2210"/>
      <c r="P13" s="3538"/>
      <c r="Q13" s="192">
        <f t="shared" si="6"/>
        <v>0</v>
      </c>
      <c r="R13" s="1110" t="s">
        <v>60</v>
      </c>
      <c r="S13" s="1111">
        <f t="shared" si="0"/>
        <v>100</v>
      </c>
      <c r="T13" s="1110" t="s">
        <v>60</v>
      </c>
      <c r="U13" s="1111">
        <f t="shared" si="1"/>
        <v>100</v>
      </c>
      <c r="V13" s="1110" t="s">
        <v>60</v>
      </c>
      <c r="W13" s="1111">
        <f t="shared" si="2"/>
        <v>100</v>
      </c>
      <c r="X13" s="1112"/>
      <c r="Y13" s="3369"/>
      <c r="Z13" s="206">
        <f t="shared" si="7"/>
        <v>0</v>
      </c>
      <c r="AA13" s="1113">
        <f>D13/F13</f>
        <v>1</v>
      </c>
      <c r="AB13" s="1113">
        <f>D13/H13</f>
        <v>1</v>
      </c>
      <c r="AC13" s="1113">
        <f>D13/J13</f>
        <v>1</v>
      </c>
    </row>
    <row r="14" spans="1:30" ht="15.75" hidden="1" thickBot="1">
      <c r="A14" s="634"/>
      <c r="B14" s="890"/>
      <c r="C14" s="41"/>
      <c r="D14" s="635">
        <v>100</v>
      </c>
      <c r="E14" s="73"/>
      <c r="F14" s="635">
        <f>SUMIF(86:86,E14,87:87)-SUMIF(86:86,C14,87:87)+100</f>
        <v>100</v>
      </c>
      <c r="G14" s="155"/>
      <c r="H14" s="635">
        <f>SUMIF(86:86,G14,87:87)-SUMIF(86:86,C14,87:87)+100</f>
        <v>100</v>
      </c>
      <c r="I14" s="155"/>
      <c r="J14" s="635">
        <f>SUMIF(86:86,I14,87:87)-SUMIF(86:86,C14,87:87)+100</f>
        <v>100</v>
      </c>
      <c r="K14" s="943"/>
      <c r="L14" s="2211"/>
      <c r="M14" s="2202"/>
      <c r="N14" s="2202"/>
      <c r="O14" s="2210"/>
      <c r="P14" s="3538"/>
      <c r="Q14" s="192">
        <f t="shared" si="6"/>
        <v>0</v>
      </c>
      <c r="R14" s="1110" t="s">
        <v>60</v>
      </c>
      <c r="S14" s="1111">
        <f t="shared" si="0"/>
        <v>100</v>
      </c>
      <c r="T14" s="1110" t="s">
        <v>60</v>
      </c>
      <c r="U14" s="1111">
        <f t="shared" si="1"/>
        <v>100</v>
      </c>
      <c r="V14" s="1110" t="s">
        <v>60</v>
      </c>
      <c r="W14" s="1111">
        <f t="shared" si="2"/>
        <v>100</v>
      </c>
      <c r="X14" s="1112"/>
      <c r="Y14" s="3369"/>
      <c r="Z14" s="206">
        <f t="shared" si="7"/>
        <v>0</v>
      </c>
      <c r="AA14" s="1113">
        <f>D14/F14</f>
        <v>1</v>
      </c>
      <c r="AB14" s="1113">
        <f>D14/H14</f>
        <v>1</v>
      </c>
      <c r="AC14" s="1113">
        <f>D14/J14</f>
        <v>1</v>
      </c>
    </row>
    <row r="15" spans="1:30" ht="27">
      <c r="A15" s="598" t="s">
        <v>418</v>
      </c>
      <c r="B15" s="2576" t="s">
        <v>297</v>
      </c>
      <c r="C15" s="160" t="str">
        <f>估价对象房地状况!C15</f>
        <v>赞成赞城、逸居城</v>
      </c>
      <c r="D15" s="638">
        <v>100</v>
      </c>
      <c r="E15" s="3130" t="s">
        <v>6311</v>
      </c>
      <c r="F15" s="638">
        <f>SUMIF(88:88,E16,89:89)-SUMIF(88:88,C16,89:89)+100</f>
        <v>100</v>
      </c>
      <c r="G15" s="3130" t="s">
        <v>6317</v>
      </c>
      <c r="H15" s="638">
        <f>SUMIF(88:88,G16,89:89)-SUMIF(88:88,C16,89:89)+100</f>
        <v>100</v>
      </c>
      <c r="I15" s="641" t="s">
        <v>6318</v>
      </c>
      <c r="J15" s="638">
        <f>SUMIF(88:88,I16,89:89)-SUMIF(88:88,C16,89:89)+100</f>
        <v>100</v>
      </c>
      <c r="K15" s="944"/>
      <c r="L15" s="2211"/>
      <c r="M15" s="2202"/>
      <c r="N15" s="2202"/>
      <c r="O15" s="2210"/>
      <c r="P15" s="3555" t="s">
        <v>419</v>
      </c>
      <c r="Q15" s="1114" t="str">
        <f t="shared" si="6"/>
        <v>居住社区成熟度</v>
      </c>
      <c r="R15" s="1115" t="s">
        <v>60</v>
      </c>
      <c r="S15" s="1116">
        <f t="shared" si="0"/>
        <v>100</v>
      </c>
      <c r="T15" s="1115" t="s">
        <v>60</v>
      </c>
      <c r="U15" s="1116">
        <f t="shared" si="1"/>
        <v>100</v>
      </c>
      <c r="V15" s="1115" t="s">
        <v>60</v>
      </c>
      <c r="W15" s="1116">
        <f t="shared" si="2"/>
        <v>100</v>
      </c>
      <c r="X15" s="1109"/>
      <c r="Y15" s="3555" t="s">
        <v>419</v>
      </c>
      <c r="Z15" s="1117" t="str">
        <f t="shared" si="7"/>
        <v>居住社区成熟度</v>
      </c>
      <c r="AA15" s="1118">
        <f t="shared" si="3"/>
        <v>1</v>
      </c>
      <c r="AB15" s="1118">
        <f t="shared" si="4"/>
        <v>1</v>
      </c>
      <c r="AC15" s="1118">
        <f t="shared" si="5"/>
        <v>1</v>
      </c>
    </row>
    <row r="16" spans="1:30" ht="15">
      <c r="A16" s="601"/>
      <c r="B16" s="2577"/>
      <c r="C16" s="144"/>
      <c r="D16" s="645"/>
      <c r="E16" s="45"/>
      <c r="F16" s="645"/>
      <c r="G16" s="45"/>
      <c r="H16" s="648"/>
      <c r="I16" s="46"/>
      <c r="J16" s="645"/>
      <c r="K16" s="943"/>
      <c r="L16" s="2211"/>
      <c r="M16" s="2202"/>
      <c r="N16" s="2202"/>
      <c r="O16" s="2210"/>
      <c r="P16" s="3556"/>
      <c r="Q16" s="1114"/>
      <c r="R16" s="1115"/>
      <c r="S16" s="1116"/>
      <c r="T16" s="1115"/>
      <c r="U16" s="1116"/>
      <c r="V16" s="1115"/>
      <c r="W16" s="1116"/>
      <c r="X16" s="1109"/>
      <c r="Y16" s="3556"/>
      <c r="Z16" s="1117"/>
      <c r="AA16" s="1118">
        <v>1</v>
      </c>
      <c r="AB16" s="1118">
        <v>1</v>
      </c>
      <c r="AC16" s="1118">
        <v>1</v>
      </c>
    </row>
    <row r="17" spans="1:29" ht="15" hidden="1">
      <c r="A17" s="601"/>
      <c r="B17" s="2578" t="s">
        <v>447</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1"/>
      <c r="M17" s="2202"/>
      <c r="N17" s="2202"/>
      <c r="O17" s="2210"/>
      <c r="P17" s="3556"/>
      <c r="Q17" s="1114" t="str">
        <f>B17</f>
        <v>商业繁华度</v>
      </c>
      <c r="R17" s="1115" t="s">
        <v>60</v>
      </c>
      <c r="S17" s="1116">
        <f>F17</f>
        <v>100</v>
      </c>
      <c r="T17" s="1115" t="s">
        <v>60</v>
      </c>
      <c r="U17" s="1116">
        <f>H17</f>
        <v>100</v>
      </c>
      <c r="V17" s="1115" t="s">
        <v>60</v>
      </c>
      <c r="W17" s="1116">
        <f>J17</f>
        <v>100</v>
      </c>
      <c r="X17" s="1109"/>
      <c r="Y17" s="3556"/>
      <c r="Z17" s="1117" t="str">
        <f>Q17</f>
        <v>商业繁华度</v>
      </c>
      <c r="AA17" s="1118">
        <f t="shared" si="3"/>
        <v>1</v>
      </c>
      <c r="AB17" s="1118">
        <f t="shared" si="4"/>
        <v>1</v>
      </c>
      <c r="AC17" s="1118">
        <f t="shared" si="5"/>
        <v>1</v>
      </c>
    </row>
    <row r="18" spans="1:29" ht="15" hidden="1">
      <c r="A18" s="601"/>
      <c r="B18" s="2579"/>
      <c r="C18" s="145"/>
      <c r="D18" s="648"/>
      <c r="E18" s="50"/>
      <c r="F18" s="648"/>
      <c r="G18" s="50"/>
      <c r="H18" s="645"/>
      <c r="I18" s="51"/>
      <c r="J18" s="645"/>
      <c r="K18" s="943"/>
      <c r="L18" s="2211"/>
      <c r="M18" s="2202"/>
      <c r="N18" s="2202"/>
      <c r="O18" s="2210"/>
      <c r="P18" s="3556"/>
      <c r="Q18" s="1114"/>
      <c r="R18" s="1115"/>
      <c r="S18" s="1116"/>
      <c r="T18" s="1115"/>
      <c r="U18" s="1116"/>
      <c r="V18" s="1115"/>
      <c r="W18" s="1116"/>
      <c r="X18" s="1109"/>
      <c r="Y18" s="3556"/>
      <c r="Z18" s="1117"/>
      <c r="AA18" s="1118">
        <v>1</v>
      </c>
      <c r="AB18" s="1118">
        <v>1</v>
      </c>
      <c r="AC18" s="1118">
        <v>1</v>
      </c>
    </row>
    <row r="19" spans="1:29" ht="15" hidden="1">
      <c r="A19" s="601"/>
      <c r="B19" s="2578" t="s">
        <v>452</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1"/>
      <c r="M19" s="2202"/>
      <c r="N19" s="2202"/>
      <c r="O19" s="2210"/>
      <c r="P19" s="3556"/>
      <c r="Q19" s="1114" t="str">
        <f>B19</f>
        <v>办公集聚程度</v>
      </c>
      <c r="R19" s="1115" t="s">
        <v>60</v>
      </c>
      <c r="S19" s="1116">
        <f>F19</f>
        <v>100</v>
      </c>
      <c r="T19" s="1115" t="s">
        <v>60</v>
      </c>
      <c r="U19" s="1116">
        <f>H19</f>
        <v>100</v>
      </c>
      <c r="V19" s="1115" t="s">
        <v>60</v>
      </c>
      <c r="W19" s="1116">
        <f>J19</f>
        <v>100</v>
      </c>
      <c r="X19" s="1109"/>
      <c r="Y19" s="3556"/>
      <c r="Z19" s="1117" t="str">
        <f>Q19</f>
        <v>办公集聚程度</v>
      </c>
      <c r="AA19" s="1118">
        <f t="shared" si="3"/>
        <v>1</v>
      </c>
      <c r="AB19" s="1118">
        <f t="shared" si="4"/>
        <v>1</v>
      </c>
      <c r="AC19" s="1118">
        <f t="shared" si="5"/>
        <v>1</v>
      </c>
    </row>
    <row r="20" spans="1:29" ht="15" hidden="1">
      <c r="A20" s="601"/>
      <c r="B20" s="2579"/>
      <c r="C20" s="144"/>
      <c r="D20" s="645"/>
      <c r="E20" s="45"/>
      <c r="F20" s="645"/>
      <c r="G20" s="45"/>
      <c r="H20" s="645"/>
      <c r="I20" s="46"/>
      <c r="J20" s="645"/>
      <c r="K20" s="943"/>
      <c r="L20" s="2211"/>
      <c r="M20" s="2202"/>
      <c r="N20" s="2202"/>
      <c r="O20" s="2210"/>
      <c r="P20" s="3556"/>
      <c r="Q20" s="1114"/>
      <c r="R20" s="1115"/>
      <c r="S20" s="1116"/>
      <c r="T20" s="1115"/>
      <c r="U20" s="1116"/>
      <c r="V20" s="1115"/>
      <c r="W20" s="1116"/>
      <c r="X20" s="1109"/>
      <c r="Y20" s="3556"/>
      <c r="Z20" s="1117"/>
      <c r="AA20" s="1118">
        <v>1</v>
      </c>
      <c r="AB20" s="1118">
        <v>1</v>
      </c>
      <c r="AC20" s="1118">
        <v>1</v>
      </c>
    </row>
    <row r="21" spans="1:29" ht="27">
      <c r="A21" s="601"/>
      <c r="B21" s="2578" t="s">
        <v>466</v>
      </c>
      <c r="C21" s="162" t="str">
        <f>估价对象房地状况!C18</f>
        <v>192路 764路 778路</v>
      </c>
      <c r="D21" s="648">
        <v>100</v>
      </c>
      <c r="E21" s="650" t="s">
        <v>6312</v>
      </c>
      <c r="F21" s="653">
        <f>SUMIF(94:94,E22,95:95)-SUMIF(94:94,C22,95:95)+100</f>
        <v>100</v>
      </c>
      <c r="G21" s="650" t="s">
        <v>6319</v>
      </c>
      <c r="H21" s="648">
        <f>SUMIF(94:94,G22,95:95)-SUMIF(94:94,C22,95:95)+100</f>
        <v>100</v>
      </c>
      <c r="I21" s="652" t="s">
        <v>6320</v>
      </c>
      <c r="J21" s="648">
        <f>SUMIF(94:94,I22,95:95)-SUMIF(94:94,C22,95:95)+100</f>
        <v>100</v>
      </c>
      <c r="K21" s="944"/>
      <c r="L21" s="2211"/>
      <c r="M21" s="2202"/>
      <c r="N21" s="2202"/>
      <c r="O21" s="2210"/>
      <c r="P21" s="3556"/>
      <c r="Q21" s="1114" t="str">
        <f>B21</f>
        <v>交通便捷度</v>
      </c>
      <c r="R21" s="1115" t="s">
        <v>60</v>
      </c>
      <c r="S21" s="1116">
        <f>F21</f>
        <v>100</v>
      </c>
      <c r="T21" s="1115" t="s">
        <v>60</v>
      </c>
      <c r="U21" s="1116">
        <f>H21</f>
        <v>100</v>
      </c>
      <c r="V21" s="1115" t="s">
        <v>60</v>
      </c>
      <c r="W21" s="1116">
        <f>J21</f>
        <v>100</v>
      </c>
      <c r="X21" s="1109"/>
      <c r="Y21" s="3556"/>
      <c r="Z21" s="1117" t="str">
        <f>Q21</f>
        <v>交通便捷度</v>
      </c>
      <c r="AA21" s="1118">
        <f t="shared" si="3"/>
        <v>1</v>
      </c>
      <c r="AB21" s="1118">
        <f t="shared" si="4"/>
        <v>1</v>
      </c>
      <c r="AC21" s="1118">
        <f t="shared" si="5"/>
        <v>1</v>
      </c>
    </row>
    <row r="22" spans="1:29" ht="15">
      <c r="A22" s="601"/>
      <c r="B22" s="2580"/>
      <c r="C22" s="144"/>
      <c r="D22" s="648"/>
      <c r="E22" s="45"/>
      <c r="F22" s="645"/>
      <c r="G22" s="45"/>
      <c r="H22" s="645"/>
      <c r="I22" s="46"/>
      <c r="J22" s="645"/>
      <c r="K22" s="943"/>
      <c r="L22" s="2211"/>
      <c r="M22" s="2202"/>
      <c r="N22" s="2202"/>
      <c r="O22" s="2210"/>
      <c r="P22" s="3556"/>
      <c r="Q22" s="1114"/>
      <c r="R22" s="1115"/>
      <c r="S22" s="1116"/>
      <c r="T22" s="1115"/>
      <c r="U22" s="1116"/>
      <c r="V22" s="1115"/>
      <c r="W22" s="1116"/>
      <c r="X22" s="1109"/>
      <c r="Y22" s="3556"/>
      <c r="Z22" s="1117"/>
      <c r="AA22" s="1118">
        <v>1</v>
      </c>
      <c r="AB22" s="1118">
        <v>1</v>
      </c>
      <c r="AC22" s="1118">
        <v>1</v>
      </c>
    </row>
    <row r="23" spans="1:29" ht="27">
      <c r="A23" s="601"/>
      <c r="B23" s="2581" t="s">
        <v>493</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1"/>
      <c r="M23" s="2202"/>
      <c r="N23" s="2202"/>
      <c r="O23" s="2210"/>
      <c r="P23" s="3556"/>
      <c r="Q23" s="1114" t="str">
        <f t="shared" ref="Q23:Q37" si="8">B23</f>
        <v>区域土地利用方向</v>
      </c>
      <c r="R23" s="1115" t="s">
        <v>60</v>
      </c>
      <c r="S23" s="1116">
        <f>F23</f>
        <v>100</v>
      </c>
      <c r="T23" s="1115" t="s">
        <v>60</v>
      </c>
      <c r="U23" s="1116">
        <f>H23</f>
        <v>100</v>
      </c>
      <c r="V23" s="1115" t="s">
        <v>60</v>
      </c>
      <c r="W23" s="1116">
        <f>J23</f>
        <v>100</v>
      </c>
      <c r="X23" s="1109"/>
      <c r="Y23" s="3556"/>
      <c r="Z23" s="1117" t="str">
        <f>Q23</f>
        <v>区域土地利用方向</v>
      </c>
      <c r="AA23" s="1118">
        <f t="shared" si="3"/>
        <v>1</v>
      </c>
      <c r="AB23" s="1118">
        <f t="shared" si="4"/>
        <v>1</v>
      </c>
      <c r="AC23" s="1118">
        <f t="shared" si="5"/>
        <v>1</v>
      </c>
    </row>
    <row r="24" spans="1:29" ht="15">
      <c r="A24" s="601"/>
      <c r="B24" s="2582"/>
      <c r="C24" s="147"/>
      <c r="D24" s="645"/>
      <c r="E24" s="45"/>
      <c r="F24" s="645"/>
      <c r="G24" s="46"/>
      <c r="H24" s="645"/>
      <c r="I24" s="46"/>
      <c r="J24" s="645"/>
      <c r="K24" s="1289"/>
      <c r="L24" s="2211"/>
      <c r="M24" s="2202"/>
      <c r="N24" s="2202"/>
      <c r="O24" s="2210"/>
      <c r="P24" s="3556"/>
      <c r="Q24" s="1282"/>
      <c r="R24" s="1115"/>
      <c r="S24" s="1116"/>
      <c r="T24" s="1115"/>
      <c r="U24" s="1116"/>
      <c r="V24" s="1115"/>
      <c r="W24" s="1116"/>
      <c r="X24" s="1281"/>
      <c r="Y24" s="3556"/>
      <c r="Z24" s="1283"/>
      <c r="AA24" s="1118"/>
      <c r="AB24" s="1118"/>
      <c r="AC24" s="1118"/>
    </row>
    <row r="25" spans="1:29" ht="27">
      <c r="A25" s="601"/>
      <c r="B25" s="2580" t="s">
        <v>494</v>
      </c>
      <c r="C25" s="166" t="str">
        <f>估价对象房地状况!C20</f>
        <v>海德公园</v>
      </c>
      <c r="D25" s="648">
        <v>100</v>
      </c>
      <c r="E25" s="3131" t="s">
        <v>6315</v>
      </c>
      <c r="F25" s="648">
        <f>SUMIF(98:98,E26,99:99)-SUMIF(98:98,C26,99:99)+100</f>
        <v>100</v>
      </c>
      <c r="G25" s="3131" t="s">
        <v>6315</v>
      </c>
      <c r="H25" s="648">
        <f>SUMIF(98:98,G26,99:99)-SUMIF(98:98,C26,99:99)+100</f>
        <v>100</v>
      </c>
      <c r="I25" s="3131" t="s">
        <v>6315</v>
      </c>
      <c r="J25" s="648">
        <f>SUMIF(98:98,I26,99:99)-SUMIF(98:98,C26,99:99)+100</f>
        <v>100</v>
      </c>
      <c r="K25" s="944"/>
      <c r="L25" s="2211"/>
      <c r="M25" s="2202"/>
      <c r="N25" s="2202"/>
      <c r="O25" s="2210"/>
      <c r="P25" s="3556"/>
      <c r="Q25" s="1114" t="str">
        <f t="shared" si="8"/>
        <v>自然及人文环境状况</v>
      </c>
      <c r="R25" s="1115" t="s">
        <v>60</v>
      </c>
      <c r="S25" s="1116">
        <f>F25</f>
        <v>100</v>
      </c>
      <c r="T25" s="1115" t="s">
        <v>60</v>
      </c>
      <c r="U25" s="1116">
        <f>H25</f>
        <v>100</v>
      </c>
      <c r="V25" s="1115" t="s">
        <v>60</v>
      </c>
      <c r="W25" s="1116">
        <f>J25</f>
        <v>100</v>
      </c>
      <c r="X25" s="1109"/>
      <c r="Y25" s="3556"/>
      <c r="Z25" s="1117" t="str">
        <f>Q25</f>
        <v>自然及人文环境状况</v>
      </c>
      <c r="AA25" s="1118">
        <f t="shared" si="3"/>
        <v>1</v>
      </c>
      <c r="AB25" s="1118">
        <f t="shared" si="4"/>
        <v>1</v>
      </c>
      <c r="AC25" s="1118">
        <f t="shared" si="5"/>
        <v>1</v>
      </c>
    </row>
    <row r="26" spans="1:29" ht="15">
      <c r="A26" s="601"/>
      <c r="B26" s="2579"/>
      <c r="C26" s="144"/>
      <c r="D26" s="645"/>
      <c r="E26" s="144"/>
      <c r="F26" s="645"/>
      <c r="G26" s="144"/>
      <c r="H26" s="645"/>
      <c r="I26" s="44"/>
      <c r="J26" s="645"/>
      <c r="K26" s="943"/>
      <c r="L26" s="2211"/>
      <c r="M26" s="2202"/>
      <c r="N26" s="2202"/>
      <c r="O26" s="2210"/>
      <c r="P26" s="3556"/>
      <c r="Q26" s="1114"/>
      <c r="R26" s="1115"/>
      <c r="S26" s="1116"/>
      <c r="T26" s="1115"/>
      <c r="U26" s="1116"/>
      <c r="V26" s="1115"/>
      <c r="W26" s="1116"/>
      <c r="X26" s="1109"/>
      <c r="Y26" s="3556"/>
      <c r="Z26" s="1117"/>
      <c r="AA26" s="1118">
        <v>1</v>
      </c>
      <c r="AB26" s="1118">
        <v>1</v>
      </c>
      <c r="AC26" s="1118">
        <v>1</v>
      </c>
    </row>
    <row r="27" spans="1:29" ht="135">
      <c r="A27" s="601"/>
      <c r="B27" s="2583" t="s">
        <v>2539</v>
      </c>
      <c r="C27" s="162" t="str">
        <f>估价对象房地状况!C21</f>
        <v>余杭区良渚二小、勾庄镇中星桥小学、良渚街道社区卫生服务中心勾庄院区、中信银行(杭州良渚支行)、中信银行(杭州良渚支行)</v>
      </c>
      <c r="D27" s="648">
        <v>100</v>
      </c>
      <c r="E27" s="3131" t="s">
        <v>6313</v>
      </c>
      <c r="F27" s="648">
        <f>SUMIF(100:100,E28,101:101)-SUMIF(100:100,C28,101:101)+100</f>
        <v>100</v>
      </c>
      <c r="G27" s="650" t="s">
        <v>6316</v>
      </c>
      <c r="H27" s="648">
        <f>SUMIF(100:100,G28,101:101)-SUMIF(100:100,C28,101:101)+100</f>
        <v>100</v>
      </c>
      <c r="I27" s="650" t="s">
        <v>6316</v>
      </c>
      <c r="J27" s="648">
        <f>SUMIF(100:100,I28,101:101)-SUMIF(100:100,C28,101:101)+100</f>
        <v>100</v>
      </c>
      <c r="K27" s="2575"/>
      <c r="L27" s="2211"/>
      <c r="M27" s="2202"/>
      <c r="N27" s="2202"/>
      <c r="O27" s="2210"/>
      <c r="P27" s="3556"/>
      <c r="Q27" s="2542" t="str">
        <f t="shared" ref="Q27" si="9">B27</f>
        <v>公共配套设施</v>
      </c>
      <c r="R27" s="1110" t="s">
        <v>60</v>
      </c>
      <c r="S27" s="1111">
        <f>F27</f>
        <v>100</v>
      </c>
      <c r="T27" s="1110" t="s">
        <v>60</v>
      </c>
      <c r="U27" s="1111">
        <f>H27</f>
        <v>100</v>
      </c>
      <c r="V27" s="1110" t="s">
        <v>60</v>
      </c>
      <c r="W27" s="1111">
        <f>J27</f>
        <v>100</v>
      </c>
      <c r="X27" s="2547"/>
      <c r="Y27" s="3556"/>
      <c r="Z27" s="206" t="str">
        <f>Q27</f>
        <v>公共配套设施</v>
      </c>
      <c r="AA27" s="1118">
        <f>D27/F27</f>
        <v>1</v>
      </c>
      <c r="AB27" s="1118">
        <f>D27/H27</f>
        <v>1</v>
      </c>
      <c r="AC27" s="1118">
        <f>D27/J27</f>
        <v>1</v>
      </c>
    </row>
    <row r="28" spans="1:29" ht="15">
      <c r="A28" s="601"/>
      <c r="B28" s="2579"/>
      <c r="C28" s="895"/>
      <c r="D28" s="645"/>
      <c r="E28" s="895"/>
      <c r="F28" s="645"/>
      <c r="G28" s="895"/>
      <c r="H28" s="645"/>
      <c r="I28" s="895"/>
      <c r="J28" s="645"/>
      <c r="K28" s="943"/>
      <c r="L28" s="2211"/>
      <c r="M28" s="2202"/>
      <c r="N28" s="2202"/>
      <c r="O28" s="2210"/>
      <c r="P28" s="3556"/>
      <c r="Q28" s="2546"/>
      <c r="R28" s="1115"/>
      <c r="S28" s="1116"/>
      <c r="T28" s="1115"/>
      <c r="U28" s="1116"/>
      <c r="V28" s="1115"/>
      <c r="W28" s="1116"/>
      <c r="X28" s="2547"/>
      <c r="Y28" s="3556"/>
      <c r="Z28" s="206"/>
      <c r="AA28" s="1118">
        <v>1</v>
      </c>
      <c r="AB28" s="1118">
        <v>1</v>
      </c>
      <c r="AC28" s="1118">
        <v>1</v>
      </c>
    </row>
    <row r="29" spans="1:29" s="218" customFormat="1" ht="15">
      <c r="A29" s="851"/>
      <c r="B29" s="2583" t="s">
        <v>2546</v>
      </c>
      <c r="C29" s="181" t="str">
        <f>估价对象房地状况!C22</f>
        <v>六通</v>
      </c>
      <c r="D29" s="648">
        <v>100</v>
      </c>
      <c r="E29" s="3131" t="s">
        <v>6314</v>
      </c>
      <c r="F29" s="648">
        <f>SUMIF(102:102,E30,103:103)-SUMIF(102:102,C30,103:103)+100</f>
        <v>100</v>
      </c>
      <c r="G29" s="3131" t="s">
        <v>6314</v>
      </c>
      <c r="H29" s="648">
        <f>SUMIF(102:102,G30,103:103)-SUMIF(102:102,C30,103:103)+100</f>
        <v>100</v>
      </c>
      <c r="I29" s="3131" t="s">
        <v>6314</v>
      </c>
      <c r="J29" s="648">
        <f>SUMIF(102:102,I30,103:103)-SUMIF(102:102,C30,103:103)+100</f>
        <v>100</v>
      </c>
      <c r="K29" s="2575"/>
      <c r="L29" s="2203"/>
      <c r="M29" s="2204"/>
      <c r="N29" s="2204"/>
      <c r="O29" s="2205"/>
      <c r="P29" s="3556"/>
      <c r="Q29" s="192" t="str">
        <f t="shared" si="8"/>
        <v>基础设施水平</v>
      </c>
      <c r="R29" s="1110" t="s">
        <v>60</v>
      </c>
      <c r="S29" s="1111">
        <f>F29</f>
        <v>100</v>
      </c>
      <c r="T29" s="1110" t="s">
        <v>60</v>
      </c>
      <c r="U29" s="1111">
        <f>H29</f>
        <v>100</v>
      </c>
      <c r="V29" s="1110" t="s">
        <v>60</v>
      </c>
      <c r="W29" s="1111">
        <f>J29</f>
        <v>100</v>
      </c>
      <c r="X29" s="1112"/>
      <c r="Y29" s="3556"/>
      <c r="Z29" s="206" t="str">
        <f>Q29</f>
        <v>基础设施水平</v>
      </c>
      <c r="AA29" s="1118">
        <f>D29/F29</f>
        <v>1</v>
      </c>
      <c r="AB29" s="1118">
        <f>D29/H29</f>
        <v>1</v>
      </c>
      <c r="AC29" s="1118">
        <f>D29/J29</f>
        <v>1</v>
      </c>
    </row>
    <row r="30" spans="1:29" s="218" customFormat="1" ht="15">
      <c r="A30" s="851"/>
      <c r="B30" s="2579"/>
      <c r="C30" s="895" t="s">
        <v>114</v>
      </c>
      <c r="D30" s="645"/>
      <c r="E30" s="895" t="s">
        <v>114</v>
      </c>
      <c r="F30" s="645"/>
      <c r="G30" s="895" t="s">
        <v>114</v>
      </c>
      <c r="H30" s="645"/>
      <c r="I30" s="895" t="s">
        <v>114</v>
      </c>
      <c r="J30" s="645"/>
      <c r="K30" s="943"/>
      <c r="L30" s="2203"/>
      <c r="M30" s="2204"/>
      <c r="N30" s="2204"/>
      <c r="O30" s="2205"/>
      <c r="P30" s="3556"/>
      <c r="Q30" s="192"/>
      <c r="R30" s="1110"/>
      <c r="S30" s="1111"/>
      <c r="T30" s="1110"/>
      <c r="U30" s="1111"/>
      <c r="V30" s="1110"/>
      <c r="W30" s="1111"/>
      <c r="X30" s="1112"/>
      <c r="Y30" s="3556"/>
      <c r="Z30" s="206"/>
      <c r="AA30" s="1118">
        <v>1</v>
      </c>
      <c r="AB30" s="1118">
        <v>1</v>
      </c>
      <c r="AC30" s="1118">
        <v>1</v>
      </c>
    </row>
    <row r="31" spans="1:29" ht="15">
      <c r="A31" s="601"/>
      <c r="B31" s="2579" t="s">
        <v>448</v>
      </c>
      <c r="C31" s="147" t="s">
        <v>6343</v>
      </c>
      <c r="D31" s="633">
        <v>100</v>
      </c>
      <c r="E31" s="147" t="s">
        <v>6344</v>
      </c>
      <c r="F31" s="633">
        <f>SUMIF(104:104,E31,105:105)-SUMIF(104:104,C31,105:105)+100</f>
        <v>100</v>
      </c>
      <c r="G31" s="147" t="s">
        <v>6343</v>
      </c>
      <c r="H31" s="633">
        <f>SUMIF(104:104,G31,105:105)-SUMIF(104:104,C31,105:105)+100</f>
        <v>100</v>
      </c>
      <c r="I31" s="147" t="s">
        <v>6343</v>
      </c>
      <c r="J31" s="633">
        <f>SUMIF(104:104,I31,105:105)-SUMIF(104:104,C31,105:105)+100</f>
        <v>100</v>
      </c>
      <c r="K31" s="944"/>
      <c r="L31" s="2211"/>
      <c r="M31" s="2202"/>
      <c r="N31" s="2202"/>
      <c r="O31" s="2210"/>
      <c r="P31" s="3556"/>
      <c r="Q31" s="1114" t="str">
        <f t="shared" si="8"/>
        <v>临街状况</v>
      </c>
      <c r="R31" s="1115" t="s">
        <v>60</v>
      </c>
      <c r="S31" s="1116">
        <f t="shared" ref="S31:S45" si="10">F31</f>
        <v>100</v>
      </c>
      <c r="T31" s="1115" t="s">
        <v>60</v>
      </c>
      <c r="U31" s="1116">
        <f t="shared" ref="U31:U45" si="11">H31</f>
        <v>100</v>
      </c>
      <c r="V31" s="1115" t="s">
        <v>60</v>
      </c>
      <c r="W31" s="1116">
        <f t="shared" ref="W31:W45" si="12">J31</f>
        <v>100</v>
      </c>
      <c r="X31" s="1109"/>
      <c r="Y31" s="3556"/>
      <c r="Z31" s="1117" t="str">
        <f t="shared" ref="Z31:Z45" si="13">Q31</f>
        <v>临街状况</v>
      </c>
      <c r="AA31" s="1118">
        <f t="shared" si="3"/>
        <v>1</v>
      </c>
      <c r="AB31" s="1118">
        <f t="shared" si="4"/>
        <v>1</v>
      </c>
      <c r="AC31" s="1118">
        <f t="shared" si="5"/>
        <v>1</v>
      </c>
    </row>
    <row r="32" spans="1:29" ht="27">
      <c r="A32" s="601"/>
      <c r="B32" s="2580" t="s">
        <v>453</v>
      </c>
      <c r="C32" s="3131" t="s">
        <v>6341</v>
      </c>
      <c r="D32" s="648">
        <v>100</v>
      </c>
      <c r="E32" s="3131" t="s">
        <v>6342</v>
      </c>
      <c r="F32" s="648">
        <f>SUMIF(106:106,E33,107:107)-SUMIF(106:106,C33,107:107)+100</f>
        <v>100</v>
      </c>
      <c r="G32" s="3131" t="s">
        <v>6342</v>
      </c>
      <c r="H32" s="648">
        <f>SUMIF(106:106,G33,107:107)-SUMIF(106:106,C33,107:107)+100</f>
        <v>100</v>
      </c>
      <c r="I32" s="3131" t="s">
        <v>6342</v>
      </c>
      <c r="J32" s="648">
        <f>SUMIF(106:106,I33,107:107)-SUMIF(106:106,C33,107:107)+100</f>
        <v>100</v>
      </c>
      <c r="K32" s="944"/>
      <c r="L32" s="2211"/>
      <c r="M32" s="2202"/>
      <c r="N32" s="2202"/>
      <c r="O32" s="2210"/>
      <c r="P32" s="3556"/>
      <c r="Q32" s="1114" t="str">
        <f t="shared" si="8"/>
        <v>毗邻道路的类型与等级</v>
      </c>
      <c r="R32" s="1115" t="s">
        <v>60</v>
      </c>
      <c r="S32" s="1116">
        <f t="shared" si="10"/>
        <v>100</v>
      </c>
      <c r="T32" s="1115" t="s">
        <v>60</v>
      </c>
      <c r="U32" s="1116">
        <f t="shared" si="11"/>
        <v>100</v>
      </c>
      <c r="V32" s="1115" t="s">
        <v>60</v>
      </c>
      <c r="W32" s="1116">
        <f t="shared" si="12"/>
        <v>100</v>
      </c>
      <c r="X32" s="1109"/>
      <c r="Y32" s="3556"/>
      <c r="Z32" s="1117" t="str">
        <f t="shared" si="13"/>
        <v>毗邻道路的类型与等级</v>
      </c>
      <c r="AA32" s="1118">
        <f t="shared" si="3"/>
        <v>1</v>
      </c>
      <c r="AB32" s="1118">
        <f t="shared" si="4"/>
        <v>1</v>
      </c>
      <c r="AC32" s="1118">
        <f t="shared" si="5"/>
        <v>1</v>
      </c>
    </row>
    <row r="33" spans="1:29" ht="15">
      <c r="A33" s="601"/>
      <c r="B33" s="2579"/>
      <c r="C33" s="144" t="s">
        <v>6327</v>
      </c>
      <c r="D33" s="645"/>
      <c r="E33" s="144" t="s">
        <v>6327</v>
      </c>
      <c r="F33" s="645"/>
      <c r="G33" s="144" t="s">
        <v>6327</v>
      </c>
      <c r="H33" s="645"/>
      <c r="I33" s="144" t="s">
        <v>6327</v>
      </c>
      <c r="J33" s="645"/>
      <c r="K33" s="815"/>
      <c r="L33" s="2211"/>
      <c r="M33" s="2202"/>
      <c r="N33" s="2202"/>
      <c r="O33" s="2210"/>
      <c r="P33" s="3556"/>
      <c r="Q33" s="1114"/>
      <c r="R33" s="1115"/>
      <c r="S33" s="1116"/>
      <c r="T33" s="1115"/>
      <c r="U33" s="1116"/>
      <c r="V33" s="1115"/>
      <c r="W33" s="1116"/>
      <c r="X33" s="1109"/>
      <c r="Y33" s="3556"/>
      <c r="Z33" s="1117"/>
      <c r="AA33" s="1118">
        <v>1</v>
      </c>
      <c r="AB33" s="1118">
        <v>1</v>
      </c>
      <c r="AC33" s="1118">
        <v>1</v>
      </c>
    </row>
    <row r="34" spans="1:29" ht="15.75" thickBot="1">
      <c r="A34" s="601"/>
      <c r="B34" s="2584" t="s">
        <v>495</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1"/>
      <c r="M34" s="2202"/>
      <c r="N34" s="2202"/>
      <c r="O34" s="2210"/>
      <c r="P34" s="3556"/>
      <c r="Q34" s="1114" t="str">
        <f t="shared" si="8"/>
        <v>土地级别</v>
      </c>
      <c r="R34" s="1115" t="s">
        <v>60</v>
      </c>
      <c r="S34" s="1116">
        <f t="shared" si="10"/>
        <v>100</v>
      </c>
      <c r="T34" s="1115" t="s">
        <v>60</v>
      </c>
      <c r="U34" s="1116">
        <f t="shared" si="11"/>
        <v>100</v>
      </c>
      <c r="V34" s="1115" t="s">
        <v>60</v>
      </c>
      <c r="W34" s="1116">
        <f t="shared" si="12"/>
        <v>100</v>
      </c>
      <c r="X34" s="1109"/>
      <c r="Y34" s="3556"/>
      <c r="Z34" s="1117" t="str">
        <f t="shared" si="13"/>
        <v>土地级别</v>
      </c>
      <c r="AA34" s="1118">
        <f t="shared" si="3"/>
        <v>1</v>
      </c>
      <c r="AB34" s="1118">
        <f t="shared" si="4"/>
        <v>1</v>
      </c>
      <c r="AC34" s="1118">
        <f t="shared" si="5"/>
        <v>1</v>
      </c>
    </row>
    <row r="35" spans="1:29" ht="15" hidden="1">
      <c r="A35" s="601"/>
      <c r="B35" s="2585"/>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1"/>
      <c r="M35" s="2202"/>
      <c r="N35" s="2202"/>
      <c r="O35" s="2210"/>
      <c r="P35" s="3556"/>
      <c r="Q35" s="1114">
        <f t="shared" si="8"/>
        <v>0</v>
      </c>
      <c r="R35" s="1115" t="s">
        <v>60</v>
      </c>
      <c r="S35" s="1116">
        <f t="shared" si="10"/>
        <v>100</v>
      </c>
      <c r="T35" s="1115" t="s">
        <v>60</v>
      </c>
      <c r="U35" s="1116">
        <f t="shared" si="11"/>
        <v>100</v>
      </c>
      <c r="V35" s="1115" t="s">
        <v>60</v>
      </c>
      <c r="W35" s="1116">
        <f t="shared" si="12"/>
        <v>100</v>
      </c>
      <c r="X35" s="1109"/>
      <c r="Y35" s="3556"/>
      <c r="Z35" s="1117">
        <f t="shared" si="13"/>
        <v>0</v>
      </c>
      <c r="AA35" s="1118">
        <f t="shared" si="3"/>
        <v>1</v>
      </c>
      <c r="AB35" s="1118">
        <f t="shared" si="4"/>
        <v>1</v>
      </c>
      <c r="AC35" s="1118">
        <f t="shared" si="5"/>
        <v>1</v>
      </c>
    </row>
    <row r="36" spans="1:29" ht="15" hidden="1">
      <c r="A36" s="946"/>
      <c r="B36" s="2586"/>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1"/>
      <c r="M36" s="2202"/>
      <c r="N36" s="2202"/>
      <c r="O36" s="2210"/>
      <c r="P36" s="3543" t="s">
        <v>421</v>
      </c>
      <c r="Q36" s="1114">
        <f t="shared" si="8"/>
        <v>0</v>
      </c>
      <c r="R36" s="1115" t="s">
        <v>60</v>
      </c>
      <c r="S36" s="1116">
        <f t="shared" si="10"/>
        <v>100</v>
      </c>
      <c r="T36" s="1115" t="s">
        <v>60</v>
      </c>
      <c r="U36" s="1116">
        <f t="shared" si="11"/>
        <v>100</v>
      </c>
      <c r="V36" s="1115" t="s">
        <v>60</v>
      </c>
      <c r="W36" s="1116">
        <f t="shared" si="12"/>
        <v>100</v>
      </c>
      <c r="X36" s="1109"/>
      <c r="Y36" s="3544" t="s">
        <v>421</v>
      </c>
      <c r="Z36" s="1117">
        <f t="shared" si="13"/>
        <v>0</v>
      </c>
      <c r="AA36" s="1118">
        <f t="shared" si="3"/>
        <v>1</v>
      </c>
      <c r="AB36" s="1118">
        <f t="shared" si="4"/>
        <v>1</v>
      </c>
      <c r="AC36" s="1118">
        <f t="shared" si="5"/>
        <v>1</v>
      </c>
    </row>
    <row r="37" spans="1:29" s="670" customFormat="1" ht="15.75" hidden="1" thickBot="1">
      <c r="A37" s="947"/>
      <c r="B37" s="2587"/>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09"/>
      <c r="M37" s="2212"/>
      <c r="N37" s="2212"/>
      <c r="O37" s="2213"/>
      <c r="P37" s="3544"/>
      <c r="Q37" s="1114">
        <f t="shared" si="8"/>
        <v>0</v>
      </c>
      <c r="R37" s="1120" t="s">
        <v>60</v>
      </c>
      <c r="S37" s="1121">
        <f t="shared" si="10"/>
        <v>100</v>
      </c>
      <c r="T37" s="1120" t="s">
        <v>60</v>
      </c>
      <c r="U37" s="1121">
        <f t="shared" si="11"/>
        <v>100</v>
      </c>
      <c r="V37" s="1120" t="s">
        <v>60</v>
      </c>
      <c r="W37" s="1121">
        <f t="shared" si="12"/>
        <v>100</v>
      </c>
      <c r="X37" s="1122"/>
      <c r="Y37" s="3544"/>
      <c r="Z37" s="1123">
        <f t="shared" si="13"/>
        <v>0</v>
      </c>
      <c r="AA37" s="1118">
        <f t="shared" si="3"/>
        <v>1</v>
      </c>
      <c r="AB37" s="1118">
        <f t="shared" si="4"/>
        <v>1</v>
      </c>
      <c r="AC37" s="1118">
        <f t="shared" si="5"/>
        <v>1</v>
      </c>
    </row>
    <row r="38" spans="1:29" ht="15">
      <c r="A38" s="598" t="s">
        <v>2548</v>
      </c>
      <c r="B38" s="654" t="s">
        <v>496</v>
      </c>
      <c r="C38" s="950"/>
      <c r="D38" s="666">
        <v>100</v>
      </c>
      <c r="E38" s="950">
        <v>38333</v>
      </c>
      <c r="F38" s="666" t="e">
        <f>LOOKUP(E38,117:117,118:118)-LOOKUP(C38,117:117,118:118)+100</f>
        <v>#N/A</v>
      </c>
      <c r="G38" s="950">
        <v>24596</v>
      </c>
      <c r="H38" s="666" t="e">
        <f>LOOKUP(G38,117:117,118:118)-LOOKUP(C38,117:117,118:118)+100</f>
        <v>#N/A</v>
      </c>
      <c r="I38" s="729">
        <v>63677</v>
      </c>
      <c r="J38" s="666" t="e">
        <f>LOOKUP(I38,117:117,118:118)-LOOKUP(C38,117:117,118:118)+100</f>
        <v>#N/A</v>
      </c>
      <c r="K38" s="815"/>
      <c r="L38" s="2211"/>
      <c r="M38" s="2202"/>
      <c r="N38" s="2202"/>
      <c r="O38" s="2210"/>
      <c r="P38" s="3544"/>
      <c r="Q38" s="1114" t="str">
        <f>B38</f>
        <v>宗地面积</v>
      </c>
      <c r="R38" s="1115" t="s">
        <v>60</v>
      </c>
      <c r="S38" s="1116" t="e">
        <f t="shared" si="10"/>
        <v>#N/A</v>
      </c>
      <c r="T38" s="1115" t="s">
        <v>60</v>
      </c>
      <c r="U38" s="1116" t="e">
        <f t="shared" si="11"/>
        <v>#N/A</v>
      </c>
      <c r="V38" s="1115" t="s">
        <v>60</v>
      </c>
      <c r="W38" s="1116" t="e">
        <f t="shared" si="12"/>
        <v>#N/A</v>
      </c>
      <c r="X38" s="1109"/>
      <c r="Y38" s="3544"/>
      <c r="Z38" s="1117" t="str">
        <f t="shared" si="13"/>
        <v>宗地面积</v>
      </c>
      <c r="AA38" s="1118" t="e">
        <f t="shared" si="3"/>
        <v>#N/A</v>
      </c>
      <c r="AB38" s="1118" t="e">
        <f t="shared" si="4"/>
        <v>#N/A</v>
      </c>
      <c r="AC38" s="1118" t="e">
        <f t="shared" si="5"/>
        <v>#N/A</v>
      </c>
    </row>
    <row r="39" spans="1:29" ht="15">
      <c r="A39" s="671"/>
      <c r="B39" s="620" t="s">
        <v>497</v>
      </c>
      <c r="C39" s="56" t="s">
        <v>6321</v>
      </c>
      <c r="D39" s="633">
        <v>100</v>
      </c>
      <c r="E39" s="56" t="s">
        <v>6321</v>
      </c>
      <c r="F39" s="633">
        <f>SUMIF(119:119,E39,120:120)-SUMIF(119:119,C39,120:120)+100</f>
        <v>100</v>
      </c>
      <c r="G39" s="56" t="s">
        <v>6321</v>
      </c>
      <c r="H39" s="633">
        <f>SUMIF(119:119,G39,120:120)-SUMIF(119:119,C39,120:120)+100</f>
        <v>100</v>
      </c>
      <c r="I39" s="56" t="s">
        <v>6321</v>
      </c>
      <c r="J39" s="633">
        <f>SUMIF(119:119,I39,120:120)-SUMIF(119:119,C39,120:120)+100</f>
        <v>100</v>
      </c>
      <c r="K39" s="814"/>
      <c r="L39" s="2211"/>
      <c r="M39" s="2202"/>
      <c r="N39" s="2202"/>
      <c r="O39" s="2210"/>
      <c r="P39" s="3544"/>
      <c r="Q39" s="1114" t="str">
        <f t="shared" ref="Q39:Q45" si="14">B39</f>
        <v>宗地形状</v>
      </c>
      <c r="R39" s="1115" t="s">
        <v>60</v>
      </c>
      <c r="S39" s="1116">
        <f t="shared" si="10"/>
        <v>100</v>
      </c>
      <c r="T39" s="1115" t="s">
        <v>60</v>
      </c>
      <c r="U39" s="1116">
        <f t="shared" si="11"/>
        <v>100</v>
      </c>
      <c r="V39" s="1115" t="s">
        <v>60</v>
      </c>
      <c r="W39" s="1116">
        <f t="shared" si="12"/>
        <v>100</v>
      </c>
      <c r="X39" s="1109"/>
      <c r="Y39" s="3544"/>
      <c r="Z39" s="1117" t="str">
        <f t="shared" si="13"/>
        <v>宗地形状</v>
      </c>
      <c r="AA39" s="1118">
        <f t="shared" si="3"/>
        <v>1</v>
      </c>
      <c r="AB39" s="1118">
        <f t="shared" si="4"/>
        <v>1</v>
      </c>
      <c r="AC39" s="1118">
        <f t="shared" si="5"/>
        <v>1</v>
      </c>
    </row>
    <row r="40" spans="1:29" ht="15">
      <c r="A40" s="671"/>
      <c r="B40" s="620" t="s">
        <v>498</v>
      </c>
      <c r="C40" s="56" t="s">
        <v>6323</v>
      </c>
      <c r="D40" s="633">
        <v>100</v>
      </c>
      <c r="E40" s="56" t="s">
        <v>6323</v>
      </c>
      <c r="F40" s="633">
        <f>SUMIF(121:121,E40,122:122)-SUMIF(121:121,C40,122:122)+100</f>
        <v>100</v>
      </c>
      <c r="G40" s="56" t="s">
        <v>6323</v>
      </c>
      <c r="H40" s="633">
        <f>SUMIF(121:121,G40,122:122)-SUMIF(121:121,C40,122:122)+100</f>
        <v>100</v>
      </c>
      <c r="I40" s="56" t="s">
        <v>6323</v>
      </c>
      <c r="J40" s="633">
        <f>SUMIF(121:121,I40,122:122)-SUMIF(121:121,C40,122:122)+100</f>
        <v>100</v>
      </c>
      <c r="K40" s="814"/>
      <c r="L40" s="2211"/>
      <c r="M40" s="2202"/>
      <c r="N40" s="2202"/>
      <c r="O40" s="2210"/>
      <c r="P40" s="3544"/>
      <c r="Q40" s="1114" t="str">
        <f t="shared" si="14"/>
        <v>临街宽度及深度</v>
      </c>
      <c r="R40" s="1115" t="s">
        <v>60</v>
      </c>
      <c r="S40" s="1116">
        <f t="shared" si="10"/>
        <v>100</v>
      </c>
      <c r="T40" s="1115" t="s">
        <v>60</v>
      </c>
      <c r="U40" s="1116">
        <f t="shared" si="11"/>
        <v>100</v>
      </c>
      <c r="V40" s="1115" t="s">
        <v>60</v>
      </c>
      <c r="W40" s="1116">
        <f t="shared" si="12"/>
        <v>100</v>
      </c>
      <c r="X40" s="1109"/>
      <c r="Y40" s="3544"/>
      <c r="Z40" s="1117" t="str">
        <f t="shared" si="13"/>
        <v>临街宽度及深度</v>
      </c>
      <c r="AA40" s="1118">
        <f t="shared" si="3"/>
        <v>1</v>
      </c>
      <c r="AB40" s="1118">
        <f t="shared" si="4"/>
        <v>1</v>
      </c>
      <c r="AC40" s="1118">
        <f t="shared" si="5"/>
        <v>1</v>
      </c>
    </row>
    <row r="41" spans="1:29" s="218" customFormat="1" ht="15">
      <c r="A41" s="672"/>
      <c r="B41" s="2420" t="s">
        <v>2410</v>
      </c>
      <c r="C41" s="901" t="s">
        <v>6325</v>
      </c>
      <c r="D41" s="235">
        <v>100</v>
      </c>
      <c r="E41" s="901" t="s">
        <v>6325</v>
      </c>
      <c r="F41" s="633">
        <f>SUMIF(123:123,E41,124:124)-SUMIF(123:123,C41,124:124)+100</f>
        <v>100</v>
      </c>
      <c r="G41" s="901" t="s">
        <v>6325</v>
      </c>
      <c r="H41" s="633">
        <f>SUMIF(123:123,G41,124:124)-SUMIF(123:123,C41,124:124)+100</f>
        <v>100</v>
      </c>
      <c r="I41" s="901" t="s">
        <v>6325</v>
      </c>
      <c r="J41" s="633">
        <f>SUMIF(123:123,I41,124:124)-SUMIF(123:123,C41,124:124)+100</f>
        <v>100</v>
      </c>
      <c r="K41" s="814"/>
      <c r="L41" s="2203"/>
      <c r="M41" s="2204"/>
      <c r="N41" s="2204"/>
      <c r="O41" s="2205"/>
      <c r="P41" s="3544"/>
      <c r="Q41" s="1114" t="str">
        <f t="shared" si="14"/>
        <v>宗地开发程度</v>
      </c>
      <c r="R41" s="1110" t="s">
        <v>60</v>
      </c>
      <c r="S41" s="1111">
        <f t="shared" si="10"/>
        <v>100</v>
      </c>
      <c r="T41" s="1110" t="s">
        <v>60</v>
      </c>
      <c r="U41" s="1111">
        <f t="shared" si="11"/>
        <v>100</v>
      </c>
      <c r="V41" s="1110" t="s">
        <v>60</v>
      </c>
      <c r="W41" s="1111">
        <f t="shared" si="12"/>
        <v>100</v>
      </c>
      <c r="X41" s="1112"/>
      <c r="Y41" s="3544"/>
      <c r="Z41" s="206" t="str">
        <f t="shared" si="13"/>
        <v>宗地开发程度</v>
      </c>
      <c r="AA41" s="1113">
        <f t="shared" si="3"/>
        <v>1</v>
      </c>
      <c r="AB41" s="1113">
        <f t="shared" si="4"/>
        <v>1</v>
      </c>
      <c r="AC41" s="1113">
        <f t="shared" si="5"/>
        <v>1</v>
      </c>
    </row>
    <row r="42" spans="1:29" ht="15.75" thickBot="1">
      <c r="A42" s="671"/>
      <c r="B42" s="620" t="s">
        <v>499</v>
      </c>
      <c r="C42" s="56" t="s">
        <v>101</v>
      </c>
      <c r="D42" s="633">
        <v>100</v>
      </c>
      <c r="E42" s="56" t="s">
        <v>101</v>
      </c>
      <c r="F42" s="633">
        <f>SUMIF(125:125,E42,126:126)-SUMIF(125:125,C42,126:126)+100</f>
        <v>100</v>
      </c>
      <c r="G42" s="56" t="s">
        <v>101</v>
      </c>
      <c r="H42" s="633">
        <f>SUMIF(125:125,G42,126:126)-SUMIF(125:125,C42,126:126)+100</f>
        <v>100</v>
      </c>
      <c r="I42" s="56" t="s">
        <v>101</v>
      </c>
      <c r="J42" s="633">
        <f>SUMIF(125:125,I42,126:126)-SUMIF(125:125,C42,126:126)+100</f>
        <v>100</v>
      </c>
      <c r="K42" s="814"/>
      <c r="L42" s="2211"/>
      <c r="M42" s="2202"/>
      <c r="N42" s="2202"/>
      <c r="O42" s="2210"/>
      <c r="P42" s="3544" t="s">
        <v>421</v>
      </c>
      <c r="Q42" s="1114" t="str">
        <f t="shared" si="14"/>
        <v>工程地质条件</v>
      </c>
      <c r="R42" s="1115" t="s">
        <v>60</v>
      </c>
      <c r="S42" s="1116">
        <f t="shared" si="10"/>
        <v>100</v>
      </c>
      <c r="T42" s="1115" t="s">
        <v>60</v>
      </c>
      <c r="U42" s="1116">
        <f t="shared" si="11"/>
        <v>100</v>
      </c>
      <c r="V42" s="1115" t="s">
        <v>60</v>
      </c>
      <c r="W42" s="1116">
        <f t="shared" si="12"/>
        <v>100</v>
      </c>
      <c r="X42" s="1109"/>
      <c r="Y42" s="3544" t="s">
        <v>421</v>
      </c>
      <c r="Z42" s="1117" t="str">
        <f t="shared" si="13"/>
        <v>工程地质条件</v>
      </c>
      <c r="AA42" s="1118">
        <f t="shared" si="3"/>
        <v>1</v>
      </c>
      <c r="AB42" s="1118">
        <f t="shared" si="4"/>
        <v>1</v>
      </c>
      <c r="AC42" s="1118">
        <f t="shared" si="5"/>
        <v>1</v>
      </c>
    </row>
    <row r="43" spans="1:29" ht="15" hidden="1">
      <c r="A43" s="671"/>
      <c r="B43" s="158"/>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1"/>
      <c r="M43" s="2202"/>
      <c r="N43" s="2202"/>
      <c r="O43" s="2210"/>
      <c r="P43" s="3544"/>
      <c r="Q43" s="1114">
        <f t="shared" si="14"/>
        <v>0</v>
      </c>
      <c r="R43" s="1115" t="s">
        <v>60</v>
      </c>
      <c r="S43" s="1116">
        <f t="shared" si="10"/>
        <v>100</v>
      </c>
      <c r="T43" s="1115" t="s">
        <v>60</v>
      </c>
      <c r="U43" s="1116">
        <f t="shared" si="11"/>
        <v>100</v>
      </c>
      <c r="V43" s="1115" t="s">
        <v>60</v>
      </c>
      <c r="W43" s="1116">
        <f t="shared" si="12"/>
        <v>100</v>
      </c>
      <c r="X43" s="1109"/>
      <c r="Y43" s="3544"/>
      <c r="Z43" s="1117">
        <f t="shared" si="13"/>
        <v>0</v>
      </c>
      <c r="AA43" s="1118">
        <f t="shared" si="3"/>
        <v>1</v>
      </c>
      <c r="AB43" s="1118">
        <f t="shared" si="4"/>
        <v>1</v>
      </c>
      <c r="AC43" s="1118">
        <f t="shared" si="5"/>
        <v>1</v>
      </c>
    </row>
    <row r="44" spans="1:29" ht="15" hidden="1">
      <c r="A44" s="671"/>
      <c r="B44" s="158"/>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1"/>
      <c r="M44" s="2202"/>
      <c r="N44" s="2202"/>
      <c r="O44" s="2210"/>
      <c r="P44" s="3544"/>
      <c r="Q44" s="1114">
        <f t="shared" si="14"/>
        <v>0</v>
      </c>
      <c r="R44" s="1115" t="s">
        <v>60</v>
      </c>
      <c r="S44" s="1116">
        <f t="shared" si="10"/>
        <v>100</v>
      </c>
      <c r="T44" s="1115" t="s">
        <v>60</v>
      </c>
      <c r="U44" s="1116">
        <f t="shared" si="11"/>
        <v>100</v>
      </c>
      <c r="V44" s="1115" t="s">
        <v>60</v>
      </c>
      <c r="W44" s="1116">
        <f t="shared" si="12"/>
        <v>100</v>
      </c>
      <c r="X44" s="1109"/>
      <c r="Y44" s="3544"/>
      <c r="Z44" s="1117">
        <f t="shared" si="13"/>
        <v>0</v>
      </c>
      <c r="AA44" s="1118">
        <f t="shared" si="3"/>
        <v>1</v>
      </c>
      <c r="AB44" s="1118">
        <f t="shared" si="4"/>
        <v>1</v>
      </c>
      <c r="AC44" s="1118">
        <f t="shared" si="5"/>
        <v>1</v>
      </c>
    </row>
    <row r="45" spans="1:29" s="670" customFormat="1" ht="15.75" hidden="1" thickBot="1">
      <c r="A45" s="667"/>
      <c r="B45" s="158"/>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09"/>
      <c r="M45" s="2212"/>
      <c r="N45" s="2212"/>
      <c r="O45" s="2213"/>
      <c r="P45" s="3544"/>
      <c r="Q45" s="1114">
        <f t="shared" si="14"/>
        <v>0</v>
      </c>
      <c r="R45" s="1120" t="s">
        <v>60</v>
      </c>
      <c r="S45" s="1121">
        <f t="shared" si="10"/>
        <v>100</v>
      </c>
      <c r="T45" s="1120" t="s">
        <v>60</v>
      </c>
      <c r="U45" s="1121">
        <f t="shared" si="11"/>
        <v>100</v>
      </c>
      <c r="V45" s="1120" t="s">
        <v>60</v>
      </c>
      <c r="W45" s="1121">
        <f t="shared" si="12"/>
        <v>100</v>
      </c>
      <c r="X45" s="1122"/>
      <c r="Y45" s="3544"/>
      <c r="Z45" s="1123">
        <f t="shared" si="13"/>
        <v>0</v>
      </c>
      <c r="AA45" s="1118">
        <f t="shared" si="3"/>
        <v>1</v>
      </c>
      <c r="AB45" s="1118">
        <f t="shared" si="4"/>
        <v>1</v>
      </c>
      <c r="AC45" s="1118">
        <f t="shared" si="5"/>
        <v>1</v>
      </c>
    </row>
    <row r="46" spans="1:29" ht="15">
      <c r="A46" s="678" t="s">
        <v>500</v>
      </c>
      <c r="B46" s="159" t="s">
        <v>159</v>
      </c>
      <c r="C46" s="953" t="s">
        <v>20</v>
      </c>
      <c r="D46" s="680"/>
      <c r="E46" s="681">
        <v>6000.05</v>
      </c>
      <c r="F46" s="682"/>
      <c r="G46" s="683">
        <v>5005.62</v>
      </c>
      <c r="H46" s="684"/>
      <c r="I46" s="681">
        <v>5001.45</v>
      </c>
      <c r="J46" s="684"/>
      <c r="K46" s="1192"/>
      <c r="L46" s="2214"/>
      <c r="M46" s="2215"/>
      <c r="N46" s="2202"/>
      <c r="O46" s="2215"/>
      <c r="P46" s="3538" t="str">
        <f>A46</f>
        <v>成交单价</v>
      </c>
      <c r="Q46" s="3538"/>
      <c r="R46" s="3545">
        <f>E46</f>
        <v>6000.05</v>
      </c>
      <c r="S46" s="3545"/>
      <c r="T46" s="3545">
        <f>G46</f>
        <v>5005.62</v>
      </c>
      <c r="U46" s="3545"/>
      <c r="V46" s="3545">
        <f>I46</f>
        <v>5001.45</v>
      </c>
      <c r="W46" s="3545"/>
      <c r="X46" s="1098"/>
      <c r="Y46" s="1124"/>
      <c r="Z46" s="1098"/>
      <c r="AA46" s="1098"/>
      <c r="AB46" s="1098"/>
      <c r="AC46" s="1098"/>
    </row>
    <row r="47" spans="1:29" ht="15.75" thickBot="1">
      <c r="A47" s="685" t="s">
        <v>423</v>
      </c>
      <c r="B47" s="954"/>
      <c r="C47" s="689" t="e">
        <f>R48</f>
        <v>#N/A</v>
      </c>
      <c r="D47" s="688"/>
      <c r="E47" s="689" t="e">
        <f>R47</f>
        <v>#N/A</v>
      </c>
      <c r="F47" s="690"/>
      <c r="G47" s="687" t="e">
        <f>T47</f>
        <v>#DIV/0!</v>
      </c>
      <c r="H47" s="688"/>
      <c r="I47" s="689" t="e">
        <f>V47</f>
        <v>#DIV/0!</v>
      </c>
      <c r="J47" s="688"/>
      <c r="K47" s="1193"/>
      <c r="L47" s="2214"/>
      <c r="M47" s="2215"/>
      <c r="N47" s="2215"/>
      <c r="O47" s="2215"/>
      <c r="P47" s="3538" t="str">
        <f>A47</f>
        <v>比较价值（元/平方米）</v>
      </c>
      <c r="Q47" s="3538"/>
      <c r="R47" s="3539" t="e">
        <f>ROUND(PRODUCT(R46,AA7:AA45),0)</f>
        <v>#N/A</v>
      </c>
      <c r="S47" s="3539"/>
      <c r="T47" s="3539" t="e">
        <f>ROUND(PRODUCT(T46,AB7:AB45),0)</f>
        <v>#DIV/0!</v>
      </c>
      <c r="U47" s="3539"/>
      <c r="V47" s="3539" t="e">
        <f>ROUND(PRODUCT(V46,AC7:AC45),0)</f>
        <v>#DIV/0!</v>
      </c>
      <c r="W47" s="3539"/>
      <c r="X47" s="1098"/>
      <c r="Y47" s="1098"/>
      <c r="Z47" s="1098"/>
      <c r="AA47" s="1098"/>
      <c r="AB47" s="1098"/>
      <c r="AC47" s="1098"/>
    </row>
    <row r="48" spans="1:29" ht="15.75" thickBot="1">
      <c r="A48" s="62" t="s">
        <v>2881</v>
      </c>
      <c r="B48" s="692"/>
      <c r="C48" s="693" t="e">
        <f>R48</f>
        <v>#N/A</v>
      </c>
      <c r="D48" s="693"/>
      <c r="E48" s="693"/>
      <c r="F48" s="693"/>
      <c r="G48" s="693"/>
      <c r="H48" s="693"/>
      <c r="I48" s="693"/>
      <c r="J48" s="693"/>
      <c r="K48" s="1194"/>
      <c r="L48" s="2214"/>
      <c r="M48" s="2215"/>
      <c r="N48" s="2215"/>
      <c r="O48" s="2215"/>
      <c r="P48" s="3540" t="str">
        <f>A48</f>
        <v>估价对象XX用房的比较价值（楼面单价，元/平方米）</v>
      </c>
      <c r="Q48" s="3541"/>
      <c r="R48" s="3542" t="e">
        <f>ROUND(AVERAGE(R47:V47),0)</f>
        <v>#N/A</v>
      </c>
      <c r="S48" s="3542"/>
      <c r="T48" s="3542"/>
      <c r="U48" s="3542"/>
      <c r="V48" s="3542"/>
      <c r="W48" s="3542"/>
      <c r="X48" s="1098"/>
      <c r="Y48" s="1098"/>
      <c r="Z48" s="1098"/>
      <c r="AA48" s="1098"/>
      <c r="AB48" s="1098"/>
      <c r="AC48" s="1098"/>
    </row>
    <row r="49" spans="1:15">
      <c r="A49" s="2215"/>
      <c r="B49" s="2215"/>
      <c r="C49" s="2215"/>
      <c r="D49" s="2215"/>
      <c r="E49" s="2215"/>
      <c r="F49" s="2215"/>
      <c r="G49" s="2219"/>
      <c r="H49" s="2215"/>
      <c r="I49" s="2215"/>
      <c r="J49" s="2215"/>
      <c r="K49" s="2220"/>
      <c r="L49" s="2216"/>
      <c r="M49" s="2215"/>
      <c r="N49" s="2215"/>
      <c r="O49" s="2215"/>
    </row>
    <row r="50" spans="1:15">
      <c r="A50" s="2215"/>
      <c r="B50" s="2215"/>
      <c r="C50" s="2215"/>
      <c r="D50" s="2215"/>
      <c r="E50" s="2215"/>
      <c r="F50" s="2215"/>
      <c r="G50" s="2215"/>
      <c r="H50" s="2215"/>
      <c r="I50" s="2215"/>
      <c r="J50" s="2215"/>
      <c r="K50" s="2220"/>
      <c r="L50" s="2216"/>
      <c r="M50" s="2215"/>
      <c r="N50" s="2215"/>
      <c r="O50" s="2215"/>
    </row>
    <row r="51" spans="1:15" ht="13.5" customHeight="1">
      <c r="A51" s="2215"/>
      <c r="B51" s="2215"/>
      <c r="C51" s="696" t="s">
        <v>424</v>
      </c>
      <c r="D51" s="697"/>
      <c r="E51" s="698" t="e">
        <f>IF(E46&lt;E47,E47/E46-1,E46/E47-1)</f>
        <v>#N/A</v>
      </c>
      <c r="F51" s="699" t="e">
        <f>IF(OR(E51&gt;=0.3,E51&lt;=-0.3),"超过30%","")</f>
        <v>#N/A</v>
      </c>
      <c r="G51" s="698" t="e">
        <f>IF(G46&lt;G47,G47/G46-1,G46/G47-1)</f>
        <v>#DIV/0!</v>
      </c>
      <c r="H51" s="699" t="e">
        <f>IF(OR(G51&gt;=0.3,G51&lt;=-0.3),"超过30%","")</f>
        <v>#DIV/0!</v>
      </c>
      <c r="I51" s="698" t="e">
        <f>IF(I46&lt;I47,I47/I46-1,I46/I47-1)</f>
        <v>#DIV/0!</v>
      </c>
      <c r="J51" s="699" t="e">
        <f>IF(OR(I51&gt;=0.3,I51&lt;=-0.3),"超过30%","")</f>
        <v>#DIV/0!</v>
      </c>
      <c r="K51" s="2220"/>
      <c r="L51" s="2216"/>
      <c r="M51" s="2215"/>
      <c r="N51" s="2215"/>
      <c r="O51" s="2215"/>
    </row>
    <row r="52" spans="1:15" ht="13.5" customHeight="1">
      <c r="A52" s="2215"/>
      <c r="B52" s="2215"/>
      <c r="C52" s="696" t="s">
        <v>425</v>
      </c>
      <c r="D52" s="700"/>
      <c r="E52" s="698" t="e">
        <f>IF(E47&lt;G47,G47/E47-1,E47/G47-1)</f>
        <v>#N/A</v>
      </c>
      <c r="F52" s="699" t="e">
        <f>IF(OR(E52&gt;=0.2,E52&lt;=-0.2),"超过20%","")</f>
        <v>#N/A</v>
      </c>
      <c r="G52" s="698" t="e">
        <f>IF(G47&lt;I47,I47/G47-1,G47/I47-1)</f>
        <v>#DIV/0!</v>
      </c>
      <c r="H52" s="699" t="e">
        <f>IF(OR(G52&gt;=0.2,G52&lt;=-0.2),"超过20%","")</f>
        <v>#DIV/0!</v>
      </c>
      <c r="I52" s="698" t="e">
        <f>IF(I47&lt;E47,E47/I47-1,I47/E47-1)</f>
        <v>#DIV/0!</v>
      </c>
      <c r="J52" s="699" t="e">
        <f>IF(OR(I52&gt;=0.2,I52&lt;=-0.2),"超过20%","")</f>
        <v>#DIV/0!</v>
      </c>
      <c r="K52" s="2220"/>
      <c r="L52" s="2216"/>
      <c r="M52" s="2215"/>
      <c r="N52" s="2215"/>
      <c r="O52" s="2215"/>
    </row>
    <row r="53" spans="1:15" s="701" customFormat="1" ht="13.5" customHeight="1">
      <c r="A53" s="2217"/>
      <c r="B53" s="2217"/>
      <c r="C53" s="696" t="s">
        <v>426</v>
      </c>
      <c r="D53" s="700"/>
      <c r="E53" s="698">
        <f>IF(E46&lt;G46,G46/E46-1,E46/G46-1)</f>
        <v>0.19866270312169121</v>
      </c>
      <c r="F53" s="699" t="str">
        <f>IF(OR(E53&gt;=0.3,E53&lt;=-0.3),"超过30%","")</f>
        <v/>
      </c>
      <c r="G53" s="698">
        <f>IF(G46&lt;I46,I46/G46-1,G46/I46-1)</f>
        <v>8.3375821011899554E-4</v>
      </c>
      <c r="H53" s="699" t="str">
        <f>IF(OR(G53&gt;=0.3,G53&lt;=-0.3),"超过30%","")</f>
        <v/>
      </c>
      <c r="I53" s="698">
        <f>IF(I46&lt;E46,E46/I46-1,I46/E46-1)</f>
        <v>0.19966209799158241</v>
      </c>
      <c r="J53" s="699" t="str">
        <f>IF(OR(I53&gt;=0.3,I53&lt;=-0.3),"超过30%","")</f>
        <v/>
      </c>
      <c r="K53" s="2221"/>
      <c r="L53" s="2222"/>
      <c r="M53" s="2217"/>
      <c r="N53" s="2217"/>
      <c r="O53" s="2217"/>
    </row>
    <row r="54" spans="1:15" s="701" customFormat="1" ht="15" thickBot="1">
      <c r="A54" s="2217"/>
      <c r="B54" s="2218"/>
      <c r="C54" s="1101"/>
      <c r="D54" s="1100"/>
      <c r="E54" s="1100"/>
      <c r="F54" s="1100"/>
      <c r="G54" s="1100"/>
      <c r="H54" s="1100"/>
      <c r="I54" s="1100"/>
      <c r="J54" s="1100"/>
      <c r="K54" s="2221"/>
      <c r="L54" s="2222"/>
      <c r="M54" s="2217"/>
      <c r="N54" s="2217"/>
      <c r="O54" s="2217"/>
    </row>
    <row r="55" spans="1:15" ht="27">
      <c r="A55" s="955" t="s">
        <v>501</v>
      </c>
      <c r="B55" s="956" t="s">
        <v>502</v>
      </c>
      <c r="C55" s="1611" t="s">
        <v>1803</v>
      </c>
      <c r="D55" s="2261" t="s">
        <v>2220</v>
      </c>
      <c r="E55" s="957" t="s">
        <v>503</v>
      </c>
      <c r="F55" s="958" t="s">
        <v>504</v>
      </c>
      <c r="G55" s="1612" t="s">
        <v>1802</v>
      </c>
      <c r="H55" s="1612" t="str">
        <f>项目基本情况!G8</f>
        <v>浙江省杭州市</v>
      </c>
      <c r="I55" s="1608" t="s">
        <v>1804</v>
      </c>
      <c r="J55" s="1099"/>
      <c r="K55" s="2216"/>
      <c r="L55" s="2216"/>
      <c r="M55" s="2215"/>
      <c r="N55" s="2215"/>
      <c r="O55" s="2215"/>
    </row>
    <row r="56" spans="1:15" s="963" customFormat="1">
      <c r="A56" s="959" t="s">
        <v>505</v>
      </c>
      <c r="B56" s="960" t="e">
        <f>C48</f>
        <v>#N/A</v>
      </c>
      <c r="C56" s="961">
        <v>1</v>
      </c>
      <c r="D56" s="2262">
        <v>1</v>
      </c>
      <c r="E56" s="965">
        <v>120</v>
      </c>
      <c r="F56" s="962" t="e">
        <f t="shared" ref="F56:F65" si="15">ROUND(B56*E56,0)</f>
        <v>#N/A</v>
      </c>
      <c r="G56" s="1609">
        <v>1</v>
      </c>
      <c r="H56" s="1609">
        <v>1</v>
      </c>
      <c r="I56" s="2217"/>
      <c r="J56" s="2217"/>
      <c r="K56" s="2221"/>
      <c r="L56" s="2222"/>
      <c r="M56" s="2217"/>
      <c r="N56" s="2217"/>
      <c r="O56" s="1607"/>
    </row>
    <row r="57" spans="1:15" s="963" customFormat="1">
      <c r="A57" s="964" t="s">
        <v>506</v>
      </c>
      <c r="B57" s="395" t="e">
        <f>ROUND($C$48*C57*D57,0)</f>
        <v>#N/A</v>
      </c>
      <c r="C57" s="334">
        <f>IF($C$55="北京市系数",G57,H57)</f>
        <v>0</v>
      </c>
      <c r="D57" s="2260">
        <v>0.25</v>
      </c>
      <c r="E57" s="965">
        <v>0</v>
      </c>
      <c r="F57" s="962" t="e">
        <f t="shared" si="15"/>
        <v>#N/A</v>
      </c>
      <c r="G57" s="1609">
        <f>SUMIF(修正!$A$45:$A$56,项目基本情况!$F$9,修正!B45:B56)</f>
        <v>0</v>
      </c>
      <c r="H57" s="1610"/>
      <c r="I57" s="2215"/>
      <c r="J57" s="2220"/>
      <c r="K57" s="2216"/>
      <c r="L57" s="2216"/>
      <c r="M57" s="2215"/>
      <c r="N57" s="2215"/>
      <c r="O57" s="1607"/>
    </row>
    <row r="58" spans="1:15" s="963" customFormat="1">
      <c r="A58" s="964" t="s">
        <v>507</v>
      </c>
      <c r="B58" s="395" t="e">
        <f t="shared" ref="B58:B65" si="16">ROUND($C$48*C58*D58,0)</f>
        <v>#N/A</v>
      </c>
      <c r="C58" s="334">
        <f t="shared" ref="C58:C65" si="17">IF($C$55="北京市系数",G58,H58)</f>
        <v>0</v>
      </c>
      <c r="D58" s="2260">
        <v>0.25</v>
      </c>
      <c r="E58" s="965">
        <v>0</v>
      </c>
      <c r="F58" s="962" t="e">
        <f t="shared" si="15"/>
        <v>#N/A</v>
      </c>
      <c r="G58" s="1609">
        <f>SUMIF(修正!$A$45:$A$56,项目基本情况!$F$9,修正!C45:C56)</f>
        <v>0</v>
      </c>
      <c r="H58" s="1610"/>
      <c r="I58" s="2217"/>
      <c r="J58" s="2217"/>
      <c r="K58" s="2221"/>
      <c r="L58" s="2222"/>
      <c r="M58" s="2217"/>
      <c r="N58" s="2217"/>
      <c r="O58" s="1607"/>
    </row>
    <row r="59" spans="1:15" s="963" customFormat="1">
      <c r="A59" s="964" t="s">
        <v>508</v>
      </c>
      <c r="B59" s="395" t="e">
        <f t="shared" si="16"/>
        <v>#N/A</v>
      </c>
      <c r="C59" s="334">
        <f t="shared" si="17"/>
        <v>0</v>
      </c>
      <c r="D59" s="2260">
        <v>0.25</v>
      </c>
      <c r="E59" s="965">
        <v>0</v>
      </c>
      <c r="F59" s="962" t="e">
        <f t="shared" si="15"/>
        <v>#N/A</v>
      </c>
      <c r="G59" s="1609">
        <f>SUMIF(修正!$A$45:$A$56,项目基本情况!$F$9,修正!D45:D56)</f>
        <v>0</v>
      </c>
      <c r="H59" s="1610"/>
      <c r="I59" s="2215"/>
      <c r="J59" s="2220"/>
      <c r="K59" s="2216"/>
      <c r="L59" s="2216"/>
      <c r="M59" s="2215"/>
      <c r="N59" s="2215"/>
      <c r="O59" s="1607"/>
    </row>
    <row r="60" spans="1:15" s="963" customFormat="1">
      <c r="A60" s="964" t="s">
        <v>509</v>
      </c>
      <c r="B60" s="395" t="e">
        <f t="shared" si="16"/>
        <v>#N/A</v>
      </c>
      <c r="C60" s="334">
        <f t="shared" si="17"/>
        <v>0</v>
      </c>
      <c r="D60" s="2260">
        <v>0.25</v>
      </c>
      <c r="E60" s="965">
        <v>0</v>
      </c>
      <c r="F60" s="962" t="e">
        <f t="shared" si="15"/>
        <v>#N/A</v>
      </c>
      <c r="G60" s="1609">
        <f>SUMIF(修正!$A$45:$A$56,项目基本情况!$F$9,修正!E45:E56)</f>
        <v>0</v>
      </c>
      <c r="H60" s="1610"/>
      <c r="I60" s="2217"/>
      <c r="J60" s="2217"/>
      <c r="K60" s="2221"/>
      <c r="L60" s="2222"/>
      <c r="M60" s="2217"/>
      <c r="N60" s="2217"/>
      <c r="O60" s="1607"/>
    </row>
    <row r="61" spans="1:15" s="963" customFormat="1">
      <c r="A61" s="964" t="s">
        <v>510</v>
      </c>
      <c r="B61" s="395" t="e">
        <f t="shared" si="16"/>
        <v>#N/A</v>
      </c>
      <c r="C61" s="334">
        <f t="shared" si="17"/>
        <v>0</v>
      </c>
      <c r="D61" s="2260">
        <v>0.25</v>
      </c>
      <c r="E61" s="965">
        <v>0</v>
      </c>
      <c r="F61" s="962" t="e">
        <f t="shared" si="15"/>
        <v>#N/A</v>
      </c>
      <c r="G61" s="1609">
        <f>SUMIF(修正!A45:A56,项目基本情况!F9,修正!F45:F56)</f>
        <v>0</v>
      </c>
      <c r="H61" s="1610"/>
      <c r="I61" s="2215"/>
      <c r="J61" s="2220"/>
      <c r="K61" s="2216"/>
      <c r="L61" s="2216"/>
      <c r="M61" s="2215"/>
      <c r="N61" s="2215"/>
      <c r="O61" s="1607"/>
    </row>
    <row r="62" spans="1:15" s="963" customFormat="1">
      <c r="A62" s="964" t="s">
        <v>511</v>
      </c>
      <c r="B62" s="395" t="e">
        <f t="shared" si="16"/>
        <v>#N/A</v>
      </c>
      <c r="C62" s="334">
        <f t="shared" si="17"/>
        <v>0</v>
      </c>
      <c r="D62" s="2260">
        <v>0.25</v>
      </c>
      <c r="E62" s="965">
        <v>0</v>
      </c>
      <c r="F62" s="962" t="e">
        <f t="shared" si="15"/>
        <v>#N/A</v>
      </c>
      <c r="G62" s="1609">
        <f>SUMIF(修正!A45:A56,项目基本情况!F9,修正!G45:G56)</f>
        <v>0</v>
      </c>
      <c r="H62" s="1610"/>
      <c r="I62" s="2217"/>
      <c r="J62" s="2217"/>
      <c r="K62" s="2221"/>
      <c r="L62" s="2222"/>
      <c r="M62" s="2217"/>
      <c r="N62" s="2217"/>
      <c r="O62" s="1607"/>
    </row>
    <row r="63" spans="1:15" s="963" customFormat="1">
      <c r="A63" s="964" t="s">
        <v>512</v>
      </c>
      <c r="B63" s="395" t="e">
        <f t="shared" si="16"/>
        <v>#N/A</v>
      </c>
      <c r="C63" s="334">
        <f>IF($C$55="北京市系数",G63,H63)</f>
        <v>0</v>
      </c>
      <c r="D63" s="2260">
        <v>0.25</v>
      </c>
      <c r="E63" s="965">
        <v>0</v>
      </c>
      <c r="F63" s="962" t="e">
        <f t="shared" si="15"/>
        <v>#N/A</v>
      </c>
      <c r="G63" s="1609">
        <f>SUMIF(修正!A45:A56,项目基本情况!F9,修正!H45:H56)</f>
        <v>0</v>
      </c>
      <c r="H63" s="1610"/>
      <c r="I63" s="2215"/>
      <c r="J63" s="2220"/>
      <c r="K63" s="2216"/>
      <c r="L63" s="2216"/>
      <c r="M63" s="2215"/>
      <c r="N63" s="2215"/>
      <c r="O63" s="1607"/>
    </row>
    <row r="64" spans="1:15" s="963" customFormat="1">
      <c r="A64" s="964" t="s">
        <v>513</v>
      </c>
      <c r="B64" s="395" t="e">
        <f t="shared" si="16"/>
        <v>#N/A</v>
      </c>
      <c r="C64" s="334">
        <f t="shared" si="17"/>
        <v>0</v>
      </c>
      <c r="D64" s="2260">
        <v>0.25</v>
      </c>
      <c r="E64" s="965">
        <v>0</v>
      </c>
      <c r="F64" s="962" t="e">
        <f t="shared" si="15"/>
        <v>#N/A</v>
      </c>
      <c r="G64" s="1609">
        <f>G63</f>
        <v>0</v>
      </c>
      <c r="H64" s="1610"/>
      <c r="I64" s="2217"/>
      <c r="J64" s="2217"/>
      <c r="K64" s="2221"/>
      <c r="L64" s="2222"/>
      <c r="M64" s="2217"/>
      <c r="N64" s="2217"/>
      <c r="O64" s="1607"/>
    </row>
    <row r="65" spans="1:17" s="963" customFormat="1">
      <c r="A65" s="964" t="s">
        <v>514</v>
      </c>
      <c r="B65" s="395" t="e">
        <f t="shared" si="16"/>
        <v>#N/A</v>
      </c>
      <c r="C65" s="334">
        <f t="shared" si="17"/>
        <v>0</v>
      </c>
      <c r="D65" s="2260">
        <v>0.25</v>
      </c>
      <c r="E65" s="965">
        <v>0</v>
      </c>
      <c r="F65" s="962" t="e">
        <f t="shared" si="15"/>
        <v>#N/A</v>
      </c>
      <c r="G65" s="1609">
        <f>G63</f>
        <v>0</v>
      </c>
      <c r="H65" s="1610"/>
      <c r="I65" s="2215"/>
      <c r="J65" s="2220"/>
      <c r="K65" s="2216"/>
      <c r="L65" s="2216"/>
      <c r="M65" s="2215"/>
      <c r="N65" s="2215"/>
      <c r="O65" s="1607"/>
    </row>
    <row r="66" spans="1:17" s="963" customFormat="1" ht="13.5" thickBot="1">
      <c r="A66" s="967" t="s">
        <v>515</v>
      </c>
      <c r="B66" s="968" t="s">
        <v>157</v>
      </c>
      <c r="C66" s="968" t="s">
        <v>158</v>
      </c>
      <c r="D66" s="968" t="s">
        <v>138</v>
      </c>
      <c r="E66" s="968">
        <f>SUM(E56:E65)</f>
        <v>120</v>
      </c>
      <c r="F66" s="969" t="e">
        <f>SUM(F56:F65)</f>
        <v>#N/A</v>
      </c>
      <c r="G66" s="1208"/>
      <c r="H66" s="1208"/>
      <c r="I66" s="2228"/>
      <c r="J66" s="2228"/>
      <c r="K66" s="2228"/>
      <c r="L66" s="1607"/>
      <c r="M66" s="1607"/>
      <c r="N66" s="1607"/>
      <c r="O66" s="1607"/>
    </row>
    <row r="67" spans="1:17">
      <c r="A67" s="2215"/>
      <c r="B67" s="2218"/>
      <c r="C67" s="2223"/>
      <c r="D67" s="2215"/>
      <c r="E67" s="2215"/>
      <c r="F67" s="2215"/>
      <c r="G67" s="2215"/>
      <c r="H67" s="2215"/>
      <c r="I67" s="2215"/>
      <c r="J67" s="2215"/>
      <c r="K67" s="2220"/>
      <c r="L67" s="2216"/>
      <c r="M67" s="2215"/>
      <c r="N67" s="2215"/>
      <c r="O67" s="2215"/>
    </row>
    <row r="68" spans="1:17" s="2794" customFormat="1">
      <c r="A68" s="1098"/>
      <c r="B68" s="2792"/>
      <c r="C68" s="2792" t="str">
        <f>YEAR(C7)&amp;"-"&amp;MONTH(C7)&amp;"-1"</f>
        <v>2017-6-1</v>
      </c>
      <c r="D68" s="2792">
        <f>EDATE(C68,-3)</f>
        <v>42795</v>
      </c>
      <c r="E68" s="2792">
        <f t="shared" ref="E68:O68" si="18">EDATE(D68,-3)</f>
        <v>42705</v>
      </c>
      <c r="F68" s="2792">
        <f t="shared" si="18"/>
        <v>42614</v>
      </c>
      <c r="G68" s="2792">
        <f t="shared" si="18"/>
        <v>42522</v>
      </c>
      <c r="H68" s="2792">
        <f t="shared" si="18"/>
        <v>42430</v>
      </c>
      <c r="I68" s="2792">
        <f t="shared" si="18"/>
        <v>42339</v>
      </c>
      <c r="J68" s="2792">
        <f t="shared" si="18"/>
        <v>42248</v>
      </c>
      <c r="K68" s="2792">
        <f t="shared" si="18"/>
        <v>42156</v>
      </c>
      <c r="L68" s="2792">
        <f t="shared" si="18"/>
        <v>42064</v>
      </c>
      <c r="M68" s="2792">
        <f t="shared" si="18"/>
        <v>41974</v>
      </c>
      <c r="N68" s="2792">
        <f t="shared" si="18"/>
        <v>41883</v>
      </c>
      <c r="O68" s="2792">
        <f t="shared" si="18"/>
        <v>41791</v>
      </c>
    </row>
    <row r="69" spans="1:17" ht="21.75" thickBot="1">
      <c r="A69" s="1102" t="s">
        <v>427</v>
      </c>
      <c r="B69" s="1098"/>
      <c r="C69" s="1103"/>
      <c r="D69" s="1103"/>
      <c r="E69" s="1103"/>
      <c r="F69" s="1104"/>
      <c r="G69" s="1104"/>
      <c r="H69" s="1103"/>
      <c r="I69" s="2231"/>
      <c r="J69" s="2231"/>
      <c r="K69" s="2229"/>
      <c r="L69" s="2230"/>
      <c r="M69" s="2231"/>
      <c r="N69" s="2231"/>
      <c r="O69" s="2231"/>
      <c r="P69" s="702"/>
      <c r="Q69" s="703"/>
    </row>
    <row r="70" spans="1:17" s="2796" customFormat="1" ht="15">
      <c r="A70" s="2527" t="s">
        <v>2652</v>
      </c>
      <c r="B70" s="2526"/>
      <c r="C70" s="2793" t="str">
        <f>YEAR(C68)&amp;"-"&amp;ROUNDUP(MONTH(C68)/3,0)</f>
        <v>2017-2</v>
      </c>
      <c r="D70" s="2793" t="str">
        <f>YEAR(D68)&amp;"-"&amp;ROUNDUP(MONTH(D68)/3,0)</f>
        <v>2017-1</v>
      </c>
      <c r="E70" s="2793" t="str">
        <f t="shared" ref="E70:O70" si="19">YEAR(E68)&amp;"-"&amp;ROUNDUP(MONTH(E68)/3,0)</f>
        <v>2016-4</v>
      </c>
      <c r="F70" s="2793" t="str">
        <f t="shared" si="19"/>
        <v>2016-3</v>
      </c>
      <c r="G70" s="2793" t="str">
        <f t="shared" si="19"/>
        <v>2016-2</v>
      </c>
      <c r="H70" s="2793" t="str">
        <f t="shared" si="19"/>
        <v>2016-1</v>
      </c>
      <c r="I70" s="2793" t="str">
        <f t="shared" si="19"/>
        <v>2015-4</v>
      </c>
      <c r="J70" s="2793" t="str">
        <f t="shared" si="19"/>
        <v>2015-3</v>
      </c>
      <c r="K70" s="2793" t="str">
        <f t="shared" si="19"/>
        <v>2015-2</v>
      </c>
      <c r="L70" s="2793" t="str">
        <f t="shared" si="19"/>
        <v>2015-1</v>
      </c>
      <c r="M70" s="2793" t="str">
        <f t="shared" si="19"/>
        <v>2014-4</v>
      </c>
      <c r="N70" s="2793" t="str">
        <f t="shared" si="19"/>
        <v>2014-3</v>
      </c>
      <c r="O70" s="2793" t="str">
        <f t="shared" si="19"/>
        <v>2014-2</v>
      </c>
      <c r="P70" s="2795"/>
    </row>
    <row r="71" spans="1:17" s="218" customFormat="1" ht="29.25" customHeight="1">
      <c r="A71" s="2803" t="s">
        <v>25</v>
      </c>
      <c r="B71" s="501" t="str">
        <f>"北京市平均增长率"&amp;TEXT(SUMIF(基准地价修正!N21:N25,A71,基准地价修正!P21:P25),"0.00%")</f>
        <v>北京市平均增长率2.66%</v>
      </c>
      <c r="C71" s="805">
        <v>100</v>
      </c>
      <c r="D71" s="797">
        <v>97.04</v>
      </c>
      <c r="E71" s="797">
        <v>94.08</v>
      </c>
      <c r="F71" s="797">
        <v>91.12</v>
      </c>
      <c r="G71" s="797">
        <v>88.16</v>
      </c>
      <c r="H71" s="797">
        <v>85.2</v>
      </c>
      <c r="I71" s="797">
        <v>82.24</v>
      </c>
      <c r="J71" s="797">
        <v>79.28</v>
      </c>
      <c r="K71" s="797">
        <v>76.319999999999894</v>
      </c>
      <c r="L71" s="797">
        <v>73.3599999999999</v>
      </c>
      <c r="M71" s="797">
        <v>70.399999999999906</v>
      </c>
      <c r="N71" s="797"/>
      <c r="O71" s="2797"/>
      <c r="P71" s="703"/>
    </row>
    <row r="72" spans="1:17" s="218" customFormat="1" ht="15.75" thickBot="1">
      <c r="A72" s="714" t="s">
        <v>428</v>
      </c>
      <c r="B72" s="715"/>
      <c r="C72" s="716"/>
      <c r="D72" s="717"/>
      <c r="E72" s="717"/>
      <c r="F72" s="717"/>
      <c r="G72" s="717"/>
      <c r="H72" s="717"/>
      <c r="I72" s="717"/>
      <c r="J72" s="717"/>
      <c r="K72" s="717"/>
      <c r="L72" s="717"/>
      <c r="M72" s="718"/>
      <c r="N72" s="717"/>
      <c r="O72" s="2798"/>
      <c r="P72" s="703"/>
      <c r="Q72" s="703"/>
    </row>
    <row r="73" spans="1:17" s="218" customFormat="1" ht="15">
      <c r="A73" s="720" t="s">
        <v>412</v>
      </c>
      <c r="B73" s="709"/>
      <c r="C73" s="721" t="s">
        <v>429</v>
      </c>
      <c r="D73" s="87"/>
      <c r="E73" s="87"/>
      <c r="F73" s="87"/>
      <c r="G73" s="87"/>
      <c r="H73" s="87"/>
      <c r="I73" s="87"/>
      <c r="J73" s="87"/>
      <c r="K73" s="87"/>
      <c r="L73" s="88"/>
      <c r="M73" s="914"/>
      <c r="N73" s="2224"/>
      <c r="O73" s="2224"/>
      <c r="P73" s="725"/>
      <c r="Q73" s="703"/>
    </row>
    <row r="74" spans="1:17" s="218" customFormat="1" ht="15.75" thickBot="1">
      <c r="A74" s="720"/>
      <c r="B74" s="709"/>
      <c r="C74" s="841">
        <v>100</v>
      </c>
      <c r="D74" s="711"/>
      <c r="E74" s="711"/>
      <c r="F74" s="711"/>
      <c r="G74" s="711"/>
      <c r="H74" s="711"/>
      <c r="I74" s="711"/>
      <c r="J74" s="711"/>
      <c r="K74" s="711"/>
      <c r="L74" s="711"/>
      <c r="M74" s="713"/>
      <c r="N74" s="2224"/>
      <c r="O74" s="2224"/>
      <c r="P74" s="703"/>
      <c r="Q74" s="703"/>
    </row>
    <row r="75" spans="1:17">
      <c r="A75" s="726" t="s">
        <v>430</v>
      </c>
      <c r="B75" s="727" t="s">
        <v>431</v>
      </c>
      <c r="C75" s="69" t="s">
        <v>6306</v>
      </c>
      <c r="D75" s="69" t="s">
        <v>6307</v>
      </c>
      <c r="E75" s="69"/>
      <c r="F75" s="69"/>
      <c r="G75" s="69"/>
      <c r="H75" s="69"/>
      <c r="I75" s="69"/>
      <c r="J75" s="69"/>
      <c r="K75" s="70"/>
      <c r="L75" s="71"/>
      <c r="M75" s="72"/>
      <c r="N75" s="2225"/>
      <c r="O75" s="2225"/>
      <c r="P75" s="205"/>
      <c r="Q75" s="703"/>
    </row>
    <row r="76" spans="1:17" ht="15.75" thickBot="1">
      <c r="A76" s="734"/>
      <c r="B76" s="735"/>
      <c r="C76" s="736">
        <v>100</v>
      </c>
      <c r="D76" s="736">
        <v>90</v>
      </c>
      <c r="E76" s="736"/>
      <c r="F76" s="736"/>
      <c r="G76" s="736"/>
      <c r="H76" s="736"/>
      <c r="I76" s="736"/>
      <c r="J76" s="736"/>
      <c r="K76" s="736"/>
      <c r="L76" s="736"/>
      <c r="M76" s="737"/>
      <c r="N76" s="2226"/>
      <c r="O76" s="2226"/>
      <c r="P76" s="205"/>
      <c r="Q76" s="703"/>
    </row>
    <row r="77" spans="1:17" ht="27.75" thickTop="1">
      <c r="A77" s="734"/>
      <c r="B77" s="739" t="s">
        <v>416</v>
      </c>
      <c r="C77" s="740"/>
      <c r="D77" s="740"/>
      <c r="E77" s="740"/>
      <c r="F77" s="740"/>
      <c r="G77" s="740"/>
      <c r="H77" s="740"/>
      <c r="I77" s="740"/>
      <c r="J77" s="740"/>
      <c r="K77" s="741"/>
      <c r="L77" s="742"/>
      <c r="M77" s="743"/>
      <c r="N77" s="2225"/>
      <c r="O77" s="2225"/>
      <c r="P77" s="205"/>
      <c r="Q77" s="703"/>
    </row>
    <row r="78" spans="1:17" ht="15.75" thickBot="1">
      <c r="A78" s="734"/>
      <c r="B78" s="744"/>
      <c r="C78" s="745"/>
      <c r="D78" s="745"/>
      <c r="E78" s="745"/>
      <c r="F78" s="745"/>
      <c r="G78" s="745"/>
      <c r="H78" s="745"/>
      <c r="I78" s="745"/>
      <c r="J78" s="745"/>
      <c r="K78" s="745"/>
      <c r="L78" s="745"/>
      <c r="M78" s="746"/>
      <c r="N78" s="2226"/>
      <c r="O78" s="2226"/>
      <c r="P78" s="205"/>
      <c r="Q78" s="703"/>
    </row>
    <row r="79" spans="1:17" ht="15.75" thickTop="1">
      <c r="A79" s="734"/>
      <c r="B79" s="747" t="s">
        <v>417</v>
      </c>
      <c r="C79" s="748" t="str">
        <f>C80&amp;"（含）"&amp;"-"&amp;D80</f>
        <v>1（含）-2</v>
      </c>
      <c r="D79" s="748" t="str">
        <f t="shared" ref="D79:L79" si="20">D80&amp;"（含）"&amp;"-"&amp;E80</f>
        <v>2（含）-3</v>
      </c>
      <c r="E79" s="748" t="str">
        <f t="shared" si="20"/>
        <v>3（含）-4</v>
      </c>
      <c r="F79" s="748" t="str">
        <f t="shared" si="20"/>
        <v>4（含）-5</v>
      </c>
      <c r="G79" s="748" t="str">
        <f t="shared" si="20"/>
        <v>5（含）-6</v>
      </c>
      <c r="H79" s="748" t="str">
        <f t="shared" si="20"/>
        <v>6（含）-7</v>
      </c>
      <c r="I79" s="748" t="str">
        <f t="shared" si="20"/>
        <v>7（含）-8</v>
      </c>
      <c r="J79" s="748" t="str">
        <f t="shared" si="20"/>
        <v>8（含）-9</v>
      </c>
      <c r="K79" s="748" t="str">
        <f t="shared" si="20"/>
        <v>9（含）-</v>
      </c>
      <c r="L79" s="748" t="str">
        <f t="shared" si="20"/>
        <v>（含）-</v>
      </c>
      <c r="M79" s="645" t="str">
        <f>M80&amp;"（含）"&amp;"-"&amp;P80</f>
        <v>（含）-</v>
      </c>
      <c r="N79" s="2226"/>
      <c r="O79" s="2226"/>
      <c r="P79" s="205"/>
      <c r="Q79" s="703"/>
    </row>
    <row r="80" spans="1:17" ht="15">
      <c r="A80" s="734"/>
      <c r="B80" s="749"/>
      <c r="C80" s="750">
        <v>1</v>
      </c>
      <c r="D80" s="750">
        <v>2</v>
      </c>
      <c r="E80" s="750">
        <v>3</v>
      </c>
      <c r="F80" s="750">
        <v>4</v>
      </c>
      <c r="G80" s="750">
        <v>5</v>
      </c>
      <c r="H80" s="750">
        <v>6</v>
      </c>
      <c r="I80" s="750">
        <v>7</v>
      </c>
      <c r="J80" s="750">
        <v>8</v>
      </c>
      <c r="K80" s="751">
        <v>9</v>
      </c>
      <c r="L80" s="752"/>
      <c r="M80" s="753"/>
      <c r="N80" s="2225"/>
      <c r="O80" s="2225"/>
      <c r="P80" s="205"/>
      <c r="Q80" s="703"/>
    </row>
    <row r="81" spans="1:17" ht="15.75" thickBot="1">
      <c r="A81" s="734"/>
      <c r="B81" s="735"/>
      <c r="C81" s="745">
        <v>100</v>
      </c>
      <c r="D81" s="745">
        <f t="shared" ref="D81:M81" si="21">IF($B$46="单位面积地价",C81+$K11,C81-$K11)</f>
        <v>99</v>
      </c>
      <c r="E81" s="745">
        <f t="shared" si="21"/>
        <v>98</v>
      </c>
      <c r="F81" s="745">
        <f t="shared" si="21"/>
        <v>97</v>
      </c>
      <c r="G81" s="745">
        <f t="shared" si="21"/>
        <v>96</v>
      </c>
      <c r="H81" s="745">
        <f t="shared" si="21"/>
        <v>95</v>
      </c>
      <c r="I81" s="745">
        <f t="shared" si="21"/>
        <v>94</v>
      </c>
      <c r="J81" s="745">
        <f t="shared" si="21"/>
        <v>93</v>
      </c>
      <c r="K81" s="745">
        <f t="shared" si="21"/>
        <v>92</v>
      </c>
      <c r="L81" s="745">
        <f t="shared" si="21"/>
        <v>91</v>
      </c>
      <c r="M81" s="745">
        <f t="shared" si="21"/>
        <v>90</v>
      </c>
      <c r="N81" s="2226"/>
      <c r="O81" s="2226"/>
      <c r="P81" s="205"/>
      <c r="Q81" s="703"/>
    </row>
    <row r="82" spans="1:17" s="670" customFormat="1" ht="15.75" hidden="1" thickTop="1">
      <c r="A82" s="754"/>
      <c r="B82" s="739">
        <f>B12</f>
        <v>0</v>
      </c>
      <c r="C82" s="86"/>
      <c r="D82" s="86"/>
      <c r="E82" s="86"/>
      <c r="F82" s="86"/>
      <c r="G82" s="86"/>
      <c r="H82" s="922"/>
      <c r="I82" s="922"/>
      <c r="J82" s="922"/>
      <c r="K82" s="922"/>
      <c r="L82" s="923"/>
      <c r="M82" s="924"/>
      <c r="N82" s="2227"/>
      <c r="O82" s="2227"/>
      <c r="P82" s="760"/>
      <c r="Q82" s="761"/>
    </row>
    <row r="83" spans="1:17" s="670" customFormat="1" ht="15.75" hidden="1" thickBot="1">
      <c r="A83" s="754"/>
      <c r="B83" s="744"/>
      <c r="C83" s="762"/>
      <c r="D83" s="736"/>
      <c r="E83" s="736"/>
      <c r="F83" s="736"/>
      <c r="G83" s="736"/>
      <c r="H83" s="736"/>
      <c r="I83" s="736"/>
      <c r="J83" s="736"/>
      <c r="K83" s="736"/>
      <c r="L83" s="736"/>
      <c r="M83" s="737"/>
      <c r="N83" s="2226"/>
      <c r="O83" s="2226"/>
      <c r="P83" s="760"/>
      <c r="Q83" s="761"/>
    </row>
    <row r="84" spans="1:17" s="670" customFormat="1" ht="15.75" hidden="1" thickTop="1">
      <c r="A84" s="754"/>
      <c r="B84" s="739">
        <f>B13</f>
        <v>0</v>
      </c>
      <c r="C84" s="86"/>
      <c r="D84" s="86"/>
      <c r="E84" s="86"/>
      <c r="F84" s="86"/>
      <c r="G84" s="86"/>
      <c r="H84" s="922"/>
      <c r="I84" s="922"/>
      <c r="J84" s="922"/>
      <c r="K84" s="922"/>
      <c r="L84" s="923"/>
      <c r="M84" s="924"/>
      <c r="N84" s="2227"/>
      <c r="O84" s="2227"/>
      <c r="P84" s="669"/>
      <c r="Q84" s="763"/>
    </row>
    <row r="85" spans="1:17" s="670" customFormat="1" ht="15.75" hidden="1" thickBot="1">
      <c r="A85" s="754"/>
      <c r="B85" s="744"/>
      <c r="C85" s="762"/>
      <c r="D85" s="762"/>
      <c r="E85" s="762"/>
      <c r="F85" s="762"/>
      <c r="G85" s="762"/>
      <c r="H85" s="764"/>
      <c r="I85" s="764"/>
      <c r="J85" s="764"/>
      <c r="K85" s="764"/>
      <c r="L85" s="764"/>
      <c r="M85" s="765"/>
      <c r="N85" s="2227"/>
      <c r="O85" s="2227"/>
      <c r="P85" s="760"/>
      <c r="Q85" s="761"/>
    </row>
    <row r="86" spans="1:17" s="670" customFormat="1" ht="15.75" hidden="1" thickTop="1">
      <c r="A86" s="754"/>
      <c r="B86" s="747">
        <f>B14</f>
        <v>0</v>
      </c>
      <c r="C86" s="87"/>
      <c r="D86" s="87"/>
      <c r="E86" s="87"/>
      <c r="F86" s="87"/>
      <c r="G86" s="87"/>
      <c r="H86" s="929"/>
      <c r="I86" s="929"/>
      <c r="J86" s="929"/>
      <c r="K86" s="929"/>
      <c r="L86" s="930"/>
      <c r="M86" s="931"/>
      <c r="N86" s="2227"/>
      <c r="O86" s="2227"/>
      <c r="P86" s="769"/>
      <c r="Q86" s="761"/>
    </row>
    <row r="87" spans="1:17" s="670" customFormat="1" ht="15.75" hidden="1" thickBot="1">
      <c r="A87" s="770"/>
      <c r="B87" s="771"/>
      <c r="C87" s="772"/>
      <c r="D87" s="772"/>
      <c r="E87" s="772"/>
      <c r="F87" s="772"/>
      <c r="G87" s="772"/>
      <c r="H87" s="773"/>
      <c r="I87" s="773"/>
      <c r="J87" s="773"/>
      <c r="K87" s="773"/>
      <c r="L87" s="773"/>
      <c r="M87" s="774"/>
      <c r="N87" s="2227"/>
      <c r="O87" s="2227"/>
      <c r="P87" s="760"/>
      <c r="Q87" s="761"/>
    </row>
    <row r="88" spans="1:17" ht="15" thickTop="1">
      <c r="A88" s="726" t="s">
        <v>418</v>
      </c>
      <c r="B88" s="727" t="s">
        <v>436</v>
      </c>
      <c r="C88" s="775" t="s">
        <v>437</v>
      </c>
      <c r="D88" s="775" t="s">
        <v>438</v>
      </c>
      <c r="E88" s="775" t="s">
        <v>439</v>
      </c>
      <c r="F88" s="775" t="s">
        <v>440</v>
      </c>
      <c r="G88" s="775" t="s">
        <v>441</v>
      </c>
      <c r="H88" s="728"/>
      <c r="I88" s="728"/>
      <c r="J88" s="728"/>
      <c r="K88" s="776"/>
      <c r="L88" s="777"/>
      <c r="M88" s="778"/>
      <c r="N88" s="2225"/>
      <c r="O88" s="2225"/>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6"/>
      <c r="O89" s="2226"/>
      <c r="P89" s="205"/>
      <c r="Q89" s="703"/>
    </row>
    <row r="90" spans="1:17" ht="15.75" thickTop="1">
      <c r="A90" s="734"/>
      <c r="B90" s="739" t="s">
        <v>516</v>
      </c>
      <c r="C90" s="780" t="s">
        <v>437</v>
      </c>
      <c r="D90" s="780" t="s">
        <v>438</v>
      </c>
      <c r="E90" s="780" t="s">
        <v>439</v>
      </c>
      <c r="F90" s="780" t="s">
        <v>440</v>
      </c>
      <c r="G90" s="780" t="s">
        <v>441</v>
      </c>
      <c r="H90" s="740"/>
      <c r="I90" s="740"/>
      <c r="J90" s="740"/>
      <c r="K90" s="741"/>
      <c r="L90" s="742"/>
      <c r="M90" s="743"/>
      <c r="N90" s="2225"/>
      <c r="O90" s="2225"/>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6"/>
      <c r="O91" s="2226"/>
      <c r="P91" s="205"/>
      <c r="Q91" s="703"/>
    </row>
    <row r="92" spans="1:17" ht="15.75" thickTop="1">
      <c r="A92" s="734"/>
      <c r="B92" s="739" t="s">
        <v>454</v>
      </c>
      <c r="C92" s="780" t="s">
        <v>437</v>
      </c>
      <c r="D92" s="780" t="s">
        <v>438</v>
      </c>
      <c r="E92" s="780" t="s">
        <v>439</v>
      </c>
      <c r="F92" s="780" t="s">
        <v>440</v>
      </c>
      <c r="G92" s="780" t="s">
        <v>441</v>
      </c>
      <c r="H92" s="740"/>
      <c r="I92" s="740"/>
      <c r="J92" s="740"/>
      <c r="K92" s="741"/>
      <c r="L92" s="742"/>
      <c r="M92" s="743"/>
      <c r="N92" s="2225"/>
      <c r="O92" s="2225"/>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6"/>
      <c r="O93" s="2226"/>
      <c r="P93" s="205"/>
      <c r="Q93" s="703"/>
    </row>
    <row r="94" spans="1:17" ht="15.75" thickTop="1">
      <c r="A94" s="734"/>
      <c r="B94" s="739" t="s">
        <v>442</v>
      </c>
      <c r="C94" s="780" t="s">
        <v>437</v>
      </c>
      <c r="D94" s="780" t="s">
        <v>438</v>
      </c>
      <c r="E94" s="780" t="s">
        <v>439</v>
      </c>
      <c r="F94" s="780" t="s">
        <v>440</v>
      </c>
      <c r="G94" s="780" t="s">
        <v>441</v>
      </c>
      <c r="H94" s="740"/>
      <c r="I94" s="740"/>
      <c r="J94" s="740"/>
      <c r="K94" s="741"/>
      <c r="L94" s="742"/>
      <c r="M94" s="743"/>
      <c r="N94" s="2225"/>
      <c r="O94" s="2225"/>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6"/>
      <c r="O95" s="2226"/>
      <c r="P95" s="205"/>
      <c r="Q95" s="703"/>
    </row>
    <row r="96" spans="1:17" s="218" customFormat="1" ht="27.75" thickTop="1">
      <c r="A96" s="781"/>
      <c r="B96" s="739" t="s">
        <v>517</v>
      </c>
      <c r="C96" s="780" t="s">
        <v>437</v>
      </c>
      <c r="D96" s="780" t="s">
        <v>438</v>
      </c>
      <c r="E96" s="780" t="s">
        <v>439</v>
      </c>
      <c r="F96" s="780" t="s">
        <v>440</v>
      </c>
      <c r="G96" s="780" t="s">
        <v>441</v>
      </c>
      <c r="H96" s="780"/>
      <c r="I96" s="780"/>
      <c r="J96" s="780"/>
      <c r="K96" s="780"/>
      <c r="L96" s="970"/>
      <c r="M96" s="824"/>
      <c r="N96" s="2224"/>
      <c r="O96" s="2224"/>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6"/>
      <c r="O97" s="2226"/>
      <c r="P97" s="205"/>
      <c r="Q97" s="703"/>
    </row>
    <row r="98" spans="1:17" s="218" customFormat="1" ht="27.75" thickTop="1">
      <c r="A98" s="781"/>
      <c r="B98" s="739" t="s">
        <v>518</v>
      </c>
      <c r="C98" s="775" t="s">
        <v>437</v>
      </c>
      <c r="D98" s="775" t="s">
        <v>438</v>
      </c>
      <c r="E98" s="775" t="s">
        <v>439</v>
      </c>
      <c r="F98" s="775" t="s">
        <v>440</v>
      </c>
      <c r="G98" s="775" t="s">
        <v>441</v>
      </c>
      <c r="H98" s="780"/>
      <c r="I98" s="780"/>
      <c r="J98" s="780"/>
      <c r="K98" s="780"/>
      <c r="L98" s="780"/>
      <c r="M98" s="824"/>
      <c r="N98" s="2224"/>
      <c r="O98" s="2224"/>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6"/>
      <c r="O99" s="2226"/>
      <c r="P99" s="205"/>
      <c r="Q99" s="703"/>
    </row>
    <row r="100" spans="1:17" s="218" customFormat="1" ht="15.75" thickTop="1">
      <c r="A100" s="781"/>
      <c r="B100" s="919" t="s">
        <v>2547</v>
      </c>
      <c r="C100" s="775" t="s">
        <v>437</v>
      </c>
      <c r="D100" s="775" t="s">
        <v>438</v>
      </c>
      <c r="E100" s="775" t="s">
        <v>439</v>
      </c>
      <c r="F100" s="775" t="s">
        <v>440</v>
      </c>
      <c r="G100" s="775" t="s">
        <v>441</v>
      </c>
      <c r="H100" s="740"/>
      <c r="I100" s="740"/>
      <c r="J100" s="740"/>
      <c r="K100" s="740"/>
      <c r="L100" s="740"/>
      <c r="M100" s="2555"/>
      <c r="N100" s="2226"/>
      <c r="O100" s="2226"/>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6"/>
      <c r="O101" s="2226"/>
      <c r="P101" s="205"/>
      <c r="Q101" s="703"/>
    </row>
    <row r="102" spans="1:17" s="670" customFormat="1" ht="15.75" thickTop="1">
      <c r="A102" s="754"/>
      <c r="B102" s="917" t="s">
        <v>2546</v>
      </c>
      <c r="C102" s="129" t="s">
        <v>2534</v>
      </c>
      <c r="D102" s="129" t="s">
        <v>2535</v>
      </c>
      <c r="E102" s="129" t="s">
        <v>2536</v>
      </c>
      <c r="F102" s="129" t="s">
        <v>2537</v>
      </c>
      <c r="G102" s="129" t="s">
        <v>2538</v>
      </c>
      <c r="H102" s="802"/>
      <c r="I102" s="802"/>
      <c r="J102" s="802"/>
      <c r="K102" s="802"/>
      <c r="L102" s="803"/>
      <c r="M102" s="804"/>
      <c r="N102" s="2227"/>
      <c r="O102" s="2227"/>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7"/>
      <c r="O103" s="2227"/>
      <c r="P103" s="760"/>
      <c r="Q103" s="761"/>
    </row>
    <row r="104" spans="1:17" ht="15.75" thickTop="1">
      <c r="A104" s="734"/>
      <c r="B104" s="917" t="str">
        <f>B31</f>
        <v>临街状况</v>
      </c>
      <c r="C104" s="740" t="s">
        <v>519</v>
      </c>
      <c r="D104" s="740" t="s">
        <v>520</v>
      </c>
      <c r="E104" s="740" t="s">
        <v>521</v>
      </c>
      <c r="F104" s="740" t="s">
        <v>522</v>
      </c>
      <c r="G104" s="740"/>
      <c r="H104" s="740"/>
      <c r="I104" s="740"/>
      <c r="J104" s="740"/>
      <c r="K104" s="741"/>
      <c r="L104" s="742"/>
      <c r="M104" s="743"/>
      <c r="N104" s="2225"/>
      <c r="O104" s="2225"/>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6"/>
      <c r="O105" s="2226"/>
      <c r="P105" s="205"/>
      <c r="Q105" s="703"/>
    </row>
    <row r="106" spans="1:17" ht="27.75" thickTop="1">
      <c r="A106" s="734"/>
      <c r="B106" s="739" t="s">
        <v>453</v>
      </c>
      <c r="C106" s="86" t="s">
        <v>6328</v>
      </c>
      <c r="D106" s="86"/>
      <c r="E106" s="86"/>
      <c r="F106" s="86"/>
      <c r="G106" s="86"/>
      <c r="H106" s="78"/>
      <c r="I106" s="78"/>
      <c r="J106" s="78"/>
      <c r="K106" s="79"/>
      <c r="L106" s="80"/>
      <c r="M106" s="81"/>
      <c r="N106" s="2225"/>
      <c r="O106" s="2225"/>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6"/>
      <c r="O107" s="2226"/>
      <c r="P107" s="205"/>
      <c r="Q107" s="703"/>
    </row>
    <row r="108" spans="1:17" ht="15.75" thickTop="1">
      <c r="A108" s="734"/>
      <c r="B108" s="739" t="s">
        <v>495</v>
      </c>
      <c r="C108" s="78"/>
      <c r="D108" s="78"/>
      <c r="E108" s="78"/>
      <c r="F108" s="78"/>
      <c r="G108" s="78"/>
      <c r="H108" s="78"/>
      <c r="I108" s="78"/>
      <c r="J108" s="78"/>
      <c r="K108" s="79"/>
      <c r="L108" s="80"/>
      <c r="M108" s="81"/>
      <c r="N108" s="2225"/>
      <c r="O108" s="2225"/>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6"/>
      <c r="O109" s="2226"/>
      <c r="P109" s="205"/>
      <c r="Q109" s="703"/>
    </row>
    <row r="110" spans="1:17" ht="15.75" hidden="1" thickTop="1">
      <c r="A110" s="734"/>
      <c r="B110" s="747">
        <f>B35</f>
        <v>0</v>
      </c>
      <c r="C110" s="86"/>
      <c r="D110" s="86"/>
      <c r="E110" s="86"/>
      <c r="F110" s="86"/>
      <c r="G110" s="82"/>
      <c r="H110" s="82"/>
      <c r="I110" s="82"/>
      <c r="J110" s="82"/>
      <c r="K110" s="83"/>
      <c r="L110" s="84"/>
      <c r="M110" s="85"/>
      <c r="N110" s="2225"/>
      <c r="O110" s="2225"/>
      <c r="P110" s="205"/>
      <c r="Q110" s="703"/>
    </row>
    <row r="111" spans="1:17" ht="15.75" hidden="1" thickBot="1">
      <c r="A111" s="734"/>
      <c r="B111" s="771"/>
      <c r="C111" s="762"/>
      <c r="D111" s="762"/>
      <c r="E111" s="762"/>
      <c r="F111" s="762"/>
      <c r="G111" s="793"/>
      <c r="H111" s="793"/>
      <c r="I111" s="793"/>
      <c r="J111" s="793"/>
      <c r="K111" s="793"/>
      <c r="L111" s="793"/>
      <c r="M111" s="794"/>
      <c r="N111" s="2226"/>
      <c r="O111" s="2226"/>
      <c r="P111" s="205"/>
      <c r="Q111" s="703"/>
    </row>
    <row r="112" spans="1:17" ht="15" hidden="1" thickTop="1">
      <c r="A112" s="946"/>
      <c r="B112" s="739">
        <f>B36</f>
        <v>0</v>
      </c>
      <c r="C112" s="87"/>
      <c r="D112" s="87"/>
      <c r="E112" s="87"/>
      <c r="F112" s="87"/>
      <c r="G112" s="78"/>
      <c r="H112" s="78"/>
      <c r="I112" s="78"/>
      <c r="J112" s="78"/>
      <c r="K112" s="79"/>
      <c r="L112" s="80"/>
      <c r="M112" s="81"/>
      <c r="N112" s="2225"/>
      <c r="O112" s="2225"/>
      <c r="P112" s="205"/>
      <c r="Q112" s="703"/>
    </row>
    <row r="113" spans="1:17" ht="15.75" hidden="1" thickBot="1">
      <c r="A113" s="734"/>
      <c r="B113" s="744"/>
      <c r="C113" s="772"/>
      <c r="D113" s="772"/>
      <c r="E113" s="772"/>
      <c r="F113" s="772"/>
      <c r="G113" s="736"/>
      <c r="H113" s="736"/>
      <c r="I113" s="736"/>
      <c r="J113" s="736"/>
      <c r="K113" s="736"/>
      <c r="L113" s="736"/>
      <c r="M113" s="737"/>
      <c r="N113" s="2226"/>
      <c r="O113" s="2226"/>
      <c r="P113" s="205"/>
      <c r="Q113" s="703"/>
    </row>
    <row r="114" spans="1:17" s="670" customFormat="1" ht="15" hidden="1" thickTop="1">
      <c r="A114" s="795"/>
      <c r="B114" s="796">
        <f>B37</f>
        <v>0</v>
      </c>
      <c r="C114" s="938"/>
      <c r="D114" s="938"/>
      <c r="E114" s="938"/>
      <c r="F114" s="938"/>
      <c r="G114" s="938"/>
      <c r="H114" s="938"/>
      <c r="I114" s="938"/>
      <c r="J114" s="939"/>
      <c r="K114" s="939"/>
      <c r="L114" s="940"/>
      <c r="M114" s="941"/>
      <c r="N114" s="2227"/>
      <c r="O114" s="2227"/>
      <c r="P114" s="760"/>
      <c r="Q114" s="761"/>
    </row>
    <row r="115" spans="1:17" s="670" customFormat="1" ht="15.75" hidden="1" thickBot="1">
      <c r="A115" s="754"/>
      <c r="B115" s="747"/>
      <c r="C115" s="711"/>
      <c r="D115" s="948"/>
      <c r="E115" s="948"/>
      <c r="F115" s="948"/>
      <c r="G115" s="948"/>
      <c r="H115" s="948"/>
      <c r="I115" s="948"/>
      <c r="J115" s="948"/>
      <c r="K115" s="948"/>
      <c r="L115" s="948"/>
      <c r="M115" s="971"/>
      <c r="N115" s="2226"/>
      <c r="O115" s="2226"/>
      <c r="P115" s="760"/>
      <c r="Q115" s="761"/>
    </row>
    <row r="116" spans="1:17" ht="29.25" thickTop="1">
      <c r="A116" s="726" t="s">
        <v>420</v>
      </c>
      <c r="B116" s="727" t="s">
        <v>523</v>
      </c>
      <c r="C116" s="3056" t="str">
        <f t="shared" ref="C116:L116" si="25">C117&amp;"(含)"&amp;"-"&amp;D117</f>
        <v>50000(含)-100000</v>
      </c>
      <c r="D116" s="3056" t="str">
        <f t="shared" si="25"/>
        <v>100000(含)-</v>
      </c>
      <c r="E116" s="3056" t="str">
        <f t="shared" si="25"/>
        <v>(含)-</v>
      </c>
      <c r="F116" s="3056" t="str">
        <f t="shared" si="25"/>
        <v>(含)-</v>
      </c>
      <c r="G116" s="3056" t="str">
        <f t="shared" si="25"/>
        <v>(含)-</v>
      </c>
      <c r="H116" s="3056" t="str">
        <f t="shared" si="25"/>
        <v>(含)-</v>
      </c>
      <c r="I116" s="3056" t="str">
        <f t="shared" si="25"/>
        <v>(含)-</v>
      </c>
      <c r="J116" s="3056" t="str">
        <f t="shared" si="25"/>
        <v>(含)-</v>
      </c>
      <c r="K116" s="3056" t="str">
        <f t="shared" si="25"/>
        <v>(含)-</v>
      </c>
      <c r="L116" s="3057" t="str">
        <f t="shared" si="25"/>
        <v>(含)-</v>
      </c>
      <c r="M116" s="3058" t="str">
        <f>M117&amp;"(含)"&amp;"-"&amp;P117</f>
        <v>(含)-</v>
      </c>
      <c r="N116" s="2225"/>
      <c r="O116" s="2225"/>
      <c r="P116" s="205"/>
      <c r="Q116" s="703"/>
    </row>
    <row r="117" spans="1:17" ht="15">
      <c r="A117" s="734"/>
      <c r="B117" s="747"/>
      <c r="C117" s="797">
        <v>50000</v>
      </c>
      <c r="D117" s="797">
        <v>100000</v>
      </c>
      <c r="E117" s="797"/>
      <c r="F117" s="797"/>
      <c r="G117" s="797"/>
      <c r="H117" s="797"/>
      <c r="I117" s="797"/>
      <c r="J117" s="798"/>
      <c r="K117" s="798"/>
      <c r="L117" s="799"/>
      <c r="M117" s="800"/>
      <c r="N117" s="2225"/>
      <c r="O117" s="2225"/>
      <c r="P117" s="205"/>
      <c r="Q117" s="703"/>
    </row>
    <row r="118" spans="1:17" ht="15.75" thickBot="1">
      <c r="A118" s="734"/>
      <c r="B118" s="744"/>
      <c r="C118" s="772">
        <v>100</v>
      </c>
      <c r="D118" s="793">
        <v>99</v>
      </c>
      <c r="E118" s="793"/>
      <c r="F118" s="793"/>
      <c r="G118" s="793"/>
      <c r="H118" s="793"/>
      <c r="I118" s="793"/>
      <c r="J118" s="793"/>
      <c r="K118" s="793"/>
      <c r="L118" s="793"/>
      <c r="M118" s="794"/>
      <c r="N118" s="2226"/>
      <c r="O118" s="2226"/>
      <c r="P118" s="205"/>
      <c r="Q118" s="703"/>
    </row>
    <row r="119" spans="1:17" ht="15" thickTop="1">
      <c r="A119" s="801"/>
      <c r="B119" s="739" t="s">
        <v>524</v>
      </c>
      <c r="C119" s="78" t="s">
        <v>6322</v>
      </c>
      <c r="D119" s="78"/>
      <c r="E119" s="78"/>
      <c r="F119" s="78"/>
      <c r="G119" s="78"/>
      <c r="H119" s="78"/>
      <c r="I119" s="78"/>
      <c r="J119" s="78"/>
      <c r="K119" s="79"/>
      <c r="L119" s="80"/>
      <c r="M119" s="81"/>
      <c r="N119" s="2225"/>
      <c r="O119" s="2225"/>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6"/>
      <c r="O120" s="2226"/>
      <c r="P120" s="205"/>
      <c r="Q120" s="703"/>
    </row>
    <row r="121" spans="1:17" ht="15" thickTop="1">
      <c r="A121" s="801"/>
      <c r="B121" s="739" t="s">
        <v>525</v>
      </c>
      <c r="C121" s="86" t="s">
        <v>6324</v>
      </c>
      <c r="D121" s="86"/>
      <c r="E121" s="86"/>
      <c r="F121" s="78"/>
      <c r="G121" s="78"/>
      <c r="H121" s="78"/>
      <c r="I121" s="78"/>
      <c r="J121" s="78"/>
      <c r="K121" s="79"/>
      <c r="L121" s="80"/>
      <c r="M121" s="81"/>
      <c r="N121" s="2225"/>
      <c r="O121" s="2225"/>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6"/>
      <c r="O122" s="2226"/>
      <c r="P122" s="205"/>
      <c r="Q122" s="703"/>
    </row>
    <row r="123" spans="1:17" s="670" customFormat="1" ht="15" thickTop="1">
      <c r="A123" s="795"/>
      <c r="B123" s="917" t="s">
        <v>2411</v>
      </c>
      <c r="C123" s="86" t="s">
        <v>6326</v>
      </c>
      <c r="D123" s="86"/>
      <c r="E123" s="86"/>
      <c r="F123" s="86"/>
      <c r="G123" s="86"/>
      <c r="H123" s="78"/>
      <c r="I123" s="78"/>
      <c r="J123" s="78"/>
      <c r="K123" s="79"/>
      <c r="L123" s="80"/>
      <c r="M123" s="81"/>
      <c r="N123" s="2227"/>
      <c r="O123" s="2227"/>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7"/>
      <c r="O124" s="2227"/>
      <c r="P124" s="760"/>
      <c r="Q124" s="761"/>
    </row>
    <row r="125" spans="1:17" ht="15" thickTop="1">
      <c r="A125" s="801"/>
      <c r="B125" s="739" t="s">
        <v>526</v>
      </c>
      <c r="C125" s="86" t="s">
        <v>6340</v>
      </c>
      <c r="D125" s="86"/>
      <c r="E125" s="78"/>
      <c r="F125" s="78"/>
      <c r="G125" s="78"/>
      <c r="H125" s="78"/>
      <c r="I125" s="78"/>
      <c r="J125" s="78"/>
      <c r="K125" s="79"/>
      <c r="L125" s="80"/>
      <c r="M125" s="81"/>
      <c r="N125" s="2225"/>
      <c r="O125" s="2225"/>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6"/>
      <c r="O126" s="2226"/>
      <c r="P126" s="205"/>
      <c r="Q126" s="703"/>
    </row>
    <row r="127" spans="1:17" ht="15" hidden="1" thickTop="1">
      <c r="A127" s="801"/>
      <c r="B127" s="739">
        <f>B43</f>
        <v>0</v>
      </c>
      <c r="C127" s="86"/>
      <c r="D127" s="86"/>
      <c r="E127" s="86"/>
      <c r="F127" s="86"/>
      <c r="G127" s="86"/>
      <c r="H127" s="78"/>
      <c r="I127" s="78"/>
      <c r="J127" s="78"/>
      <c r="K127" s="79"/>
      <c r="L127" s="80"/>
      <c r="M127" s="81"/>
      <c r="N127" s="2225"/>
      <c r="O127" s="2225"/>
      <c r="P127" s="205"/>
      <c r="Q127" s="703"/>
    </row>
    <row r="128" spans="1:17" ht="15.75" hidden="1" thickBot="1">
      <c r="A128" s="734"/>
      <c r="B128" s="744"/>
      <c r="C128" s="762"/>
      <c r="D128" s="762"/>
      <c r="E128" s="762"/>
      <c r="F128" s="762"/>
      <c r="G128" s="736"/>
      <c r="H128" s="736"/>
      <c r="I128" s="736"/>
      <c r="J128" s="736"/>
      <c r="K128" s="736"/>
      <c r="L128" s="736"/>
      <c r="M128" s="737"/>
      <c r="N128" s="2226"/>
      <c r="O128" s="2226"/>
      <c r="P128" s="205"/>
      <c r="Q128" s="703"/>
    </row>
    <row r="129" spans="1:17" ht="15" hidden="1" thickTop="1">
      <c r="A129" s="801"/>
      <c r="B129" s="739">
        <f>B44</f>
        <v>0</v>
      </c>
      <c r="C129" s="87"/>
      <c r="D129" s="87"/>
      <c r="E129" s="87"/>
      <c r="F129" s="87"/>
      <c r="G129" s="78"/>
      <c r="H129" s="78"/>
      <c r="I129" s="78"/>
      <c r="J129" s="78"/>
      <c r="K129" s="79"/>
      <c r="L129" s="80"/>
      <c r="M129" s="81"/>
      <c r="N129" s="2225"/>
      <c r="O129" s="2225"/>
      <c r="P129" s="205"/>
      <c r="Q129" s="703"/>
    </row>
    <row r="130" spans="1:17" ht="15.75" hidden="1" thickBot="1">
      <c r="A130" s="734"/>
      <c r="B130" s="744"/>
      <c r="C130" s="772"/>
      <c r="D130" s="772"/>
      <c r="E130" s="772"/>
      <c r="F130" s="772"/>
      <c r="G130" s="736"/>
      <c r="H130" s="736"/>
      <c r="I130" s="736"/>
      <c r="J130" s="736"/>
      <c r="K130" s="736"/>
      <c r="L130" s="736"/>
      <c r="M130" s="737"/>
      <c r="N130" s="2226"/>
      <c r="O130" s="2226"/>
      <c r="P130" s="205"/>
      <c r="Q130" s="703"/>
    </row>
    <row r="131" spans="1:17" s="670" customFormat="1" ht="15" hidden="1" thickTop="1">
      <c r="A131" s="795"/>
      <c r="B131" s="739">
        <f>B45</f>
        <v>0</v>
      </c>
      <c r="C131" s="87"/>
      <c r="D131" s="87"/>
      <c r="E131" s="87"/>
      <c r="F131" s="87"/>
      <c r="G131" s="922"/>
      <c r="H131" s="922"/>
      <c r="I131" s="922"/>
      <c r="J131" s="922"/>
      <c r="K131" s="922"/>
      <c r="L131" s="923"/>
      <c r="M131" s="924"/>
      <c r="N131" s="2227"/>
      <c r="O131" s="2227"/>
      <c r="P131" s="760"/>
      <c r="Q131" s="761"/>
    </row>
    <row r="132" spans="1:17" s="670" customFormat="1" ht="15.75" hidden="1" thickBot="1">
      <c r="A132" s="770"/>
      <c r="B132" s="972"/>
      <c r="C132" s="772"/>
      <c r="D132" s="772"/>
      <c r="E132" s="772"/>
      <c r="F132" s="772"/>
      <c r="G132" s="793"/>
      <c r="H132" s="793"/>
      <c r="I132" s="793"/>
      <c r="J132" s="793"/>
      <c r="K132" s="793"/>
      <c r="L132" s="793"/>
      <c r="M132" s="794"/>
      <c r="N132" s="2227"/>
      <c r="O132" s="2227"/>
      <c r="P132" s="760"/>
      <c r="Q132" s="761"/>
    </row>
    <row r="133" spans="1:17" ht="15" thickTop="1"/>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13"/>
  <sheetViews>
    <sheetView view="pageBreakPreview" zoomScaleNormal="90" zoomScaleSheetLayoutView="100" workbookViewId="0">
      <pane ySplit="27" topLeftCell="A28" activePane="bottomLeft" state="frozen"/>
      <selection activeCell="A11" sqref="A11:D11"/>
      <selection pane="bottomLeft" activeCell="G23" sqref="G23"/>
    </sheetView>
  </sheetViews>
  <sheetFormatPr defaultRowHeight="12.75"/>
  <cols>
    <col min="1" max="1" width="12.375" style="271" customWidth="1"/>
    <col min="2" max="2" width="9.25" style="200" customWidth="1"/>
    <col min="3" max="3" width="7.5" style="200" customWidth="1"/>
    <col min="4" max="4" width="14.5" style="200" customWidth="1"/>
    <col min="5" max="5" width="10.875" style="200" customWidth="1"/>
    <col min="6" max="6" width="9" style="200"/>
    <col min="7" max="7" width="6.5" style="200" customWidth="1"/>
    <col min="8" max="8" width="9" style="200"/>
    <col min="9" max="9" width="5" style="200" customWidth="1"/>
    <col min="10" max="10" width="0.625" style="200" customWidth="1"/>
    <col min="11" max="11" width="5" style="200" customWidth="1"/>
    <col min="12" max="12" width="0.375" style="200" customWidth="1"/>
    <col min="13" max="13" width="5" style="200" customWidth="1"/>
    <col min="14" max="14" width="1" style="200" customWidth="1"/>
    <col min="15" max="15" width="5" style="200" customWidth="1"/>
    <col min="16" max="16" width="0.75" style="200" customWidth="1"/>
    <col min="17" max="17" width="5" style="200" customWidth="1"/>
    <col min="18" max="18" width="9" style="974"/>
    <col min="19" max="19" width="9" style="271"/>
    <col min="20" max="20" width="9" style="1275"/>
    <col min="21" max="22" width="9" style="2306"/>
    <col min="23" max="23" width="9" style="1275"/>
    <col min="24" max="25" width="9" style="2306"/>
    <col min="26" max="44" width="9" style="1275"/>
    <col min="45" max="16384" width="9" style="271"/>
  </cols>
  <sheetData>
    <row r="1" spans="1:44" ht="20.25">
      <c r="A1" s="591" t="s">
        <v>2196</v>
      </c>
      <c r="B1" s="1968"/>
      <c r="C1" s="301"/>
      <c r="D1" s="301"/>
      <c r="E1" s="301"/>
      <c r="F1" s="301"/>
      <c r="G1" s="301"/>
      <c r="H1" s="301"/>
      <c r="I1" s="301"/>
      <c r="J1" s="301"/>
      <c r="K1" s="301"/>
      <c r="L1" s="301"/>
      <c r="M1" s="301"/>
      <c r="N1" s="301"/>
      <c r="O1" s="301"/>
      <c r="P1" s="301"/>
      <c r="Q1" s="301"/>
      <c r="R1" s="1209"/>
      <c r="S1" s="270"/>
      <c r="T1" s="270"/>
      <c r="U1" s="2301"/>
      <c r="V1" s="2301"/>
      <c r="X1" s="2301"/>
      <c r="Y1" s="2301"/>
    </row>
    <row r="2" spans="1:44" ht="15.75">
      <c r="A2" s="382" t="s">
        <v>357</v>
      </c>
      <c r="B2" s="552">
        <f ca="1">B23</f>
        <v>143304</v>
      </c>
      <c r="C2" s="2017" t="str">
        <f>C23</f>
        <v>万元</v>
      </c>
      <c r="D2" s="301"/>
      <c r="E2" s="301"/>
      <c r="F2" s="301"/>
      <c r="G2" s="301"/>
      <c r="H2" s="301"/>
      <c r="I2" s="301"/>
      <c r="J2" s="301"/>
      <c r="K2" s="301"/>
      <c r="L2" s="301"/>
      <c r="M2" s="301"/>
      <c r="N2" s="301"/>
      <c r="O2" s="301"/>
      <c r="P2" s="301"/>
      <c r="Q2" s="301"/>
      <c r="R2" s="1209"/>
      <c r="S2" s="270"/>
      <c r="T2" s="270"/>
      <c r="U2" s="2301"/>
      <c r="V2" s="2301"/>
      <c r="X2" s="2301"/>
      <c r="Y2" s="2301"/>
    </row>
    <row r="3" spans="1:44" ht="15.75">
      <c r="A3" s="384" t="s">
        <v>358</v>
      </c>
      <c r="B3" s="552">
        <f ca="1">B24</f>
        <v>16277</v>
      </c>
      <c r="C3" s="2017" t="s">
        <v>2204</v>
      </c>
      <c r="D3" s="301"/>
      <c r="E3" s="301"/>
      <c r="F3" s="301"/>
      <c r="G3" s="301"/>
      <c r="H3" s="301"/>
      <c r="I3" s="301"/>
      <c r="J3" s="301"/>
      <c r="K3" s="301"/>
      <c r="L3" s="301"/>
      <c r="M3" s="301"/>
      <c r="N3" s="301"/>
      <c r="O3" s="301"/>
      <c r="P3" s="301"/>
      <c r="Q3" s="301"/>
      <c r="R3" s="1209"/>
      <c r="S3" s="270"/>
      <c r="T3" s="270"/>
      <c r="U3" s="2301"/>
      <c r="V3" s="2301"/>
      <c r="X3" s="2301"/>
      <c r="Y3" s="2301"/>
    </row>
    <row r="4" spans="1:44" ht="14.25" customHeight="1" thickBot="1">
      <c r="A4" s="287"/>
      <c r="B4" s="966" t="s">
        <v>531</v>
      </c>
      <c r="C4" s="3573" t="s">
        <v>532</v>
      </c>
      <c r="D4" s="3574"/>
      <c r="E4" s="3574"/>
      <c r="F4" s="3574"/>
      <c r="G4" s="3574"/>
      <c r="H4" s="3574"/>
      <c r="I4" s="3574"/>
      <c r="J4" s="3574"/>
      <c r="K4" s="3574"/>
      <c r="L4" s="3574"/>
      <c r="M4" s="3574"/>
      <c r="N4" s="3574"/>
      <c r="O4" s="3574"/>
      <c r="P4" s="3574"/>
      <c r="Q4" s="3574"/>
      <c r="R4" s="3574"/>
      <c r="S4" s="3575"/>
      <c r="T4" s="966" t="s">
        <v>533</v>
      </c>
      <c r="U4" s="2301"/>
      <c r="V4" s="2301"/>
      <c r="X4" s="2301"/>
      <c r="Y4" s="2301"/>
    </row>
    <row r="5" spans="1:44" s="980" customFormat="1" ht="51">
      <c r="A5" s="2319"/>
      <c r="B5" s="975" t="s">
        <v>534</v>
      </c>
      <c r="C5" s="976" t="str">
        <f t="shared" ref="C5:L5" si="0">C6&amp;"(含)"&amp;"-"&amp;D6</f>
        <v>40(含)-60</v>
      </c>
      <c r="D5" s="977" t="str">
        <f t="shared" si="0"/>
        <v>60(含)-80</v>
      </c>
      <c r="E5" s="977" t="str">
        <f t="shared" si="0"/>
        <v>80(含)-100</v>
      </c>
      <c r="F5" s="977" t="str">
        <f t="shared" si="0"/>
        <v>100(含)-120</v>
      </c>
      <c r="G5" s="977" t="str">
        <f t="shared" si="0"/>
        <v>120(含)-160</v>
      </c>
      <c r="H5" s="977" t="str">
        <f t="shared" si="0"/>
        <v>160(含)-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3" t="str">
        <f>S6&amp;"(含)"&amp;"-"</f>
        <v>(含)-</v>
      </c>
      <c r="T5" s="979"/>
      <c r="U5" s="2302"/>
      <c r="V5" s="2302"/>
      <c r="W5" s="1276"/>
      <c r="X5" s="2302"/>
      <c r="Y5" s="2302"/>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0"/>
      <c r="B6" s="981"/>
      <c r="C6" s="982">
        <v>40</v>
      </c>
      <c r="D6" s="983">
        <v>60</v>
      </c>
      <c r="E6" s="983">
        <v>80</v>
      </c>
      <c r="F6" s="983">
        <v>100</v>
      </c>
      <c r="G6" s="983">
        <v>120</v>
      </c>
      <c r="H6" s="983">
        <v>160</v>
      </c>
      <c r="I6" s="983"/>
      <c r="J6" s="984"/>
      <c r="K6" s="984"/>
      <c r="L6" s="985"/>
      <c r="M6" s="1975"/>
      <c r="N6" s="1977"/>
      <c r="O6" s="983"/>
      <c r="P6" s="983"/>
      <c r="Q6" s="983"/>
      <c r="R6" s="983"/>
      <c r="S6" s="2054"/>
      <c r="T6" s="986"/>
      <c r="U6" s="2302"/>
      <c r="V6" s="2302"/>
      <c r="W6" s="1277"/>
      <c r="X6" s="2302"/>
      <c r="Y6" s="2302"/>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1"/>
      <c r="B7" s="1990"/>
      <c r="C7" s="1991">
        <v>98</v>
      </c>
      <c r="D7" s="1992">
        <v>99</v>
      </c>
      <c r="E7" s="1992">
        <v>100</v>
      </c>
      <c r="F7" s="1992">
        <v>101</v>
      </c>
      <c r="G7" s="1992">
        <v>98</v>
      </c>
      <c r="H7" s="1992">
        <v>97</v>
      </c>
      <c r="I7" s="1992"/>
      <c r="J7" s="1992"/>
      <c r="K7" s="1992"/>
      <c r="L7" s="1992"/>
      <c r="M7" s="1993"/>
      <c r="N7" s="1994"/>
      <c r="O7" s="1992"/>
      <c r="P7" s="1992"/>
      <c r="Q7" s="1992"/>
      <c r="R7" s="1992"/>
      <c r="S7" s="2055"/>
      <c r="T7" s="989"/>
      <c r="U7" s="2302"/>
      <c r="V7" s="2302"/>
      <c r="W7" s="1277"/>
      <c r="X7" s="2302"/>
      <c r="Y7" s="2302"/>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2"/>
      <c r="B8" s="3198" t="s">
        <v>6387</v>
      </c>
      <c r="C8" s="3200" t="s">
        <v>7607</v>
      </c>
      <c r="D8" s="3201" t="s">
        <v>8056</v>
      </c>
      <c r="E8" s="3201" t="s">
        <v>8057</v>
      </c>
      <c r="F8" s="1996"/>
      <c r="G8" s="1996"/>
      <c r="H8" s="1996"/>
      <c r="I8" s="1996"/>
      <c r="J8" s="1996"/>
      <c r="K8" s="1996"/>
      <c r="L8" s="1997"/>
      <c r="M8" s="1998"/>
      <c r="N8" s="1998"/>
      <c r="O8" s="1996"/>
      <c r="P8" s="1996"/>
      <c r="Q8" s="1996"/>
      <c r="R8" s="1996"/>
      <c r="S8" s="2056"/>
      <c r="T8" s="1999">
        <v>-2</v>
      </c>
      <c r="U8" s="2302"/>
      <c r="V8" s="2302"/>
      <c r="W8" s="1278"/>
      <c r="X8" s="2302"/>
      <c r="Y8" s="2302"/>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2"/>
      <c r="B9" s="1985"/>
      <c r="C9" s="1986">
        <v>100</v>
      </c>
      <c r="D9" s="1987">
        <f t="shared" ref="D9:S9" si="7">C9-$T$8</f>
        <v>102</v>
      </c>
      <c r="E9" s="1987">
        <f t="shared" si="7"/>
        <v>104</v>
      </c>
      <c r="F9" s="1987">
        <f t="shared" si="7"/>
        <v>106</v>
      </c>
      <c r="G9" s="1987">
        <f t="shared" si="7"/>
        <v>108</v>
      </c>
      <c r="H9" s="1987">
        <f t="shared" si="7"/>
        <v>110</v>
      </c>
      <c r="I9" s="1987">
        <f t="shared" si="7"/>
        <v>112</v>
      </c>
      <c r="J9" s="1987">
        <f t="shared" si="7"/>
        <v>114</v>
      </c>
      <c r="K9" s="1987">
        <f t="shared" si="7"/>
        <v>116</v>
      </c>
      <c r="L9" s="1987">
        <f t="shared" si="7"/>
        <v>118</v>
      </c>
      <c r="M9" s="1988">
        <f t="shared" si="7"/>
        <v>120</v>
      </c>
      <c r="N9" s="1988">
        <f t="shared" si="7"/>
        <v>122</v>
      </c>
      <c r="O9" s="1987">
        <f t="shared" si="7"/>
        <v>124</v>
      </c>
      <c r="P9" s="1987">
        <f t="shared" si="7"/>
        <v>126</v>
      </c>
      <c r="Q9" s="1987">
        <f t="shared" si="7"/>
        <v>128</v>
      </c>
      <c r="R9" s="1987">
        <f t="shared" si="7"/>
        <v>130</v>
      </c>
      <c r="S9" s="2057">
        <f t="shared" si="7"/>
        <v>132</v>
      </c>
      <c r="T9" s="1989"/>
      <c r="U9" s="2302"/>
      <c r="V9" s="2302"/>
      <c r="W9" s="1278"/>
      <c r="X9" s="2302"/>
      <c r="Y9" s="2302"/>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2"/>
      <c r="B10" s="3145" t="s">
        <v>6389</v>
      </c>
      <c r="C10" s="3149" t="s">
        <v>6390</v>
      </c>
      <c r="D10" s="3150" t="s">
        <v>6392</v>
      </c>
      <c r="E10" s="1982"/>
      <c r="F10" s="1982"/>
      <c r="G10" s="1982"/>
      <c r="H10" s="1982"/>
      <c r="I10" s="1982"/>
      <c r="J10" s="1982"/>
      <c r="K10" s="1982"/>
      <c r="L10" s="1982"/>
      <c r="M10" s="1984"/>
      <c r="N10" s="1976"/>
      <c r="O10" s="1978"/>
      <c r="P10" s="1979"/>
      <c r="Q10" s="1980"/>
      <c r="R10" s="1981"/>
      <c r="S10" s="2058"/>
      <c r="T10" s="988">
        <v>-2</v>
      </c>
      <c r="U10" s="2302"/>
      <c r="V10" s="2302"/>
      <c r="W10" s="1278"/>
      <c r="X10" s="2302"/>
      <c r="Y10" s="2302"/>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2"/>
      <c r="B11" s="1985"/>
      <c r="C11" s="1986">
        <v>100</v>
      </c>
      <c r="D11" s="1987">
        <f t="shared" ref="D11:M11" si="8">C11-$T$10</f>
        <v>102</v>
      </c>
      <c r="E11" s="1987">
        <f t="shared" si="8"/>
        <v>104</v>
      </c>
      <c r="F11" s="1987">
        <f t="shared" si="8"/>
        <v>106</v>
      </c>
      <c r="G11" s="1987">
        <f t="shared" si="8"/>
        <v>108</v>
      </c>
      <c r="H11" s="1987">
        <f t="shared" si="8"/>
        <v>110</v>
      </c>
      <c r="I11" s="1987">
        <f t="shared" si="8"/>
        <v>112</v>
      </c>
      <c r="J11" s="1987">
        <f t="shared" si="8"/>
        <v>114</v>
      </c>
      <c r="K11" s="1987">
        <f t="shared" si="8"/>
        <v>116</v>
      </c>
      <c r="L11" s="1987">
        <f t="shared" si="8"/>
        <v>118</v>
      </c>
      <c r="M11" s="1988">
        <f t="shared" si="8"/>
        <v>120</v>
      </c>
      <c r="N11" s="1988">
        <f t="shared" ref="N11:S11" si="9">M11-$T$10</f>
        <v>122</v>
      </c>
      <c r="O11" s="1987">
        <f t="shared" si="9"/>
        <v>124</v>
      </c>
      <c r="P11" s="1987">
        <f t="shared" si="9"/>
        <v>126</v>
      </c>
      <c r="Q11" s="1987">
        <f t="shared" si="9"/>
        <v>128</v>
      </c>
      <c r="R11" s="1987">
        <f t="shared" si="9"/>
        <v>130</v>
      </c>
      <c r="S11" s="2057">
        <f t="shared" si="9"/>
        <v>132</v>
      </c>
      <c r="T11" s="1989"/>
      <c r="U11" s="2302"/>
      <c r="V11" s="2302"/>
      <c r="W11" s="1278"/>
      <c r="X11" s="2302"/>
      <c r="Y11" s="2302"/>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2"/>
      <c r="B12" s="3199" t="s">
        <v>6388</v>
      </c>
      <c r="C12" s="3202" t="s">
        <v>7602</v>
      </c>
      <c r="D12" s="3203" t="s">
        <v>7603</v>
      </c>
      <c r="E12" s="3201" t="s">
        <v>7604</v>
      </c>
      <c r="F12" s="3203" t="s">
        <v>7605</v>
      </c>
      <c r="G12" s="3151"/>
      <c r="H12" s="3151"/>
      <c r="I12" s="1982"/>
      <c r="J12" s="1982"/>
      <c r="K12" s="1982"/>
      <c r="L12" s="1983"/>
      <c r="M12" s="1984"/>
      <c r="N12" s="1976"/>
      <c r="O12" s="1978"/>
      <c r="P12" s="1979"/>
      <c r="Q12" s="1980"/>
      <c r="R12" s="1981"/>
      <c r="S12" s="2058"/>
      <c r="T12" s="988">
        <v>1</v>
      </c>
      <c r="U12" s="2302"/>
      <c r="V12" s="2302"/>
      <c r="W12" s="1278"/>
      <c r="X12" s="2302"/>
      <c r="Y12" s="2302"/>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2"/>
      <c r="B13" s="1990"/>
      <c r="C13" s="2000">
        <v>100</v>
      </c>
      <c r="D13" s="2001">
        <f t="shared" ref="D13:M13" si="10">C13-$T$12</f>
        <v>99</v>
      </c>
      <c r="E13" s="2001">
        <f t="shared" si="10"/>
        <v>98</v>
      </c>
      <c r="F13" s="2001">
        <f t="shared" si="10"/>
        <v>97</v>
      </c>
      <c r="G13" s="2001">
        <f t="shared" si="10"/>
        <v>96</v>
      </c>
      <c r="H13" s="2001">
        <f t="shared" si="10"/>
        <v>95</v>
      </c>
      <c r="I13" s="2001">
        <f t="shared" si="10"/>
        <v>94</v>
      </c>
      <c r="J13" s="2001">
        <f t="shared" si="10"/>
        <v>93</v>
      </c>
      <c r="K13" s="2001">
        <f t="shared" si="10"/>
        <v>92</v>
      </c>
      <c r="L13" s="2001">
        <f t="shared" si="10"/>
        <v>91</v>
      </c>
      <c r="M13" s="2002">
        <f t="shared" si="10"/>
        <v>90</v>
      </c>
      <c r="N13" s="2002">
        <f t="shared" ref="N13:S13" si="11">M13-$T$12</f>
        <v>89</v>
      </c>
      <c r="O13" s="2001">
        <f t="shared" si="11"/>
        <v>88</v>
      </c>
      <c r="P13" s="2001">
        <f t="shared" si="11"/>
        <v>87</v>
      </c>
      <c r="Q13" s="2001">
        <f t="shared" si="11"/>
        <v>86</v>
      </c>
      <c r="R13" s="2001">
        <f t="shared" si="11"/>
        <v>85</v>
      </c>
      <c r="S13" s="2059">
        <f t="shared" si="11"/>
        <v>84</v>
      </c>
      <c r="T13" s="989"/>
      <c r="U13" s="2302"/>
      <c r="V13" s="2302"/>
      <c r="W13" s="1278"/>
      <c r="X13" s="2302"/>
      <c r="Y13" s="2302"/>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2"/>
      <c r="B14" s="3146"/>
      <c r="C14" s="3147"/>
      <c r="D14" s="3148"/>
      <c r="E14" s="1996"/>
      <c r="F14" s="1996"/>
      <c r="G14" s="1996"/>
      <c r="H14" s="1996"/>
      <c r="I14" s="1996"/>
      <c r="J14" s="1996"/>
      <c r="K14" s="1996"/>
      <c r="L14" s="1996"/>
      <c r="M14" s="1998"/>
      <c r="N14" s="2004"/>
      <c r="O14" s="2005"/>
      <c r="P14" s="2006"/>
      <c r="Q14" s="2007"/>
      <c r="R14" s="2008"/>
      <c r="S14" s="2060"/>
      <c r="T14" s="1999"/>
      <c r="U14" s="2302"/>
      <c r="V14" s="2302"/>
      <c r="W14" s="1278"/>
      <c r="X14" s="2302"/>
      <c r="Y14" s="2302"/>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2"/>
      <c r="B15" s="1985"/>
      <c r="C15" s="1986">
        <v>100</v>
      </c>
      <c r="D15" s="1987">
        <f t="shared" ref="D15:M15" si="12">C15-$T$14</f>
        <v>100</v>
      </c>
      <c r="E15" s="1987">
        <f t="shared" si="12"/>
        <v>100</v>
      </c>
      <c r="F15" s="1987">
        <f t="shared" si="12"/>
        <v>100</v>
      </c>
      <c r="G15" s="1987">
        <f t="shared" si="12"/>
        <v>100</v>
      </c>
      <c r="H15" s="1987">
        <f t="shared" si="12"/>
        <v>100</v>
      </c>
      <c r="I15" s="1987">
        <f t="shared" si="12"/>
        <v>100</v>
      </c>
      <c r="J15" s="1987">
        <f t="shared" si="12"/>
        <v>100</v>
      </c>
      <c r="K15" s="1987">
        <f t="shared" si="12"/>
        <v>100</v>
      </c>
      <c r="L15" s="1987">
        <f t="shared" si="12"/>
        <v>100</v>
      </c>
      <c r="M15" s="1988">
        <f t="shared" si="12"/>
        <v>100</v>
      </c>
      <c r="N15" s="1988">
        <f t="shared" ref="N15:S15" si="13">M15-$T$14</f>
        <v>100</v>
      </c>
      <c r="O15" s="1987">
        <f t="shared" si="13"/>
        <v>100</v>
      </c>
      <c r="P15" s="1987">
        <f t="shared" si="13"/>
        <v>100</v>
      </c>
      <c r="Q15" s="1987">
        <f t="shared" si="13"/>
        <v>100</v>
      </c>
      <c r="R15" s="1987">
        <f t="shared" si="13"/>
        <v>100</v>
      </c>
      <c r="S15" s="2057">
        <f t="shared" si="13"/>
        <v>100</v>
      </c>
      <c r="T15" s="1989"/>
      <c r="U15" s="2302"/>
      <c r="V15" s="2302"/>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2"/>
      <c r="B16" s="3207" t="s">
        <v>8062</v>
      </c>
      <c r="C16" s="3208" t="s">
        <v>8063</v>
      </c>
      <c r="D16" s="3209" t="s">
        <v>8064</v>
      </c>
      <c r="E16" s="3209" t="s">
        <v>8065</v>
      </c>
      <c r="F16" s="1996"/>
      <c r="G16" s="1996"/>
      <c r="H16" s="1996"/>
      <c r="I16" s="1996"/>
      <c r="J16" s="1996"/>
      <c r="K16" s="1996"/>
      <c r="L16" s="1996"/>
      <c r="M16" s="1998"/>
      <c r="N16" s="2004"/>
      <c r="O16" s="2005"/>
      <c r="P16" s="2006"/>
      <c r="Q16" s="2007"/>
      <c r="R16" s="2008"/>
      <c r="S16" s="2060"/>
      <c r="T16" s="2052"/>
      <c r="U16" s="2302"/>
      <c r="V16" s="2302"/>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2"/>
      <c r="B17" s="1985"/>
      <c r="C17" s="2049"/>
      <c r="D17" s="2050"/>
      <c r="E17" s="2050"/>
      <c r="F17" s="2050"/>
      <c r="G17" s="2050"/>
      <c r="H17" s="2050"/>
      <c r="I17" s="2050"/>
      <c r="J17" s="2050"/>
      <c r="K17" s="2050"/>
      <c r="L17" s="2050"/>
      <c r="M17" s="2051"/>
      <c r="N17" s="2051"/>
      <c r="O17" s="2050"/>
      <c r="P17" s="2050"/>
      <c r="Q17" s="2050"/>
      <c r="R17" s="2050"/>
      <c r="S17" s="2061"/>
      <c r="T17" s="1989"/>
      <c r="U17" s="2302"/>
      <c r="V17" s="2302"/>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2"/>
      <c r="B18" s="2003"/>
      <c r="C18" s="1995"/>
      <c r="D18" s="1996"/>
      <c r="E18" s="1996"/>
      <c r="F18" s="1996"/>
      <c r="G18" s="1996"/>
      <c r="H18" s="1996"/>
      <c r="I18" s="1996"/>
      <c r="J18" s="1996"/>
      <c r="K18" s="1996"/>
      <c r="L18" s="1996"/>
      <c r="M18" s="1998"/>
      <c r="N18" s="2004"/>
      <c r="O18" s="2005"/>
      <c r="P18" s="2006"/>
      <c r="Q18" s="2007"/>
      <c r="R18" s="2008"/>
      <c r="S18" s="2060"/>
      <c r="T18" s="2052"/>
      <c r="U18" s="2302"/>
      <c r="V18" s="2302"/>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2"/>
      <c r="B19" s="1990"/>
      <c r="C19" s="1991"/>
      <c r="D19" s="1992"/>
      <c r="E19" s="1992"/>
      <c r="F19" s="1992"/>
      <c r="G19" s="1992"/>
      <c r="H19" s="1992"/>
      <c r="I19" s="1992"/>
      <c r="J19" s="1992"/>
      <c r="K19" s="1992"/>
      <c r="L19" s="1992"/>
      <c r="M19" s="1993"/>
      <c r="N19" s="1993"/>
      <c r="O19" s="1992"/>
      <c r="P19" s="1992"/>
      <c r="Q19" s="1992"/>
      <c r="R19" s="1992"/>
      <c r="S19" s="2055"/>
      <c r="T19" s="989"/>
      <c r="U19" s="2302"/>
      <c r="V19" s="2302"/>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3" t="s">
        <v>2287</v>
      </c>
      <c r="B20" s="2324" t="s">
        <v>2286</v>
      </c>
      <c r="C20" s="2325"/>
      <c r="D20" s="2326"/>
      <c r="E20" s="2326"/>
      <c r="F20" s="2326"/>
      <c r="G20" s="2326"/>
      <c r="H20" s="2326"/>
      <c r="I20" s="2326"/>
      <c r="J20" s="2326"/>
      <c r="K20" s="2326"/>
      <c r="L20" s="2327"/>
      <c r="M20" s="2328"/>
      <c r="N20" s="2329"/>
      <c r="O20" s="2330"/>
      <c r="P20" s="2331"/>
      <c r="Q20" s="2332"/>
      <c r="R20" s="2333"/>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c r="AP20" s="2334"/>
      <c r="AQ20" s="2334"/>
      <c r="AR20" s="2334"/>
      <c r="AS20" s="2334"/>
    </row>
    <row r="21" spans="1:45" s="219" customFormat="1" ht="13.5" thickBot="1">
      <c r="A21" s="2335"/>
      <c r="B21" s="2336"/>
      <c r="C21" s="2337"/>
      <c r="D21" s="2338"/>
      <c r="E21" s="2338"/>
      <c r="F21" s="2338"/>
      <c r="G21" s="2338"/>
      <c r="H21" s="2338"/>
      <c r="I21" s="2338"/>
      <c r="J21" s="2338"/>
      <c r="K21" s="2338"/>
      <c r="L21" s="2338"/>
      <c r="M21" s="2339"/>
      <c r="N21" s="2339"/>
      <c r="O21" s="2338"/>
      <c r="P21" s="2338"/>
      <c r="Q21" s="2338"/>
      <c r="R21" s="2338"/>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c r="AN21" s="2340"/>
      <c r="AO21" s="2340"/>
      <c r="AP21" s="2340"/>
      <c r="AQ21" s="2340"/>
      <c r="AR21" s="2340"/>
      <c r="AS21" s="2340"/>
    </row>
    <row r="22" spans="1:45">
      <c r="A22" s="270"/>
      <c r="B22" s="301"/>
      <c r="C22" s="301"/>
      <c r="D22" s="301"/>
      <c r="E22" s="301"/>
      <c r="F22" s="301"/>
      <c r="G22" s="301"/>
      <c r="H22" s="301"/>
      <c r="I22" s="301"/>
      <c r="J22" s="301"/>
      <c r="K22" s="301"/>
      <c r="L22" s="301"/>
      <c r="M22" s="301"/>
      <c r="N22" s="301"/>
      <c r="O22" s="301"/>
      <c r="P22" s="301"/>
      <c r="Q22" s="301"/>
      <c r="R22" s="1209"/>
      <c r="S22" s="270"/>
      <c r="T22" s="270"/>
      <c r="U22" s="2301"/>
      <c r="V22" s="2302"/>
      <c r="W22" s="1278"/>
      <c r="X22" s="219"/>
      <c r="Y22" s="219"/>
      <c r="Z22" s="1278"/>
    </row>
    <row r="23" spans="1:45" ht="15.75">
      <c r="A23" s="33" t="s">
        <v>2202</v>
      </c>
      <c r="B23" s="526">
        <f ca="1">IF(C23="万元",T25,S25)</f>
        <v>143304</v>
      </c>
      <c r="C23" s="2015" t="str">
        <f>'数据-取费表'!B3</f>
        <v>万元</v>
      </c>
      <c r="D23" s="301"/>
      <c r="E23" s="301"/>
      <c r="F23" s="301"/>
      <c r="G23" s="301"/>
      <c r="H23" s="301"/>
      <c r="I23" s="301"/>
      <c r="J23" s="301"/>
      <c r="K23" s="301"/>
      <c r="L23" s="301"/>
      <c r="M23" s="301"/>
      <c r="N23" s="301"/>
      <c r="O23" s="301"/>
      <c r="P23" s="301"/>
      <c r="Q23" s="301"/>
      <c r="R23" s="1209"/>
      <c r="S23" s="270"/>
      <c r="T23" s="270"/>
      <c r="V23" s="2302"/>
      <c r="W23" s="1278"/>
      <c r="X23" s="219"/>
      <c r="Y23" s="219"/>
      <c r="Z23" s="1278"/>
    </row>
    <row r="24" spans="1:45" ht="15.75">
      <c r="A24" s="2015" t="s">
        <v>2203</v>
      </c>
      <c r="B24" s="526">
        <f ca="1">R25</f>
        <v>16277</v>
      </c>
      <c r="C24" s="1968"/>
      <c r="D24" s="301"/>
      <c r="E24" s="301"/>
      <c r="F24" s="301"/>
      <c r="G24" s="301"/>
      <c r="H24" s="301"/>
      <c r="I24" s="301"/>
      <c r="J24" s="301"/>
      <c r="K24" s="301"/>
      <c r="L24" s="301"/>
      <c r="M24" s="301"/>
      <c r="N24" s="301"/>
      <c r="O24" s="301"/>
      <c r="P24" s="301"/>
      <c r="Q24" s="301"/>
      <c r="R24" s="1209"/>
      <c r="S24" s="2009" t="s">
        <v>2194</v>
      </c>
      <c r="T24" s="2341" t="s">
        <v>2193</v>
      </c>
      <c r="U24" s="2344" t="s">
        <v>2274</v>
      </c>
      <c r="V24" s="2345"/>
      <c r="W24" s="2343" t="s">
        <v>2277</v>
      </c>
      <c r="X24" s="2344" t="s">
        <v>2272</v>
      </c>
      <c r="Y24" s="2345"/>
      <c r="Z24" s="2342" t="s">
        <v>2277</v>
      </c>
    </row>
    <row r="25" spans="1:45">
      <c r="A25" s="552" t="s">
        <v>535</v>
      </c>
      <c r="B25" s="197">
        <f>SUM(B27:B10000)</f>
        <v>88039.929999999338</v>
      </c>
      <c r="C25" s="3570" t="s">
        <v>172</v>
      </c>
      <c r="D25" s="3571"/>
      <c r="E25" s="3571"/>
      <c r="F25" s="3571"/>
      <c r="G25" s="3571"/>
      <c r="H25" s="3571"/>
      <c r="I25" s="3571"/>
      <c r="J25" s="3571"/>
      <c r="K25" s="3571"/>
      <c r="L25" s="3571"/>
      <c r="M25" s="3571"/>
      <c r="N25" s="3571"/>
      <c r="O25" s="3571"/>
      <c r="P25" s="3571"/>
      <c r="Q25" s="3572"/>
      <c r="R25" s="991">
        <f ca="1">IF(C23="万元",ROUND(T25*10000/B25,0),ROUND(S25/B25,0))</f>
        <v>16277</v>
      </c>
      <c r="S25" s="197">
        <f ca="1">SUM(S27:S10000)</f>
        <v>1432977117</v>
      </c>
      <c r="T25" s="197">
        <f ca="1">SUM(T27:T10000)</f>
        <v>143304</v>
      </c>
      <c r="U25" s="202">
        <f>SUM(U27:U10000)</f>
        <v>0</v>
      </c>
      <c r="V25" s="202">
        <f>SUM(V27:V10000)</f>
        <v>0</v>
      </c>
      <c r="W25" s="197"/>
      <c r="X25" s="202">
        <f>SUM(X27:X10000)</f>
        <v>0</v>
      </c>
      <c r="Y25" s="202">
        <f>SUM(Y27:Y10000)</f>
        <v>0</v>
      </c>
      <c r="Z25" s="2298"/>
    </row>
    <row r="26" spans="1:45" s="194" customFormat="1" ht="51">
      <c r="A26" s="193" t="s">
        <v>536</v>
      </c>
      <c r="B26" s="193" t="s">
        <v>537</v>
      </c>
      <c r="C26" s="193" t="s">
        <v>538</v>
      </c>
      <c r="D26" s="193" t="str">
        <f>B8</f>
        <v>楼层</v>
      </c>
      <c r="E26" s="193" t="s">
        <v>538</v>
      </c>
      <c r="F26" s="193" t="str">
        <f>B10</f>
        <v>房型</v>
      </c>
      <c r="G26" s="193" t="s">
        <v>538</v>
      </c>
      <c r="H26" s="193" t="str">
        <f>B12</f>
        <v>朝向</v>
      </c>
      <c r="I26" s="193" t="s">
        <v>538</v>
      </c>
      <c r="J26" s="193">
        <f>B14</f>
        <v>0</v>
      </c>
      <c r="K26" s="193" t="s">
        <v>538</v>
      </c>
      <c r="L26" s="193" t="str">
        <f>B16</f>
        <v>6号楼层</v>
      </c>
      <c r="M26" s="193" t="s">
        <v>538</v>
      </c>
      <c r="N26" s="193">
        <f>B18</f>
        <v>0</v>
      </c>
      <c r="O26" s="193" t="s">
        <v>538</v>
      </c>
      <c r="P26" s="193" t="str">
        <f>B20</f>
        <v>楼层</v>
      </c>
      <c r="Q26" s="193" t="s">
        <v>538</v>
      </c>
      <c r="R26" s="992" t="s">
        <v>539</v>
      </c>
      <c r="S26" s="193" t="s">
        <v>540</v>
      </c>
      <c r="T26" s="193" t="s">
        <v>2195</v>
      </c>
      <c r="U26" s="2303" t="s">
        <v>2275</v>
      </c>
      <c r="V26" s="2304" t="s">
        <v>2276</v>
      </c>
      <c r="W26" s="2297" t="s">
        <v>2273</v>
      </c>
      <c r="X26" s="2303" t="s">
        <v>2275</v>
      </c>
      <c r="Y26" s="2304" t="s">
        <v>2276</v>
      </c>
      <c r="Z26" s="2297" t="s">
        <v>2273</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tr">
        <f>'7.15'!B5</f>
        <v>1幢1单元502室</v>
      </c>
      <c r="B27" s="994">
        <f>'数据-取费表'!E5</f>
        <v>88.29</v>
      </c>
      <c r="C27" s="994">
        <v>1</v>
      </c>
      <c r="D27" s="995" t="s">
        <v>7606</v>
      </c>
      <c r="E27" s="994">
        <v>1</v>
      </c>
      <c r="F27" s="995" t="str">
        <f>'7.15'!D5</f>
        <v>平层</v>
      </c>
      <c r="G27" s="994">
        <v>1</v>
      </c>
      <c r="H27" s="995" t="str">
        <f>'7.15'!E5</f>
        <v>南北</v>
      </c>
      <c r="I27" s="994">
        <v>1</v>
      </c>
      <c r="J27" s="995"/>
      <c r="K27" s="994">
        <v>1</v>
      </c>
      <c r="L27" s="995"/>
      <c r="M27" s="994">
        <v>1</v>
      </c>
      <c r="N27" s="995"/>
      <c r="O27" s="994">
        <v>1</v>
      </c>
      <c r="P27" s="995"/>
      <c r="Q27" s="994">
        <v>1</v>
      </c>
      <c r="R27" s="2047">
        <f ca="1">'结果表 (1修多)'!G20</f>
        <v>15932</v>
      </c>
      <c r="S27" s="994">
        <f ca="1">ROUND(R27*B27,0)</f>
        <v>1406636</v>
      </c>
      <c r="T27" s="994">
        <f ca="1">ROUND(R27*B27/10000,0)</f>
        <v>141</v>
      </c>
      <c r="U27" s="2305">
        <f>ROUND(W27*B27,0)</f>
        <v>0</v>
      </c>
      <c r="V27" s="2305">
        <f>ROUND(W27*B27/10000,0)</f>
        <v>0</v>
      </c>
      <c r="W27" s="2299"/>
      <c r="X27" s="2305">
        <f>ROUND(Z27*B27,0)</f>
        <v>0</v>
      </c>
      <c r="Y27" s="2305">
        <f>ROUND(Z27*B27/10000,0)</f>
        <v>0</v>
      </c>
      <c r="Z27" s="2299"/>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t="str">
        <f>'7.15'!B6</f>
        <v>1幢1单元2702室</v>
      </c>
      <c r="B28" s="207">
        <f>'7.17'!G6</f>
        <v>88.29</v>
      </c>
      <c r="C28" s="197">
        <f t="shared" ref="C28:C91" si="14">IF(B28="",1,(LOOKUP(B28,$6:$6,$7:$7)-LOOKUP($B$27,$6:$6,$7:$7)+100)/100)</f>
        <v>1</v>
      </c>
      <c r="D28" s="995" t="s">
        <v>7608</v>
      </c>
      <c r="E28" s="197">
        <f t="shared" ref="E28:E91" si="15">(SUMIF($8:$8,D28,$9:$9)-SUMIF($8:$8,$D$27,$9:$9)+100)/100</f>
        <v>1.02</v>
      </c>
      <c r="F28" s="995" t="str">
        <f>'7.15'!D6</f>
        <v>平层</v>
      </c>
      <c r="G28" s="197">
        <f t="shared" ref="G28:G91" si="16">(SUMIF($10:$10,F28,$11:$11)-SUMIF($10:$10,$F$27,$11:$11)+100)/100</f>
        <v>1</v>
      </c>
      <c r="H28" s="995" t="str">
        <f>'7.15'!E6</f>
        <v>南北</v>
      </c>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 ca="1">IF(B28="",0,ROUND($R$27*C28*E28*G28*I28*K28*M28*O28*Q28,0))</f>
        <v>16251</v>
      </c>
      <c r="S28" s="552">
        <f ca="1">ROUND(R28*B28,0)</f>
        <v>1434801</v>
      </c>
      <c r="T28" s="2010">
        <f ca="1">ROUND(R28*B28/10000,0)</f>
        <v>143</v>
      </c>
      <c r="U28" s="2305">
        <f t="shared" ref="U28:U91" si="22">ROUND(W28*B28,0)</f>
        <v>0</v>
      </c>
      <c r="V28" s="2305">
        <f t="shared" ref="V28:V91" si="23">ROUND(W28*B28/10000,0)</f>
        <v>0</v>
      </c>
      <c r="W28" s="2300"/>
      <c r="X28" s="2305">
        <f t="shared" ref="X28:X91" si="24">ROUND(Z28*B28,0)</f>
        <v>0</v>
      </c>
      <c r="Y28" s="2305">
        <f t="shared" ref="Y28:Y91" si="25">ROUND(Z28*B28/10000,0)</f>
        <v>0</v>
      </c>
      <c r="Z28" s="2300"/>
    </row>
    <row r="29" spans="1:45">
      <c r="A29" s="292" t="str">
        <f>'7.15'!B7</f>
        <v>1幢2单元2803室</v>
      </c>
      <c r="B29" s="207">
        <f>'7.17'!G7</f>
        <v>97.07</v>
      </c>
      <c r="C29" s="197">
        <f t="shared" si="14"/>
        <v>1</v>
      </c>
      <c r="D29" s="995" t="s">
        <v>7608</v>
      </c>
      <c r="E29" s="197">
        <f t="shared" si="15"/>
        <v>1.02</v>
      </c>
      <c r="F29" s="995" t="str">
        <f>'7.15'!D7</f>
        <v>平层</v>
      </c>
      <c r="G29" s="197">
        <f t="shared" si="16"/>
        <v>1</v>
      </c>
      <c r="H29" s="995" t="str">
        <f>'7.15'!E7</f>
        <v>南北西</v>
      </c>
      <c r="I29" s="197">
        <f t="shared" si="17"/>
        <v>1.01</v>
      </c>
      <c r="J29" s="995"/>
      <c r="K29" s="197">
        <f t="shared" si="18"/>
        <v>1</v>
      </c>
      <c r="L29" s="995"/>
      <c r="M29" s="197">
        <f t="shared" si="19"/>
        <v>1</v>
      </c>
      <c r="N29" s="995"/>
      <c r="O29" s="197">
        <f t="shared" si="20"/>
        <v>1</v>
      </c>
      <c r="P29" s="995"/>
      <c r="Q29" s="197">
        <f t="shared" si="21"/>
        <v>1</v>
      </c>
      <c r="R29" s="991">
        <f t="shared" ref="R29:R92" ca="1" si="26">IF(B29="",0,ROUND($R$27*C29*E29*G29*I29*K29*M29*O29*Q29,0))</f>
        <v>16413</v>
      </c>
      <c r="S29" s="552">
        <f t="shared" ref="S29:S92" ca="1" si="27">ROUND(R29*B29,0)</f>
        <v>1593210</v>
      </c>
      <c r="T29" s="2010">
        <f t="shared" ref="T29:T92" ca="1" si="28">ROUND(R29*B29/10000,0)</f>
        <v>159</v>
      </c>
      <c r="U29" s="2305">
        <f t="shared" si="22"/>
        <v>0</v>
      </c>
      <c r="V29" s="2305">
        <f t="shared" si="23"/>
        <v>0</v>
      </c>
      <c r="W29" s="2300"/>
      <c r="X29" s="2305">
        <f t="shared" si="24"/>
        <v>0</v>
      </c>
      <c r="Y29" s="2305">
        <f t="shared" si="25"/>
        <v>0</v>
      </c>
      <c r="Z29" s="2300"/>
    </row>
    <row r="30" spans="1:45">
      <c r="A30" s="292" t="str">
        <f>'7.15'!B8</f>
        <v>2幢3001室</v>
      </c>
      <c r="B30" s="207">
        <f>'7.17'!G8</f>
        <v>103.43</v>
      </c>
      <c r="C30" s="197">
        <f t="shared" si="14"/>
        <v>1.01</v>
      </c>
      <c r="D30" s="995" t="s">
        <v>7608</v>
      </c>
      <c r="E30" s="197">
        <f t="shared" si="15"/>
        <v>1.02</v>
      </c>
      <c r="F30" s="995" t="str">
        <f>'7.15'!D8</f>
        <v>平层</v>
      </c>
      <c r="G30" s="197">
        <f t="shared" si="16"/>
        <v>1</v>
      </c>
      <c r="H30" s="995" t="str">
        <f>'7.15'!E8</f>
        <v>南北东</v>
      </c>
      <c r="I30" s="197">
        <f t="shared" si="17"/>
        <v>1.02</v>
      </c>
      <c r="J30" s="995"/>
      <c r="K30" s="197">
        <f t="shared" si="18"/>
        <v>1</v>
      </c>
      <c r="L30" s="995"/>
      <c r="M30" s="197">
        <f t="shared" si="19"/>
        <v>1</v>
      </c>
      <c r="N30" s="995"/>
      <c r="O30" s="197">
        <f t="shared" si="20"/>
        <v>1</v>
      </c>
      <c r="P30" s="995"/>
      <c r="Q30" s="197">
        <f t="shared" si="21"/>
        <v>1</v>
      </c>
      <c r="R30" s="991">
        <f t="shared" ca="1" si="26"/>
        <v>16741</v>
      </c>
      <c r="S30" s="552">
        <f t="shared" ca="1" si="27"/>
        <v>1731522</v>
      </c>
      <c r="T30" s="2010">
        <f t="shared" ca="1" si="28"/>
        <v>173</v>
      </c>
      <c r="U30" s="2305">
        <f t="shared" si="22"/>
        <v>0</v>
      </c>
      <c r="V30" s="2305">
        <f t="shared" si="23"/>
        <v>0</v>
      </c>
      <c r="W30" s="2300"/>
      <c r="X30" s="2305">
        <f t="shared" si="24"/>
        <v>0</v>
      </c>
      <c r="Y30" s="2305">
        <f t="shared" si="25"/>
        <v>0</v>
      </c>
      <c r="Z30" s="2300"/>
    </row>
    <row r="31" spans="1:45">
      <c r="A31" s="292" t="str">
        <f>'7.15'!B9</f>
        <v>2幢403室</v>
      </c>
      <c r="B31" s="207">
        <f>'7.17'!G9</f>
        <v>58.21</v>
      </c>
      <c r="C31" s="197">
        <f t="shared" si="14"/>
        <v>0.98</v>
      </c>
      <c r="D31" s="3204" t="s">
        <v>7606</v>
      </c>
      <c r="E31" s="197">
        <f t="shared" si="15"/>
        <v>1</v>
      </c>
      <c r="F31" s="995" t="str">
        <f>'7.15'!D9</f>
        <v>平层</v>
      </c>
      <c r="G31" s="197">
        <f t="shared" si="16"/>
        <v>1</v>
      </c>
      <c r="H31" s="995" t="str">
        <f>'7.15'!E9</f>
        <v>南北</v>
      </c>
      <c r="I31" s="197">
        <f t="shared" si="17"/>
        <v>1</v>
      </c>
      <c r="J31" s="995"/>
      <c r="K31" s="197">
        <f t="shared" si="18"/>
        <v>1</v>
      </c>
      <c r="L31" s="995"/>
      <c r="M31" s="197">
        <f t="shared" si="19"/>
        <v>1</v>
      </c>
      <c r="N31" s="995"/>
      <c r="O31" s="197">
        <f t="shared" si="20"/>
        <v>1</v>
      </c>
      <c r="P31" s="995"/>
      <c r="Q31" s="197">
        <f t="shared" si="21"/>
        <v>1</v>
      </c>
      <c r="R31" s="991">
        <f t="shared" ca="1" si="26"/>
        <v>15613</v>
      </c>
      <c r="S31" s="552">
        <f t="shared" ca="1" si="27"/>
        <v>908833</v>
      </c>
      <c r="T31" s="2010">
        <f t="shared" ca="1" si="28"/>
        <v>91</v>
      </c>
      <c r="U31" s="2305">
        <f t="shared" si="22"/>
        <v>0</v>
      </c>
      <c r="V31" s="2305">
        <f t="shared" si="23"/>
        <v>0</v>
      </c>
      <c r="W31" s="2300"/>
      <c r="X31" s="2305">
        <f t="shared" si="24"/>
        <v>0</v>
      </c>
      <c r="Y31" s="2305">
        <f t="shared" si="25"/>
        <v>0</v>
      </c>
      <c r="Z31" s="2300"/>
    </row>
    <row r="32" spans="1:45">
      <c r="A32" s="292" t="str">
        <f>'7.15'!B10</f>
        <v>3幢1804室</v>
      </c>
      <c r="B32" s="207">
        <f>'7.17'!G10</f>
        <v>88.31</v>
      </c>
      <c r="C32" s="197">
        <f t="shared" si="14"/>
        <v>1</v>
      </c>
      <c r="D32" s="995" t="s">
        <v>7609</v>
      </c>
      <c r="E32" s="197">
        <f t="shared" si="15"/>
        <v>1.04</v>
      </c>
      <c r="F32" s="995" t="str">
        <f>'7.15'!D10</f>
        <v>平层</v>
      </c>
      <c r="G32" s="197">
        <f t="shared" si="16"/>
        <v>1</v>
      </c>
      <c r="H32" s="995" t="str">
        <f>'7.15'!E10</f>
        <v>南北</v>
      </c>
      <c r="I32" s="197">
        <f t="shared" si="17"/>
        <v>1</v>
      </c>
      <c r="J32" s="995"/>
      <c r="K32" s="197">
        <f t="shared" si="18"/>
        <v>1</v>
      </c>
      <c r="L32" s="995"/>
      <c r="M32" s="197">
        <f t="shared" si="19"/>
        <v>1</v>
      </c>
      <c r="N32" s="995"/>
      <c r="O32" s="197">
        <f t="shared" si="20"/>
        <v>1</v>
      </c>
      <c r="P32" s="995"/>
      <c r="Q32" s="197">
        <f t="shared" si="21"/>
        <v>1</v>
      </c>
      <c r="R32" s="991">
        <f t="shared" ca="1" si="26"/>
        <v>16569</v>
      </c>
      <c r="S32" s="552">
        <f t="shared" ca="1" si="27"/>
        <v>1463208</v>
      </c>
      <c r="T32" s="2010">
        <f t="shared" ca="1" si="28"/>
        <v>146</v>
      </c>
      <c r="U32" s="2305">
        <f t="shared" si="22"/>
        <v>0</v>
      </c>
      <c r="V32" s="2305">
        <f t="shared" si="23"/>
        <v>0</v>
      </c>
      <c r="W32" s="2300"/>
      <c r="X32" s="2305">
        <f t="shared" si="24"/>
        <v>0</v>
      </c>
      <c r="Y32" s="2305">
        <f t="shared" si="25"/>
        <v>0</v>
      </c>
      <c r="Z32" s="2300"/>
    </row>
    <row r="33" spans="1:26">
      <c r="A33" s="292" t="str">
        <f>'7.15'!B11</f>
        <v>4幢2单元301室</v>
      </c>
      <c r="B33" s="207">
        <f>'7.17'!G11</f>
        <v>109.77</v>
      </c>
      <c r="C33" s="197">
        <f t="shared" si="14"/>
        <v>1.01</v>
      </c>
      <c r="D33" s="3204" t="s">
        <v>7606</v>
      </c>
      <c r="E33" s="197">
        <f t="shared" si="15"/>
        <v>1</v>
      </c>
      <c r="F33" s="995" t="str">
        <f>'7.15'!D11</f>
        <v>平层</v>
      </c>
      <c r="G33" s="197">
        <f t="shared" si="16"/>
        <v>1</v>
      </c>
      <c r="H33" s="995" t="str">
        <f>'7.15'!E11</f>
        <v>南北</v>
      </c>
      <c r="I33" s="197">
        <f t="shared" si="17"/>
        <v>1</v>
      </c>
      <c r="J33" s="995"/>
      <c r="K33" s="197">
        <f t="shared" si="18"/>
        <v>1</v>
      </c>
      <c r="L33" s="995"/>
      <c r="M33" s="197">
        <f t="shared" si="19"/>
        <v>1</v>
      </c>
      <c r="N33" s="995"/>
      <c r="O33" s="197">
        <f t="shared" si="20"/>
        <v>1</v>
      </c>
      <c r="P33" s="995"/>
      <c r="Q33" s="197">
        <f t="shared" si="21"/>
        <v>1</v>
      </c>
      <c r="R33" s="991">
        <f t="shared" ca="1" si="26"/>
        <v>16091</v>
      </c>
      <c r="S33" s="552">
        <f t="shared" ca="1" si="27"/>
        <v>1766309</v>
      </c>
      <c r="T33" s="2010">
        <f t="shared" ca="1" si="28"/>
        <v>177</v>
      </c>
      <c r="U33" s="2305">
        <f t="shared" si="22"/>
        <v>0</v>
      </c>
      <c r="V33" s="2305">
        <f t="shared" si="23"/>
        <v>0</v>
      </c>
      <c r="W33" s="2300"/>
      <c r="X33" s="2305">
        <f t="shared" si="24"/>
        <v>0</v>
      </c>
      <c r="Y33" s="2305">
        <f t="shared" si="25"/>
        <v>0</v>
      </c>
      <c r="Z33" s="2300"/>
    </row>
    <row r="34" spans="1:26">
      <c r="A34" s="292" t="str">
        <f>'7.15'!B12</f>
        <v>4幢2单元401室</v>
      </c>
      <c r="B34" s="207">
        <f>'7.17'!G12</f>
        <v>109.77</v>
      </c>
      <c r="C34" s="197">
        <f t="shared" si="14"/>
        <v>1.01</v>
      </c>
      <c r="D34" s="3204" t="s">
        <v>7606</v>
      </c>
      <c r="E34" s="197">
        <f t="shared" si="15"/>
        <v>1</v>
      </c>
      <c r="F34" s="995" t="str">
        <f>'7.15'!D12</f>
        <v>平层</v>
      </c>
      <c r="G34" s="197">
        <f t="shared" si="16"/>
        <v>1</v>
      </c>
      <c r="H34" s="995" t="str">
        <f>'7.15'!E12</f>
        <v>南北</v>
      </c>
      <c r="I34" s="197">
        <f t="shared" si="17"/>
        <v>1</v>
      </c>
      <c r="J34" s="995"/>
      <c r="K34" s="197">
        <f t="shared" si="18"/>
        <v>1</v>
      </c>
      <c r="L34" s="995"/>
      <c r="M34" s="197">
        <f t="shared" si="19"/>
        <v>1</v>
      </c>
      <c r="N34" s="995"/>
      <c r="O34" s="197">
        <f t="shared" si="20"/>
        <v>1</v>
      </c>
      <c r="P34" s="995"/>
      <c r="Q34" s="197">
        <f t="shared" si="21"/>
        <v>1</v>
      </c>
      <c r="R34" s="991">
        <f t="shared" ca="1" si="26"/>
        <v>16091</v>
      </c>
      <c r="S34" s="552">
        <f t="shared" ca="1" si="27"/>
        <v>1766309</v>
      </c>
      <c r="T34" s="2010">
        <f t="shared" ca="1" si="28"/>
        <v>177</v>
      </c>
      <c r="U34" s="2305">
        <f t="shared" si="22"/>
        <v>0</v>
      </c>
      <c r="V34" s="2305">
        <f t="shared" si="23"/>
        <v>0</v>
      </c>
      <c r="W34" s="2300"/>
      <c r="X34" s="2305">
        <f t="shared" si="24"/>
        <v>0</v>
      </c>
      <c r="Y34" s="2305">
        <f t="shared" si="25"/>
        <v>0</v>
      </c>
      <c r="Z34" s="2300"/>
    </row>
    <row r="35" spans="1:26">
      <c r="A35" s="292" t="str">
        <f>'7.15'!B13</f>
        <v>4幢2单元501室</v>
      </c>
      <c r="B35" s="207">
        <f>'7.17'!G13</f>
        <v>109.77</v>
      </c>
      <c r="C35" s="197">
        <f t="shared" si="14"/>
        <v>1.01</v>
      </c>
      <c r="D35" s="3204" t="s">
        <v>7606</v>
      </c>
      <c r="E35" s="197">
        <f t="shared" si="15"/>
        <v>1</v>
      </c>
      <c r="F35" s="995" t="str">
        <f>'7.15'!D13</f>
        <v>平层</v>
      </c>
      <c r="G35" s="197">
        <f t="shared" si="16"/>
        <v>1</v>
      </c>
      <c r="H35" s="995" t="str">
        <f>'7.15'!E13</f>
        <v>南北</v>
      </c>
      <c r="I35" s="197">
        <f t="shared" si="17"/>
        <v>1</v>
      </c>
      <c r="J35" s="995"/>
      <c r="K35" s="197">
        <f t="shared" si="18"/>
        <v>1</v>
      </c>
      <c r="L35" s="995"/>
      <c r="M35" s="197">
        <f t="shared" si="19"/>
        <v>1</v>
      </c>
      <c r="N35" s="995"/>
      <c r="O35" s="197">
        <f t="shared" si="20"/>
        <v>1</v>
      </c>
      <c r="P35" s="995"/>
      <c r="Q35" s="197">
        <f t="shared" si="21"/>
        <v>1</v>
      </c>
      <c r="R35" s="991">
        <f t="shared" ca="1" si="26"/>
        <v>16091</v>
      </c>
      <c r="S35" s="552">
        <f t="shared" ca="1" si="27"/>
        <v>1766309</v>
      </c>
      <c r="T35" s="2010">
        <f t="shared" ca="1" si="28"/>
        <v>177</v>
      </c>
      <c r="U35" s="2305">
        <f t="shared" si="22"/>
        <v>0</v>
      </c>
      <c r="V35" s="2305">
        <f t="shared" si="23"/>
        <v>0</v>
      </c>
      <c r="W35" s="2300"/>
      <c r="X35" s="2305">
        <f t="shared" si="24"/>
        <v>0</v>
      </c>
      <c r="Y35" s="2305">
        <f t="shared" si="25"/>
        <v>0</v>
      </c>
      <c r="Z35" s="2300"/>
    </row>
    <row r="36" spans="1:26">
      <c r="A36" s="292" t="str">
        <f>'7.15'!B14</f>
        <v>4幢2单元701室</v>
      </c>
      <c r="B36" s="207">
        <f>'7.17'!G14</f>
        <v>109.77</v>
      </c>
      <c r="C36" s="197">
        <f t="shared" si="14"/>
        <v>1.01</v>
      </c>
      <c r="D36" s="3204" t="s">
        <v>7606</v>
      </c>
      <c r="E36" s="197">
        <f t="shared" si="15"/>
        <v>1</v>
      </c>
      <c r="F36" s="995" t="str">
        <f>'7.15'!D14</f>
        <v>平层</v>
      </c>
      <c r="G36" s="197">
        <f t="shared" si="16"/>
        <v>1</v>
      </c>
      <c r="H36" s="995" t="str">
        <f>'7.15'!E14</f>
        <v>南北</v>
      </c>
      <c r="I36" s="197">
        <f t="shared" si="17"/>
        <v>1</v>
      </c>
      <c r="J36" s="995"/>
      <c r="K36" s="197">
        <f t="shared" si="18"/>
        <v>1</v>
      </c>
      <c r="L36" s="995"/>
      <c r="M36" s="197">
        <f t="shared" si="19"/>
        <v>1</v>
      </c>
      <c r="N36" s="995"/>
      <c r="O36" s="197">
        <f t="shared" si="20"/>
        <v>1</v>
      </c>
      <c r="P36" s="995"/>
      <c r="Q36" s="197">
        <f t="shared" si="21"/>
        <v>1</v>
      </c>
      <c r="R36" s="991">
        <f t="shared" ca="1" si="26"/>
        <v>16091</v>
      </c>
      <c r="S36" s="552">
        <f t="shared" ca="1" si="27"/>
        <v>1766309</v>
      </c>
      <c r="T36" s="2010">
        <f t="shared" ca="1" si="28"/>
        <v>177</v>
      </c>
      <c r="U36" s="2305">
        <f t="shared" si="22"/>
        <v>0</v>
      </c>
      <c r="V36" s="2305">
        <f t="shared" si="23"/>
        <v>0</v>
      </c>
      <c r="W36" s="2300"/>
      <c r="X36" s="2305">
        <f t="shared" si="24"/>
        <v>0</v>
      </c>
      <c r="Y36" s="2305">
        <f t="shared" si="25"/>
        <v>0</v>
      </c>
      <c r="Z36" s="2300"/>
    </row>
    <row r="37" spans="1:26">
      <c r="A37" s="292" t="str">
        <f>'7.15'!B15</f>
        <v>4幢2单元1301室</v>
      </c>
      <c r="B37" s="207">
        <f>'7.17'!G15</f>
        <v>109.77</v>
      </c>
      <c r="C37" s="197">
        <f t="shared" si="14"/>
        <v>1.01</v>
      </c>
      <c r="D37" s="995" t="s">
        <v>7609</v>
      </c>
      <c r="E37" s="197">
        <f t="shared" si="15"/>
        <v>1.04</v>
      </c>
      <c r="F37" s="995" t="str">
        <f>'7.15'!D15</f>
        <v>平层</v>
      </c>
      <c r="G37" s="197">
        <f t="shared" si="16"/>
        <v>1</v>
      </c>
      <c r="H37" s="995" t="str">
        <f>'7.15'!E15</f>
        <v>南北</v>
      </c>
      <c r="I37" s="197">
        <f t="shared" si="17"/>
        <v>1</v>
      </c>
      <c r="J37" s="995"/>
      <c r="K37" s="197">
        <f t="shared" si="18"/>
        <v>1</v>
      </c>
      <c r="L37" s="995"/>
      <c r="M37" s="197">
        <f t="shared" si="19"/>
        <v>1</v>
      </c>
      <c r="N37" s="995"/>
      <c r="O37" s="197">
        <f t="shared" si="20"/>
        <v>1</v>
      </c>
      <c r="P37" s="995"/>
      <c r="Q37" s="197">
        <f t="shared" si="21"/>
        <v>1</v>
      </c>
      <c r="R37" s="991">
        <f t="shared" ca="1" si="26"/>
        <v>16735</v>
      </c>
      <c r="S37" s="552">
        <f t="shared" ca="1" si="27"/>
        <v>1837001</v>
      </c>
      <c r="T37" s="2010">
        <f t="shared" ca="1" si="28"/>
        <v>184</v>
      </c>
      <c r="U37" s="2305">
        <f t="shared" si="22"/>
        <v>0</v>
      </c>
      <c r="V37" s="2305">
        <f t="shared" si="23"/>
        <v>0</v>
      </c>
      <c r="W37" s="2300"/>
      <c r="X37" s="2305">
        <f t="shared" si="24"/>
        <v>0</v>
      </c>
      <c r="Y37" s="2305">
        <f t="shared" si="25"/>
        <v>0</v>
      </c>
      <c r="Z37" s="2300"/>
    </row>
    <row r="38" spans="1:26">
      <c r="A38" s="292" t="str">
        <f>'7.15'!B16</f>
        <v>4幢2单元1401室</v>
      </c>
      <c r="B38" s="207">
        <f>'7.17'!G16</f>
        <v>109.77</v>
      </c>
      <c r="C38" s="197">
        <f t="shared" si="14"/>
        <v>1.01</v>
      </c>
      <c r="D38" s="995" t="s">
        <v>7609</v>
      </c>
      <c r="E38" s="197">
        <f t="shared" si="15"/>
        <v>1.04</v>
      </c>
      <c r="F38" s="995" t="str">
        <f>'7.15'!D16</f>
        <v>平层</v>
      </c>
      <c r="G38" s="197">
        <f t="shared" si="16"/>
        <v>1</v>
      </c>
      <c r="H38" s="995" t="str">
        <f>'7.15'!E16</f>
        <v>南北</v>
      </c>
      <c r="I38" s="197">
        <f t="shared" si="17"/>
        <v>1</v>
      </c>
      <c r="J38" s="995"/>
      <c r="K38" s="197">
        <f t="shared" si="18"/>
        <v>1</v>
      </c>
      <c r="L38" s="995"/>
      <c r="M38" s="197">
        <f t="shared" si="19"/>
        <v>1</v>
      </c>
      <c r="N38" s="995"/>
      <c r="O38" s="197">
        <f t="shared" si="20"/>
        <v>1</v>
      </c>
      <c r="P38" s="995"/>
      <c r="Q38" s="197">
        <f t="shared" si="21"/>
        <v>1</v>
      </c>
      <c r="R38" s="991">
        <f t="shared" ca="1" si="26"/>
        <v>16735</v>
      </c>
      <c r="S38" s="552">
        <f t="shared" ca="1" si="27"/>
        <v>1837001</v>
      </c>
      <c r="T38" s="2010">
        <f t="shared" ca="1" si="28"/>
        <v>184</v>
      </c>
      <c r="U38" s="2305">
        <f t="shared" si="22"/>
        <v>0</v>
      </c>
      <c r="V38" s="2305">
        <f t="shared" si="23"/>
        <v>0</v>
      </c>
      <c r="W38" s="2300"/>
      <c r="X38" s="2305">
        <f t="shared" si="24"/>
        <v>0</v>
      </c>
      <c r="Y38" s="2305">
        <f t="shared" si="25"/>
        <v>0</v>
      </c>
      <c r="Z38" s="2300"/>
    </row>
    <row r="39" spans="1:26">
      <c r="A39" s="292" t="str">
        <f>'7.15'!B17</f>
        <v>4幢2单元2101室</v>
      </c>
      <c r="B39" s="207">
        <f>'7.17'!G17</f>
        <v>109.77</v>
      </c>
      <c r="C39" s="197">
        <f t="shared" si="14"/>
        <v>1.01</v>
      </c>
      <c r="D39" s="3204" t="s">
        <v>7608</v>
      </c>
      <c r="E39" s="197">
        <f t="shared" si="15"/>
        <v>1.02</v>
      </c>
      <c r="F39" s="995" t="str">
        <f>'7.15'!D17</f>
        <v>平层</v>
      </c>
      <c r="G39" s="197">
        <f t="shared" si="16"/>
        <v>1</v>
      </c>
      <c r="H39" s="995" t="str">
        <f>'7.15'!E17</f>
        <v>南北</v>
      </c>
      <c r="I39" s="197">
        <f t="shared" si="17"/>
        <v>1</v>
      </c>
      <c r="J39" s="995"/>
      <c r="K39" s="197">
        <f t="shared" si="18"/>
        <v>1</v>
      </c>
      <c r="L39" s="995"/>
      <c r="M39" s="197">
        <f t="shared" si="19"/>
        <v>1</v>
      </c>
      <c r="N39" s="995"/>
      <c r="O39" s="197">
        <f t="shared" si="20"/>
        <v>1</v>
      </c>
      <c r="P39" s="995"/>
      <c r="Q39" s="197">
        <f t="shared" si="21"/>
        <v>1</v>
      </c>
      <c r="R39" s="991">
        <f t="shared" ca="1" si="26"/>
        <v>16413</v>
      </c>
      <c r="S39" s="552">
        <f t="shared" ca="1" si="27"/>
        <v>1801655</v>
      </c>
      <c r="T39" s="2010">
        <f t="shared" ca="1" si="28"/>
        <v>180</v>
      </c>
      <c r="U39" s="2305">
        <f t="shared" si="22"/>
        <v>0</v>
      </c>
      <c r="V39" s="2305">
        <f t="shared" si="23"/>
        <v>0</v>
      </c>
      <c r="W39" s="2300"/>
      <c r="X39" s="2305">
        <f t="shared" si="24"/>
        <v>0</v>
      </c>
      <c r="Y39" s="2305">
        <f t="shared" si="25"/>
        <v>0</v>
      </c>
      <c r="Z39" s="2300"/>
    </row>
    <row r="40" spans="1:26">
      <c r="A40" s="292" t="str">
        <f>'7.15'!B18</f>
        <v>4幢2单元2201室</v>
      </c>
      <c r="B40" s="207">
        <f>'7.17'!G18</f>
        <v>109.77</v>
      </c>
      <c r="C40" s="197">
        <f t="shared" si="14"/>
        <v>1.01</v>
      </c>
      <c r="D40" s="3204" t="s">
        <v>7608</v>
      </c>
      <c r="E40" s="197">
        <f t="shared" si="15"/>
        <v>1.02</v>
      </c>
      <c r="F40" s="995" t="str">
        <f>'7.15'!D18</f>
        <v>平层</v>
      </c>
      <c r="G40" s="197">
        <f t="shared" si="16"/>
        <v>1</v>
      </c>
      <c r="H40" s="995" t="str">
        <f>'7.15'!E18</f>
        <v>南北</v>
      </c>
      <c r="I40" s="197">
        <f t="shared" si="17"/>
        <v>1</v>
      </c>
      <c r="J40" s="995"/>
      <c r="K40" s="197">
        <f t="shared" si="18"/>
        <v>1</v>
      </c>
      <c r="L40" s="995"/>
      <c r="M40" s="197">
        <f t="shared" si="19"/>
        <v>1</v>
      </c>
      <c r="N40" s="995"/>
      <c r="O40" s="197">
        <f t="shared" si="20"/>
        <v>1</v>
      </c>
      <c r="P40" s="995"/>
      <c r="Q40" s="197">
        <f t="shared" si="21"/>
        <v>1</v>
      </c>
      <c r="R40" s="991">
        <f t="shared" ca="1" si="26"/>
        <v>16413</v>
      </c>
      <c r="S40" s="552">
        <f t="shared" ca="1" si="27"/>
        <v>1801655</v>
      </c>
      <c r="T40" s="2010">
        <f t="shared" ca="1" si="28"/>
        <v>180</v>
      </c>
      <c r="U40" s="2305">
        <f t="shared" si="22"/>
        <v>0</v>
      </c>
      <c r="V40" s="2305">
        <f t="shared" si="23"/>
        <v>0</v>
      </c>
      <c r="W40" s="2300"/>
      <c r="X40" s="2305">
        <f t="shared" si="24"/>
        <v>0</v>
      </c>
      <c r="Y40" s="2305">
        <f t="shared" si="25"/>
        <v>0</v>
      </c>
      <c r="Z40" s="2300"/>
    </row>
    <row r="41" spans="1:26">
      <c r="A41" s="292" t="str">
        <f>'7.15'!B19</f>
        <v>4幢2单元2401室</v>
      </c>
      <c r="B41" s="207">
        <f>'7.17'!G19</f>
        <v>109.77</v>
      </c>
      <c r="C41" s="197">
        <f t="shared" si="14"/>
        <v>1.01</v>
      </c>
      <c r="D41" s="3204" t="s">
        <v>7608</v>
      </c>
      <c r="E41" s="197">
        <f t="shared" si="15"/>
        <v>1.02</v>
      </c>
      <c r="F41" s="995" t="str">
        <f>'7.15'!D19</f>
        <v>平层</v>
      </c>
      <c r="G41" s="197">
        <f t="shared" si="16"/>
        <v>1</v>
      </c>
      <c r="H41" s="995" t="str">
        <f>'7.15'!E19</f>
        <v>南北</v>
      </c>
      <c r="I41" s="197">
        <f t="shared" si="17"/>
        <v>1</v>
      </c>
      <c r="J41" s="995"/>
      <c r="K41" s="197">
        <f t="shared" si="18"/>
        <v>1</v>
      </c>
      <c r="L41" s="995"/>
      <c r="M41" s="197">
        <f t="shared" si="19"/>
        <v>1</v>
      </c>
      <c r="N41" s="995"/>
      <c r="O41" s="197">
        <f t="shared" si="20"/>
        <v>1</v>
      </c>
      <c r="P41" s="995"/>
      <c r="Q41" s="197">
        <f t="shared" si="21"/>
        <v>1</v>
      </c>
      <c r="R41" s="991">
        <f t="shared" ca="1" si="26"/>
        <v>16413</v>
      </c>
      <c r="S41" s="552">
        <f t="shared" ca="1" si="27"/>
        <v>1801655</v>
      </c>
      <c r="T41" s="2010">
        <f t="shared" ca="1" si="28"/>
        <v>180</v>
      </c>
      <c r="U41" s="2305">
        <f t="shared" si="22"/>
        <v>0</v>
      </c>
      <c r="V41" s="2305">
        <f t="shared" si="23"/>
        <v>0</v>
      </c>
      <c r="W41" s="2300"/>
      <c r="X41" s="2305">
        <f t="shared" si="24"/>
        <v>0</v>
      </c>
      <c r="Y41" s="2305">
        <f t="shared" si="25"/>
        <v>0</v>
      </c>
      <c r="Z41" s="2300"/>
    </row>
    <row r="42" spans="1:26">
      <c r="A42" s="292" t="str">
        <f>'7.15'!B20</f>
        <v>4幢2单元2501室</v>
      </c>
      <c r="B42" s="207">
        <f>'7.17'!G20</f>
        <v>109.77</v>
      </c>
      <c r="C42" s="197">
        <f t="shared" si="14"/>
        <v>1.01</v>
      </c>
      <c r="D42" s="3204" t="s">
        <v>7608</v>
      </c>
      <c r="E42" s="197">
        <f t="shared" si="15"/>
        <v>1.02</v>
      </c>
      <c r="F42" s="995" t="str">
        <f>'7.15'!D20</f>
        <v>平层</v>
      </c>
      <c r="G42" s="197">
        <f t="shared" si="16"/>
        <v>1</v>
      </c>
      <c r="H42" s="995" t="str">
        <f>'7.15'!E20</f>
        <v>南北</v>
      </c>
      <c r="I42" s="197">
        <f t="shared" si="17"/>
        <v>1</v>
      </c>
      <c r="J42" s="995"/>
      <c r="K42" s="197">
        <f t="shared" si="18"/>
        <v>1</v>
      </c>
      <c r="L42" s="995"/>
      <c r="M42" s="197">
        <f t="shared" si="19"/>
        <v>1</v>
      </c>
      <c r="N42" s="995"/>
      <c r="O42" s="197">
        <f t="shared" si="20"/>
        <v>1</v>
      </c>
      <c r="P42" s="995"/>
      <c r="Q42" s="197">
        <f t="shared" si="21"/>
        <v>1</v>
      </c>
      <c r="R42" s="991">
        <f t="shared" ca="1" si="26"/>
        <v>16413</v>
      </c>
      <c r="S42" s="552">
        <f t="shared" ca="1" si="27"/>
        <v>1801655</v>
      </c>
      <c r="T42" s="2010">
        <f t="shared" ca="1" si="28"/>
        <v>180</v>
      </c>
      <c r="U42" s="2305">
        <f t="shared" si="22"/>
        <v>0</v>
      </c>
      <c r="V42" s="2305">
        <f t="shared" si="23"/>
        <v>0</v>
      </c>
      <c r="W42" s="2300"/>
      <c r="X42" s="2305">
        <f t="shared" si="24"/>
        <v>0</v>
      </c>
      <c r="Y42" s="2305">
        <f t="shared" si="25"/>
        <v>0</v>
      </c>
      <c r="Z42" s="2300"/>
    </row>
    <row r="43" spans="1:26">
      <c r="A43" s="292" t="str">
        <f>'7.15'!B21</f>
        <v>4幢2单元2601室</v>
      </c>
      <c r="B43" s="207">
        <f>'7.17'!G21</f>
        <v>109.77</v>
      </c>
      <c r="C43" s="197">
        <f t="shared" si="14"/>
        <v>1.01</v>
      </c>
      <c r="D43" s="3204" t="s">
        <v>7608</v>
      </c>
      <c r="E43" s="197">
        <f t="shared" si="15"/>
        <v>1.02</v>
      </c>
      <c r="F43" s="995" t="str">
        <f>'7.15'!D21</f>
        <v>平层</v>
      </c>
      <c r="G43" s="197">
        <f t="shared" si="16"/>
        <v>1</v>
      </c>
      <c r="H43" s="995" t="str">
        <f>'7.15'!E21</f>
        <v>南北</v>
      </c>
      <c r="I43" s="197">
        <f t="shared" si="17"/>
        <v>1</v>
      </c>
      <c r="J43" s="995"/>
      <c r="K43" s="197">
        <f t="shared" si="18"/>
        <v>1</v>
      </c>
      <c r="L43" s="995"/>
      <c r="M43" s="197">
        <f t="shared" si="19"/>
        <v>1</v>
      </c>
      <c r="N43" s="995"/>
      <c r="O43" s="197">
        <f t="shared" si="20"/>
        <v>1</v>
      </c>
      <c r="P43" s="995"/>
      <c r="Q43" s="197">
        <f t="shared" si="21"/>
        <v>1</v>
      </c>
      <c r="R43" s="991">
        <f t="shared" ca="1" si="26"/>
        <v>16413</v>
      </c>
      <c r="S43" s="552">
        <f t="shared" ca="1" si="27"/>
        <v>1801655</v>
      </c>
      <c r="T43" s="2010">
        <f t="shared" ca="1" si="28"/>
        <v>180</v>
      </c>
      <c r="U43" s="2305">
        <f t="shared" si="22"/>
        <v>0</v>
      </c>
      <c r="V43" s="2305">
        <f t="shared" si="23"/>
        <v>0</v>
      </c>
      <c r="W43" s="2300"/>
      <c r="X43" s="2305">
        <f t="shared" si="24"/>
        <v>0</v>
      </c>
      <c r="Y43" s="2305">
        <f t="shared" si="25"/>
        <v>0</v>
      </c>
      <c r="Z43" s="2300"/>
    </row>
    <row r="44" spans="1:26">
      <c r="A44" s="292" t="str">
        <f>'7.15'!B22</f>
        <v>4幢2单元2701室</v>
      </c>
      <c r="B44" s="207">
        <f>'7.17'!G22</f>
        <v>109.77</v>
      </c>
      <c r="C44" s="197">
        <f t="shared" si="14"/>
        <v>1.01</v>
      </c>
      <c r="D44" s="3204" t="s">
        <v>7608</v>
      </c>
      <c r="E44" s="197">
        <f t="shared" si="15"/>
        <v>1.02</v>
      </c>
      <c r="F44" s="995" t="str">
        <f>'7.15'!D22</f>
        <v>平层</v>
      </c>
      <c r="G44" s="197">
        <f t="shared" si="16"/>
        <v>1</v>
      </c>
      <c r="H44" s="995" t="str">
        <f>'7.15'!E22</f>
        <v>南北</v>
      </c>
      <c r="I44" s="197">
        <f t="shared" si="17"/>
        <v>1</v>
      </c>
      <c r="J44" s="995"/>
      <c r="K44" s="197">
        <f t="shared" si="18"/>
        <v>1</v>
      </c>
      <c r="L44" s="995"/>
      <c r="M44" s="197">
        <f t="shared" si="19"/>
        <v>1</v>
      </c>
      <c r="N44" s="995"/>
      <c r="O44" s="197">
        <f t="shared" si="20"/>
        <v>1</v>
      </c>
      <c r="P44" s="995"/>
      <c r="Q44" s="197">
        <f t="shared" si="21"/>
        <v>1</v>
      </c>
      <c r="R44" s="991">
        <f t="shared" ca="1" si="26"/>
        <v>16413</v>
      </c>
      <c r="S44" s="552">
        <f t="shared" ca="1" si="27"/>
        <v>1801655</v>
      </c>
      <c r="T44" s="2010">
        <f t="shared" ca="1" si="28"/>
        <v>180</v>
      </c>
      <c r="U44" s="2305">
        <f t="shared" si="22"/>
        <v>0</v>
      </c>
      <c r="V44" s="2305">
        <f t="shared" si="23"/>
        <v>0</v>
      </c>
      <c r="W44" s="2300"/>
      <c r="X44" s="2305">
        <f t="shared" si="24"/>
        <v>0</v>
      </c>
      <c r="Y44" s="2305">
        <f t="shared" si="25"/>
        <v>0</v>
      </c>
      <c r="Z44" s="2300"/>
    </row>
    <row r="45" spans="1:26">
      <c r="A45" s="292" t="str">
        <f>'7.15'!B23</f>
        <v>6幢1单元201室</v>
      </c>
      <c r="B45" s="207">
        <f>'7.17'!G23</f>
        <v>110.15</v>
      </c>
      <c r="C45" s="197">
        <f t="shared" si="14"/>
        <v>1.01</v>
      </c>
      <c r="D45" s="3204" t="s">
        <v>7606</v>
      </c>
      <c r="E45" s="197">
        <f t="shared" si="15"/>
        <v>1</v>
      </c>
      <c r="F45" s="995" t="str">
        <f>'7.15'!D23</f>
        <v>平层</v>
      </c>
      <c r="G45" s="197">
        <f t="shared" si="16"/>
        <v>1</v>
      </c>
      <c r="H45" s="995" t="str">
        <f>'7.15'!E23</f>
        <v>南北东</v>
      </c>
      <c r="I45" s="197">
        <f t="shared" si="17"/>
        <v>1.02</v>
      </c>
      <c r="J45" s="995"/>
      <c r="K45" s="197">
        <f t="shared" si="18"/>
        <v>1</v>
      </c>
      <c r="L45" s="995"/>
      <c r="M45" s="197">
        <f t="shared" si="19"/>
        <v>1</v>
      </c>
      <c r="N45" s="995"/>
      <c r="O45" s="197">
        <f t="shared" si="20"/>
        <v>1</v>
      </c>
      <c r="P45" s="995"/>
      <c r="Q45" s="197">
        <f t="shared" si="21"/>
        <v>1</v>
      </c>
      <c r="R45" s="991">
        <f t="shared" ca="1" si="26"/>
        <v>16413</v>
      </c>
      <c r="S45" s="552">
        <f t="shared" ca="1" si="27"/>
        <v>1807892</v>
      </c>
      <c r="T45" s="2010">
        <f t="shared" ca="1" si="28"/>
        <v>181</v>
      </c>
      <c r="U45" s="2305">
        <f t="shared" si="22"/>
        <v>0</v>
      </c>
      <c r="V45" s="2305">
        <f t="shared" si="23"/>
        <v>0</v>
      </c>
      <c r="W45" s="2300"/>
      <c r="X45" s="2305">
        <f t="shared" si="24"/>
        <v>0</v>
      </c>
      <c r="Y45" s="2305">
        <f t="shared" si="25"/>
        <v>0</v>
      </c>
      <c r="Z45" s="2300"/>
    </row>
    <row r="46" spans="1:26">
      <c r="A46" s="292" t="str">
        <f>'7.15'!B24</f>
        <v>6幢1单元301室</v>
      </c>
      <c r="B46" s="207">
        <f>'7.17'!G24</f>
        <v>110.15</v>
      </c>
      <c r="C46" s="197">
        <f t="shared" si="14"/>
        <v>1.01</v>
      </c>
      <c r="D46" s="3204" t="s">
        <v>7606</v>
      </c>
      <c r="E46" s="197">
        <f t="shared" si="15"/>
        <v>1</v>
      </c>
      <c r="F46" s="995" t="str">
        <f>'7.15'!D24</f>
        <v>平层</v>
      </c>
      <c r="G46" s="197">
        <f t="shared" si="16"/>
        <v>1</v>
      </c>
      <c r="H46" s="995" t="str">
        <f>'7.15'!E24</f>
        <v>南北东</v>
      </c>
      <c r="I46" s="197">
        <f t="shared" si="17"/>
        <v>1.02</v>
      </c>
      <c r="J46" s="995"/>
      <c r="K46" s="197">
        <f t="shared" si="18"/>
        <v>1</v>
      </c>
      <c r="L46" s="995"/>
      <c r="M46" s="197">
        <f t="shared" si="19"/>
        <v>1</v>
      </c>
      <c r="N46" s="995"/>
      <c r="O46" s="197">
        <f t="shared" si="20"/>
        <v>1</v>
      </c>
      <c r="P46" s="995"/>
      <c r="Q46" s="197">
        <f t="shared" si="21"/>
        <v>1</v>
      </c>
      <c r="R46" s="991">
        <f t="shared" ca="1" si="26"/>
        <v>16413</v>
      </c>
      <c r="S46" s="552">
        <f t="shared" ca="1" si="27"/>
        <v>1807892</v>
      </c>
      <c r="T46" s="2010">
        <f t="shared" ca="1" si="28"/>
        <v>181</v>
      </c>
      <c r="U46" s="2305">
        <f t="shared" si="22"/>
        <v>0</v>
      </c>
      <c r="V46" s="2305">
        <f t="shared" si="23"/>
        <v>0</v>
      </c>
      <c r="W46" s="2300"/>
      <c r="X46" s="2305">
        <f t="shared" si="24"/>
        <v>0</v>
      </c>
      <c r="Y46" s="2305">
        <f t="shared" si="25"/>
        <v>0</v>
      </c>
      <c r="Z46" s="2300"/>
    </row>
    <row r="47" spans="1:26">
      <c r="A47" s="292" t="str">
        <f>'7.15'!B25</f>
        <v>6幢1单元401室</v>
      </c>
      <c r="B47" s="207">
        <f>'7.17'!G25</f>
        <v>110.15</v>
      </c>
      <c r="C47" s="197">
        <f t="shared" si="14"/>
        <v>1.01</v>
      </c>
      <c r="D47" s="3204" t="s">
        <v>7606</v>
      </c>
      <c r="E47" s="197">
        <f t="shared" si="15"/>
        <v>1</v>
      </c>
      <c r="F47" s="995" t="str">
        <f>'7.15'!D25</f>
        <v>平层</v>
      </c>
      <c r="G47" s="197">
        <f t="shared" si="16"/>
        <v>1</v>
      </c>
      <c r="H47" s="995" t="str">
        <f>'7.15'!E25</f>
        <v>南北东</v>
      </c>
      <c r="I47" s="197">
        <f t="shared" si="17"/>
        <v>1.02</v>
      </c>
      <c r="J47" s="995"/>
      <c r="K47" s="197">
        <f t="shared" si="18"/>
        <v>1</v>
      </c>
      <c r="L47" s="995"/>
      <c r="M47" s="197">
        <f t="shared" si="19"/>
        <v>1</v>
      </c>
      <c r="N47" s="995"/>
      <c r="O47" s="197">
        <f t="shared" si="20"/>
        <v>1</v>
      </c>
      <c r="P47" s="995"/>
      <c r="Q47" s="197">
        <f t="shared" si="21"/>
        <v>1</v>
      </c>
      <c r="R47" s="991">
        <f t="shared" ca="1" si="26"/>
        <v>16413</v>
      </c>
      <c r="S47" s="552">
        <f t="shared" ca="1" si="27"/>
        <v>1807892</v>
      </c>
      <c r="T47" s="2010">
        <f t="shared" ca="1" si="28"/>
        <v>181</v>
      </c>
      <c r="U47" s="2305">
        <f t="shared" si="22"/>
        <v>0</v>
      </c>
      <c r="V47" s="2305">
        <f t="shared" si="23"/>
        <v>0</v>
      </c>
      <c r="W47" s="2300"/>
      <c r="X47" s="2305">
        <f t="shared" si="24"/>
        <v>0</v>
      </c>
      <c r="Y47" s="2305">
        <f t="shared" si="25"/>
        <v>0</v>
      </c>
      <c r="Z47" s="2300"/>
    </row>
    <row r="48" spans="1:26">
      <c r="A48" s="292" t="str">
        <f>'7.15'!B26</f>
        <v>6幢1单元501室</v>
      </c>
      <c r="B48" s="207">
        <f>'7.17'!G26</f>
        <v>110.15</v>
      </c>
      <c r="C48" s="197">
        <f t="shared" si="14"/>
        <v>1.01</v>
      </c>
      <c r="D48" s="3204" t="s">
        <v>7606</v>
      </c>
      <c r="E48" s="197">
        <f t="shared" si="15"/>
        <v>1</v>
      </c>
      <c r="F48" s="995" t="str">
        <f>'7.15'!D26</f>
        <v>平层</v>
      </c>
      <c r="G48" s="197">
        <f t="shared" si="16"/>
        <v>1</v>
      </c>
      <c r="H48" s="995" t="str">
        <f>'7.15'!E26</f>
        <v>南北东</v>
      </c>
      <c r="I48" s="197">
        <f t="shared" si="17"/>
        <v>1.02</v>
      </c>
      <c r="J48" s="995"/>
      <c r="K48" s="197">
        <f t="shared" si="18"/>
        <v>1</v>
      </c>
      <c r="L48" s="995"/>
      <c r="M48" s="197">
        <f t="shared" si="19"/>
        <v>1</v>
      </c>
      <c r="N48" s="995"/>
      <c r="O48" s="197">
        <f t="shared" si="20"/>
        <v>1</v>
      </c>
      <c r="P48" s="995"/>
      <c r="Q48" s="197">
        <f t="shared" si="21"/>
        <v>1</v>
      </c>
      <c r="R48" s="991">
        <f t="shared" ca="1" si="26"/>
        <v>16413</v>
      </c>
      <c r="S48" s="552">
        <f t="shared" ca="1" si="27"/>
        <v>1807892</v>
      </c>
      <c r="T48" s="2010">
        <f t="shared" ca="1" si="28"/>
        <v>181</v>
      </c>
      <c r="U48" s="2305">
        <f t="shared" si="22"/>
        <v>0</v>
      </c>
      <c r="V48" s="2305">
        <f t="shared" si="23"/>
        <v>0</v>
      </c>
      <c r="W48" s="2300"/>
      <c r="X48" s="2305">
        <f t="shared" si="24"/>
        <v>0</v>
      </c>
      <c r="Y48" s="2305">
        <f t="shared" si="25"/>
        <v>0</v>
      </c>
      <c r="Z48" s="2300"/>
    </row>
    <row r="49" spans="1:26">
      <c r="A49" s="292" t="str">
        <f>'7.15'!B27</f>
        <v>6幢1单元601室</v>
      </c>
      <c r="B49" s="207">
        <f>'7.17'!G27</f>
        <v>110.15</v>
      </c>
      <c r="C49" s="197">
        <f t="shared" si="14"/>
        <v>1.01</v>
      </c>
      <c r="D49" s="3204" t="s">
        <v>7606</v>
      </c>
      <c r="E49" s="197">
        <f t="shared" si="15"/>
        <v>1</v>
      </c>
      <c r="F49" s="995" t="str">
        <f>'7.15'!D27</f>
        <v>平层</v>
      </c>
      <c r="G49" s="197">
        <f t="shared" si="16"/>
        <v>1</v>
      </c>
      <c r="H49" s="995" t="str">
        <f>'7.15'!E27</f>
        <v>南北东</v>
      </c>
      <c r="I49" s="197">
        <f t="shared" si="17"/>
        <v>1.02</v>
      </c>
      <c r="J49" s="995"/>
      <c r="K49" s="197">
        <f t="shared" si="18"/>
        <v>1</v>
      </c>
      <c r="L49" s="995"/>
      <c r="M49" s="197">
        <f t="shared" si="19"/>
        <v>1</v>
      </c>
      <c r="N49" s="995"/>
      <c r="O49" s="197">
        <f t="shared" si="20"/>
        <v>1</v>
      </c>
      <c r="P49" s="995"/>
      <c r="Q49" s="197">
        <f t="shared" si="21"/>
        <v>1</v>
      </c>
      <c r="R49" s="991">
        <f t="shared" ca="1" si="26"/>
        <v>16413</v>
      </c>
      <c r="S49" s="552">
        <f t="shared" ca="1" si="27"/>
        <v>1807892</v>
      </c>
      <c r="T49" s="2010">
        <f t="shared" ca="1" si="28"/>
        <v>181</v>
      </c>
      <c r="U49" s="2305">
        <f t="shared" si="22"/>
        <v>0</v>
      </c>
      <c r="V49" s="2305">
        <f t="shared" si="23"/>
        <v>0</v>
      </c>
      <c r="W49" s="2300"/>
      <c r="X49" s="2305">
        <f t="shared" si="24"/>
        <v>0</v>
      </c>
      <c r="Y49" s="2305">
        <f t="shared" si="25"/>
        <v>0</v>
      </c>
      <c r="Z49" s="2300"/>
    </row>
    <row r="50" spans="1:26">
      <c r="A50" s="292" t="str">
        <f>'7.15'!B28</f>
        <v>6幢1单元701室</v>
      </c>
      <c r="B50" s="207">
        <f>'7.17'!G28</f>
        <v>110.15</v>
      </c>
      <c r="C50" s="197">
        <f t="shared" si="14"/>
        <v>1.01</v>
      </c>
      <c r="D50" s="3204" t="s">
        <v>7609</v>
      </c>
      <c r="E50" s="197">
        <f t="shared" si="15"/>
        <v>1.04</v>
      </c>
      <c r="F50" s="995" t="str">
        <f>'7.15'!D28</f>
        <v>平层</v>
      </c>
      <c r="G50" s="197">
        <f t="shared" si="16"/>
        <v>1</v>
      </c>
      <c r="H50" s="995" t="str">
        <f>'7.15'!E28</f>
        <v>南北东</v>
      </c>
      <c r="I50" s="197">
        <f t="shared" si="17"/>
        <v>1.02</v>
      </c>
      <c r="J50" s="995"/>
      <c r="K50" s="197">
        <f t="shared" si="18"/>
        <v>1</v>
      </c>
      <c r="L50" s="995"/>
      <c r="M50" s="197">
        <f t="shared" si="19"/>
        <v>1</v>
      </c>
      <c r="N50" s="995"/>
      <c r="O50" s="197">
        <f t="shared" si="20"/>
        <v>1</v>
      </c>
      <c r="P50" s="995"/>
      <c r="Q50" s="197">
        <f t="shared" si="21"/>
        <v>1</v>
      </c>
      <c r="R50" s="991">
        <f t="shared" ca="1" si="26"/>
        <v>17070</v>
      </c>
      <c r="S50" s="552">
        <f t="shared" ca="1" si="27"/>
        <v>1880261</v>
      </c>
      <c r="T50" s="2010">
        <f t="shared" ca="1" si="28"/>
        <v>188</v>
      </c>
      <c r="U50" s="2305">
        <f t="shared" si="22"/>
        <v>0</v>
      </c>
      <c r="V50" s="2305">
        <f t="shared" si="23"/>
        <v>0</v>
      </c>
      <c r="W50" s="2300"/>
      <c r="X50" s="2305">
        <f t="shared" si="24"/>
        <v>0</v>
      </c>
      <c r="Y50" s="2305">
        <f t="shared" si="25"/>
        <v>0</v>
      </c>
      <c r="Z50" s="2300"/>
    </row>
    <row r="51" spans="1:26">
      <c r="A51" s="292" t="str">
        <f>'7.15'!B29</f>
        <v>6幢1单元801室</v>
      </c>
      <c r="B51" s="207">
        <f>'7.17'!G29</f>
        <v>110.15</v>
      </c>
      <c r="C51" s="197">
        <f t="shared" si="14"/>
        <v>1.01</v>
      </c>
      <c r="D51" s="3204" t="s">
        <v>7609</v>
      </c>
      <c r="E51" s="197">
        <f t="shared" si="15"/>
        <v>1.04</v>
      </c>
      <c r="F51" s="995" t="str">
        <f>'7.15'!D29</f>
        <v>平层</v>
      </c>
      <c r="G51" s="197">
        <f t="shared" si="16"/>
        <v>1</v>
      </c>
      <c r="H51" s="995" t="str">
        <f>'7.15'!E29</f>
        <v>南北东</v>
      </c>
      <c r="I51" s="197">
        <f t="shared" si="17"/>
        <v>1.02</v>
      </c>
      <c r="J51" s="995"/>
      <c r="K51" s="197">
        <f t="shared" si="18"/>
        <v>1</v>
      </c>
      <c r="L51" s="995"/>
      <c r="M51" s="197">
        <f t="shared" si="19"/>
        <v>1</v>
      </c>
      <c r="N51" s="995"/>
      <c r="O51" s="197">
        <f t="shared" si="20"/>
        <v>1</v>
      </c>
      <c r="P51" s="995"/>
      <c r="Q51" s="197">
        <f t="shared" si="21"/>
        <v>1</v>
      </c>
      <c r="R51" s="991">
        <f t="shared" ca="1" si="26"/>
        <v>17070</v>
      </c>
      <c r="S51" s="552">
        <f t="shared" ca="1" si="27"/>
        <v>1880261</v>
      </c>
      <c r="T51" s="2010">
        <f t="shared" ca="1" si="28"/>
        <v>188</v>
      </c>
      <c r="U51" s="2305">
        <f t="shared" si="22"/>
        <v>0</v>
      </c>
      <c r="V51" s="2305">
        <f t="shared" si="23"/>
        <v>0</v>
      </c>
      <c r="W51" s="2300"/>
      <c r="X51" s="2305">
        <f t="shared" si="24"/>
        <v>0</v>
      </c>
      <c r="Y51" s="2305">
        <f t="shared" si="25"/>
        <v>0</v>
      </c>
      <c r="Z51" s="2300"/>
    </row>
    <row r="52" spans="1:26">
      <c r="A52" s="292" t="str">
        <f>'7.15'!B30</f>
        <v>6幢1单元901室</v>
      </c>
      <c r="B52" s="207">
        <f>'7.17'!G30</f>
        <v>110.15</v>
      </c>
      <c r="C52" s="197">
        <f t="shared" si="14"/>
        <v>1.01</v>
      </c>
      <c r="D52" s="3204" t="s">
        <v>7609</v>
      </c>
      <c r="E52" s="197">
        <f t="shared" si="15"/>
        <v>1.04</v>
      </c>
      <c r="F52" s="995" t="str">
        <f>'7.15'!D30</f>
        <v>平层</v>
      </c>
      <c r="G52" s="197">
        <f t="shared" si="16"/>
        <v>1</v>
      </c>
      <c r="H52" s="995" t="str">
        <f>'7.15'!E30</f>
        <v>南北东</v>
      </c>
      <c r="I52" s="197">
        <f t="shared" si="17"/>
        <v>1.02</v>
      </c>
      <c r="J52" s="995"/>
      <c r="K52" s="197">
        <f t="shared" si="18"/>
        <v>1</v>
      </c>
      <c r="L52" s="995"/>
      <c r="M52" s="197">
        <f t="shared" si="19"/>
        <v>1</v>
      </c>
      <c r="N52" s="995"/>
      <c r="O52" s="197">
        <f t="shared" si="20"/>
        <v>1</v>
      </c>
      <c r="P52" s="995"/>
      <c r="Q52" s="197">
        <f t="shared" si="21"/>
        <v>1</v>
      </c>
      <c r="R52" s="991">
        <f t="shared" ca="1" si="26"/>
        <v>17070</v>
      </c>
      <c r="S52" s="552">
        <f t="shared" ca="1" si="27"/>
        <v>1880261</v>
      </c>
      <c r="T52" s="2010">
        <f t="shared" ca="1" si="28"/>
        <v>188</v>
      </c>
      <c r="U52" s="2305">
        <f t="shared" si="22"/>
        <v>0</v>
      </c>
      <c r="V52" s="2305">
        <f t="shared" si="23"/>
        <v>0</v>
      </c>
      <c r="W52" s="2300"/>
      <c r="X52" s="2305">
        <f t="shared" si="24"/>
        <v>0</v>
      </c>
      <c r="Y52" s="2305">
        <f t="shared" si="25"/>
        <v>0</v>
      </c>
      <c r="Z52" s="2300"/>
    </row>
    <row r="53" spans="1:26">
      <c r="A53" s="292" t="str">
        <f>'7.15'!B31</f>
        <v>6幢1单元1001室</v>
      </c>
      <c r="B53" s="207">
        <f>'7.17'!G31</f>
        <v>110.15</v>
      </c>
      <c r="C53" s="197">
        <f t="shared" si="14"/>
        <v>1.01</v>
      </c>
      <c r="D53" s="3204" t="s">
        <v>7609</v>
      </c>
      <c r="E53" s="197">
        <f t="shared" si="15"/>
        <v>1.04</v>
      </c>
      <c r="F53" s="995" t="str">
        <f>'7.15'!D31</f>
        <v>平层</v>
      </c>
      <c r="G53" s="197">
        <f t="shared" si="16"/>
        <v>1</v>
      </c>
      <c r="H53" s="995" t="str">
        <f>'7.15'!E31</f>
        <v>南北东</v>
      </c>
      <c r="I53" s="197">
        <f t="shared" si="17"/>
        <v>1.02</v>
      </c>
      <c r="J53" s="995"/>
      <c r="K53" s="197">
        <f t="shared" si="18"/>
        <v>1</v>
      </c>
      <c r="L53" s="995"/>
      <c r="M53" s="197">
        <f t="shared" si="19"/>
        <v>1</v>
      </c>
      <c r="N53" s="995"/>
      <c r="O53" s="197">
        <f t="shared" si="20"/>
        <v>1</v>
      </c>
      <c r="P53" s="995"/>
      <c r="Q53" s="197">
        <f t="shared" si="21"/>
        <v>1</v>
      </c>
      <c r="R53" s="991">
        <f t="shared" ca="1" si="26"/>
        <v>17070</v>
      </c>
      <c r="S53" s="552">
        <f t="shared" ca="1" si="27"/>
        <v>1880261</v>
      </c>
      <c r="T53" s="2010">
        <f t="shared" ca="1" si="28"/>
        <v>188</v>
      </c>
      <c r="U53" s="2305">
        <f t="shared" si="22"/>
        <v>0</v>
      </c>
      <c r="V53" s="2305">
        <f t="shared" si="23"/>
        <v>0</v>
      </c>
      <c r="W53" s="2300"/>
      <c r="X53" s="2305">
        <f t="shared" si="24"/>
        <v>0</v>
      </c>
      <c r="Y53" s="2305">
        <f t="shared" si="25"/>
        <v>0</v>
      </c>
      <c r="Z53" s="2300"/>
    </row>
    <row r="54" spans="1:26">
      <c r="A54" s="292" t="str">
        <f>'7.15'!B32</f>
        <v>6幢1单元1101室</v>
      </c>
      <c r="B54" s="207">
        <f>'7.17'!G32</f>
        <v>110.15</v>
      </c>
      <c r="C54" s="197">
        <f t="shared" si="14"/>
        <v>1.01</v>
      </c>
      <c r="D54" s="3204" t="s">
        <v>7609</v>
      </c>
      <c r="E54" s="197">
        <f t="shared" si="15"/>
        <v>1.04</v>
      </c>
      <c r="F54" s="995" t="str">
        <f>'7.15'!D32</f>
        <v>平层</v>
      </c>
      <c r="G54" s="197">
        <f t="shared" si="16"/>
        <v>1</v>
      </c>
      <c r="H54" s="995" t="str">
        <f>'7.15'!E32</f>
        <v>南北东</v>
      </c>
      <c r="I54" s="197">
        <f t="shared" si="17"/>
        <v>1.02</v>
      </c>
      <c r="J54" s="995"/>
      <c r="K54" s="197">
        <f t="shared" si="18"/>
        <v>1</v>
      </c>
      <c r="L54" s="995"/>
      <c r="M54" s="197">
        <f t="shared" si="19"/>
        <v>1</v>
      </c>
      <c r="N54" s="995"/>
      <c r="O54" s="197">
        <f t="shared" si="20"/>
        <v>1</v>
      </c>
      <c r="P54" s="995"/>
      <c r="Q54" s="197">
        <f t="shared" si="21"/>
        <v>1</v>
      </c>
      <c r="R54" s="991">
        <f t="shared" ca="1" si="26"/>
        <v>17070</v>
      </c>
      <c r="S54" s="552">
        <f t="shared" ca="1" si="27"/>
        <v>1880261</v>
      </c>
      <c r="T54" s="2010">
        <f t="shared" ca="1" si="28"/>
        <v>188</v>
      </c>
      <c r="U54" s="2305">
        <f t="shared" si="22"/>
        <v>0</v>
      </c>
      <c r="V54" s="2305">
        <f t="shared" si="23"/>
        <v>0</v>
      </c>
      <c r="W54" s="2300"/>
      <c r="X54" s="2305">
        <f t="shared" si="24"/>
        <v>0</v>
      </c>
      <c r="Y54" s="2305">
        <f t="shared" si="25"/>
        <v>0</v>
      </c>
      <c r="Z54" s="2300"/>
    </row>
    <row r="55" spans="1:26">
      <c r="A55" s="292" t="str">
        <f>'7.15'!B33</f>
        <v>6幢1单元1201室</v>
      </c>
      <c r="B55" s="207">
        <f>'7.17'!G33</f>
        <v>110.15</v>
      </c>
      <c r="C55" s="197">
        <f t="shared" si="14"/>
        <v>1.01</v>
      </c>
      <c r="D55" s="3204" t="s">
        <v>7609</v>
      </c>
      <c r="E55" s="197">
        <f t="shared" si="15"/>
        <v>1.04</v>
      </c>
      <c r="F55" s="995" t="str">
        <f>'7.15'!D33</f>
        <v>平层</v>
      </c>
      <c r="G55" s="197">
        <f t="shared" si="16"/>
        <v>1</v>
      </c>
      <c r="H55" s="995" t="str">
        <f>'7.15'!E33</f>
        <v>南北东</v>
      </c>
      <c r="I55" s="197">
        <f t="shared" si="17"/>
        <v>1.02</v>
      </c>
      <c r="J55" s="995"/>
      <c r="K55" s="197">
        <f t="shared" si="18"/>
        <v>1</v>
      </c>
      <c r="L55" s="995"/>
      <c r="M55" s="197">
        <f t="shared" si="19"/>
        <v>1</v>
      </c>
      <c r="N55" s="995"/>
      <c r="O55" s="197">
        <f t="shared" si="20"/>
        <v>1</v>
      </c>
      <c r="P55" s="995"/>
      <c r="Q55" s="197">
        <f t="shared" si="21"/>
        <v>1</v>
      </c>
      <c r="R55" s="991">
        <f t="shared" ca="1" si="26"/>
        <v>17070</v>
      </c>
      <c r="S55" s="552">
        <f t="shared" ca="1" si="27"/>
        <v>1880261</v>
      </c>
      <c r="T55" s="2010">
        <f t="shared" ca="1" si="28"/>
        <v>188</v>
      </c>
      <c r="U55" s="2305">
        <f t="shared" si="22"/>
        <v>0</v>
      </c>
      <c r="V55" s="2305">
        <f t="shared" si="23"/>
        <v>0</v>
      </c>
      <c r="W55" s="2300"/>
      <c r="X55" s="2305">
        <f t="shared" si="24"/>
        <v>0</v>
      </c>
      <c r="Y55" s="2305">
        <f t="shared" si="25"/>
        <v>0</v>
      </c>
      <c r="Z55" s="2300"/>
    </row>
    <row r="56" spans="1:26">
      <c r="A56" s="292" t="str">
        <f>'7.15'!B34</f>
        <v>6幢1单元1301室</v>
      </c>
      <c r="B56" s="207">
        <f>'7.17'!G34</f>
        <v>110.15</v>
      </c>
      <c r="C56" s="197">
        <f t="shared" si="14"/>
        <v>1.01</v>
      </c>
      <c r="D56" s="3204" t="s">
        <v>7608</v>
      </c>
      <c r="E56" s="197">
        <f t="shared" si="15"/>
        <v>1.02</v>
      </c>
      <c r="F56" s="995" t="str">
        <f>'7.15'!D34</f>
        <v>平层</v>
      </c>
      <c r="G56" s="197">
        <f t="shared" si="16"/>
        <v>1</v>
      </c>
      <c r="H56" s="995" t="str">
        <f>'7.15'!E34</f>
        <v>南北东</v>
      </c>
      <c r="I56" s="197">
        <f t="shared" si="17"/>
        <v>1.02</v>
      </c>
      <c r="J56" s="995"/>
      <c r="K56" s="197">
        <f t="shared" si="18"/>
        <v>1</v>
      </c>
      <c r="L56" s="995"/>
      <c r="M56" s="197">
        <f t="shared" si="19"/>
        <v>1</v>
      </c>
      <c r="N56" s="995"/>
      <c r="O56" s="197">
        <f t="shared" si="20"/>
        <v>1</v>
      </c>
      <c r="P56" s="995"/>
      <c r="Q56" s="197">
        <f t="shared" si="21"/>
        <v>1</v>
      </c>
      <c r="R56" s="991">
        <f t="shared" ca="1" si="26"/>
        <v>16741</v>
      </c>
      <c r="S56" s="552">
        <f t="shared" ca="1" si="27"/>
        <v>1844021</v>
      </c>
      <c r="T56" s="2010">
        <f t="shared" ca="1" si="28"/>
        <v>184</v>
      </c>
      <c r="U56" s="2305">
        <f t="shared" si="22"/>
        <v>0</v>
      </c>
      <c r="V56" s="2305">
        <f t="shared" si="23"/>
        <v>0</v>
      </c>
      <c r="W56" s="2300"/>
      <c r="X56" s="2305">
        <f t="shared" si="24"/>
        <v>0</v>
      </c>
      <c r="Y56" s="2305">
        <f t="shared" si="25"/>
        <v>0</v>
      </c>
      <c r="Z56" s="2300"/>
    </row>
    <row r="57" spans="1:26">
      <c r="A57" s="292" t="str">
        <f>'7.15'!B35</f>
        <v>6幢1单元1401室</v>
      </c>
      <c r="B57" s="207">
        <f>'7.17'!G35</f>
        <v>110.15</v>
      </c>
      <c r="C57" s="197">
        <f t="shared" si="14"/>
        <v>1.01</v>
      </c>
      <c r="D57" s="3204" t="s">
        <v>7608</v>
      </c>
      <c r="E57" s="197">
        <f t="shared" si="15"/>
        <v>1.02</v>
      </c>
      <c r="F57" s="995" t="str">
        <f>'7.15'!D35</f>
        <v>平层</v>
      </c>
      <c r="G57" s="197">
        <f t="shared" si="16"/>
        <v>1</v>
      </c>
      <c r="H57" s="995" t="str">
        <f>'7.15'!E35</f>
        <v>南北东</v>
      </c>
      <c r="I57" s="197">
        <f t="shared" si="17"/>
        <v>1.02</v>
      </c>
      <c r="J57" s="995"/>
      <c r="K57" s="197">
        <f t="shared" si="18"/>
        <v>1</v>
      </c>
      <c r="L57" s="995"/>
      <c r="M57" s="197">
        <f t="shared" si="19"/>
        <v>1</v>
      </c>
      <c r="N57" s="995"/>
      <c r="O57" s="197">
        <f t="shared" si="20"/>
        <v>1</v>
      </c>
      <c r="P57" s="995"/>
      <c r="Q57" s="197">
        <f t="shared" si="21"/>
        <v>1</v>
      </c>
      <c r="R57" s="991">
        <f t="shared" ca="1" si="26"/>
        <v>16741</v>
      </c>
      <c r="S57" s="552">
        <f t="shared" ca="1" si="27"/>
        <v>1844021</v>
      </c>
      <c r="T57" s="2010">
        <f t="shared" ca="1" si="28"/>
        <v>184</v>
      </c>
      <c r="U57" s="2305">
        <f t="shared" si="22"/>
        <v>0</v>
      </c>
      <c r="V57" s="2305">
        <f t="shared" si="23"/>
        <v>0</v>
      </c>
      <c r="W57" s="2300"/>
      <c r="X57" s="2305">
        <f t="shared" si="24"/>
        <v>0</v>
      </c>
      <c r="Y57" s="2305">
        <f t="shared" si="25"/>
        <v>0</v>
      </c>
      <c r="Z57" s="2300"/>
    </row>
    <row r="58" spans="1:26">
      <c r="A58" s="292" t="str">
        <f>'7.15'!B36</f>
        <v>6幢1单元1501室</v>
      </c>
      <c r="B58" s="207">
        <f>'7.17'!G36</f>
        <v>110.15</v>
      </c>
      <c r="C58" s="197">
        <f t="shared" si="14"/>
        <v>1.01</v>
      </c>
      <c r="D58" s="3204" t="s">
        <v>7608</v>
      </c>
      <c r="E58" s="197">
        <f t="shared" si="15"/>
        <v>1.02</v>
      </c>
      <c r="F58" s="995" t="str">
        <f>'7.15'!D36</f>
        <v>平层</v>
      </c>
      <c r="G58" s="197">
        <f t="shared" si="16"/>
        <v>1</v>
      </c>
      <c r="H58" s="995" t="str">
        <f>'7.15'!E36</f>
        <v>南北东</v>
      </c>
      <c r="I58" s="197">
        <f t="shared" si="17"/>
        <v>1.02</v>
      </c>
      <c r="J58" s="995"/>
      <c r="K58" s="197">
        <f t="shared" si="18"/>
        <v>1</v>
      </c>
      <c r="L58" s="995"/>
      <c r="M58" s="197">
        <f t="shared" si="19"/>
        <v>1</v>
      </c>
      <c r="N58" s="995"/>
      <c r="O58" s="197">
        <f t="shared" si="20"/>
        <v>1</v>
      </c>
      <c r="P58" s="995"/>
      <c r="Q58" s="197">
        <f t="shared" si="21"/>
        <v>1</v>
      </c>
      <c r="R58" s="991">
        <f t="shared" ca="1" si="26"/>
        <v>16741</v>
      </c>
      <c r="S58" s="552">
        <f t="shared" ca="1" si="27"/>
        <v>1844021</v>
      </c>
      <c r="T58" s="2010">
        <f t="shared" ca="1" si="28"/>
        <v>184</v>
      </c>
      <c r="U58" s="2305">
        <f t="shared" si="22"/>
        <v>0</v>
      </c>
      <c r="V58" s="2305">
        <f t="shared" si="23"/>
        <v>0</v>
      </c>
      <c r="W58" s="2300"/>
      <c r="X58" s="2305">
        <f t="shared" si="24"/>
        <v>0</v>
      </c>
      <c r="Y58" s="2305">
        <f t="shared" si="25"/>
        <v>0</v>
      </c>
      <c r="Z58" s="2300"/>
    </row>
    <row r="59" spans="1:26">
      <c r="A59" s="292" t="str">
        <f>'7.15'!B37</f>
        <v>6幢1单元1601室</v>
      </c>
      <c r="B59" s="207">
        <f>'7.17'!G37</f>
        <v>110.15</v>
      </c>
      <c r="C59" s="197">
        <f t="shared" si="14"/>
        <v>1.01</v>
      </c>
      <c r="D59" s="3204" t="s">
        <v>7608</v>
      </c>
      <c r="E59" s="197">
        <f t="shared" si="15"/>
        <v>1.02</v>
      </c>
      <c r="F59" s="995" t="str">
        <f>'7.15'!D37</f>
        <v>平层</v>
      </c>
      <c r="G59" s="197">
        <f t="shared" si="16"/>
        <v>1</v>
      </c>
      <c r="H59" s="995" t="str">
        <f>'7.15'!E37</f>
        <v>南北东</v>
      </c>
      <c r="I59" s="197">
        <f t="shared" si="17"/>
        <v>1.02</v>
      </c>
      <c r="J59" s="995"/>
      <c r="K59" s="197">
        <f t="shared" si="18"/>
        <v>1</v>
      </c>
      <c r="L59" s="995"/>
      <c r="M59" s="197">
        <f t="shared" si="19"/>
        <v>1</v>
      </c>
      <c r="N59" s="995"/>
      <c r="O59" s="197">
        <f t="shared" si="20"/>
        <v>1</v>
      </c>
      <c r="P59" s="995"/>
      <c r="Q59" s="197">
        <f t="shared" si="21"/>
        <v>1</v>
      </c>
      <c r="R59" s="991">
        <f t="shared" ca="1" si="26"/>
        <v>16741</v>
      </c>
      <c r="S59" s="552">
        <f t="shared" ca="1" si="27"/>
        <v>1844021</v>
      </c>
      <c r="T59" s="2010">
        <f t="shared" ca="1" si="28"/>
        <v>184</v>
      </c>
      <c r="U59" s="2305">
        <f t="shared" si="22"/>
        <v>0</v>
      </c>
      <c r="V59" s="2305">
        <f t="shared" si="23"/>
        <v>0</v>
      </c>
      <c r="W59" s="2300"/>
      <c r="X59" s="2305">
        <f t="shared" si="24"/>
        <v>0</v>
      </c>
      <c r="Y59" s="2305">
        <f t="shared" si="25"/>
        <v>0</v>
      </c>
      <c r="Z59" s="2300"/>
    </row>
    <row r="60" spans="1:26">
      <c r="A60" s="292" t="str">
        <f>'7.15'!B38</f>
        <v>6幢1单元1701室</v>
      </c>
      <c r="B60" s="207">
        <f>'7.17'!G38</f>
        <v>96.21</v>
      </c>
      <c r="C60" s="197">
        <f t="shared" si="14"/>
        <v>1</v>
      </c>
      <c r="D60" s="3204" t="s">
        <v>7608</v>
      </c>
      <c r="E60" s="197">
        <f t="shared" si="15"/>
        <v>1.02</v>
      </c>
      <c r="F60" s="995" t="str">
        <f>'7.15'!D38</f>
        <v>平层</v>
      </c>
      <c r="G60" s="197">
        <f t="shared" si="16"/>
        <v>1</v>
      </c>
      <c r="H60" s="995" t="str">
        <f>'7.15'!E38</f>
        <v>南北东</v>
      </c>
      <c r="I60" s="197">
        <f t="shared" si="17"/>
        <v>1.02</v>
      </c>
      <c r="J60" s="995"/>
      <c r="K60" s="197">
        <f t="shared" si="18"/>
        <v>1</v>
      </c>
      <c r="L60" s="995"/>
      <c r="M60" s="197">
        <f t="shared" si="19"/>
        <v>1</v>
      </c>
      <c r="N60" s="995"/>
      <c r="O60" s="197">
        <f t="shared" si="20"/>
        <v>1</v>
      </c>
      <c r="P60" s="995"/>
      <c r="Q60" s="197">
        <f t="shared" si="21"/>
        <v>1</v>
      </c>
      <c r="R60" s="991">
        <f t="shared" ca="1" si="26"/>
        <v>16576</v>
      </c>
      <c r="S60" s="552">
        <f t="shared" ca="1" si="27"/>
        <v>1594777</v>
      </c>
      <c r="T60" s="2010">
        <f t="shared" ca="1" si="28"/>
        <v>159</v>
      </c>
      <c r="U60" s="2305">
        <f t="shared" si="22"/>
        <v>0</v>
      </c>
      <c r="V60" s="2305">
        <f t="shared" si="23"/>
        <v>0</v>
      </c>
      <c r="W60" s="2300"/>
      <c r="X60" s="2305">
        <f t="shared" si="24"/>
        <v>0</v>
      </c>
      <c r="Y60" s="2305">
        <f t="shared" si="25"/>
        <v>0</v>
      </c>
      <c r="Z60" s="2300"/>
    </row>
    <row r="61" spans="1:26">
      <c r="A61" s="292" t="str">
        <f>'7.15'!B39</f>
        <v>6幢1单元202室</v>
      </c>
      <c r="B61" s="207">
        <f>'7.17'!G39</f>
        <v>87.85</v>
      </c>
      <c r="C61" s="197">
        <f t="shared" si="14"/>
        <v>1</v>
      </c>
      <c r="D61" s="995" t="s">
        <v>7606</v>
      </c>
      <c r="E61" s="197">
        <f t="shared" si="15"/>
        <v>1</v>
      </c>
      <c r="F61" s="995" t="str">
        <f>'7.15'!D39</f>
        <v>平层</v>
      </c>
      <c r="G61" s="197">
        <f t="shared" si="16"/>
        <v>1</v>
      </c>
      <c r="H61" s="995" t="str">
        <f>'7.15'!E39</f>
        <v>南北</v>
      </c>
      <c r="I61" s="197">
        <f t="shared" si="17"/>
        <v>1</v>
      </c>
      <c r="J61" s="995"/>
      <c r="K61" s="197">
        <f t="shared" si="18"/>
        <v>1</v>
      </c>
      <c r="L61" s="995"/>
      <c r="M61" s="197">
        <f t="shared" si="19"/>
        <v>1</v>
      </c>
      <c r="N61" s="995"/>
      <c r="O61" s="197">
        <f t="shared" si="20"/>
        <v>1</v>
      </c>
      <c r="P61" s="995"/>
      <c r="Q61" s="197">
        <f t="shared" si="21"/>
        <v>1</v>
      </c>
      <c r="R61" s="991">
        <f t="shared" ca="1" si="26"/>
        <v>15932</v>
      </c>
      <c r="S61" s="552">
        <f t="shared" ca="1" si="27"/>
        <v>1399626</v>
      </c>
      <c r="T61" s="2010">
        <f t="shared" ca="1" si="28"/>
        <v>140</v>
      </c>
      <c r="U61" s="2305">
        <f t="shared" si="22"/>
        <v>0</v>
      </c>
      <c r="V61" s="2305">
        <f t="shared" si="23"/>
        <v>0</v>
      </c>
      <c r="W61" s="2300"/>
      <c r="X61" s="2305">
        <f t="shared" si="24"/>
        <v>0</v>
      </c>
      <c r="Y61" s="2305">
        <f t="shared" si="25"/>
        <v>0</v>
      </c>
      <c r="Z61" s="2300"/>
    </row>
    <row r="62" spans="1:26">
      <c r="A62" s="292" t="str">
        <f>'7.15'!B40</f>
        <v>6幢1单元302室</v>
      </c>
      <c r="B62" s="207">
        <f>'7.17'!G40</f>
        <v>87.85</v>
      </c>
      <c r="C62" s="197">
        <f t="shared" si="14"/>
        <v>1</v>
      </c>
      <c r="D62" s="995" t="s">
        <v>7606</v>
      </c>
      <c r="E62" s="197">
        <f t="shared" si="15"/>
        <v>1</v>
      </c>
      <c r="F62" s="995" t="str">
        <f>'7.15'!D40</f>
        <v>平层</v>
      </c>
      <c r="G62" s="197">
        <f t="shared" si="16"/>
        <v>1</v>
      </c>
      <c r="H62" s="995" t="str">
        <f>'7.15'!E40</f>
        <v>南北</v>
      </c>
      <c r="I62" s="197">
        <f t="shared" si="17"/>
        <v>1</v>
      </c>
      <c r="J62" s="995"/>
      <c r="K62" s="197">
        <f t="shared" si="18"/>
        <v>1</v>
      </c>
      <c r="L62" s="995"/>
      <c r="M62" s="197">
        <f t="shared" si="19"/>
        <v>1</v>
      </c>
      <c r="N62" s="995"/>
      <c r="O62" s="197">
        <f t="shared" si="20"/>
        <v>1</v>
      </c>
      <c r="P62" s="995"/>
      <c r="Q62" s="197">
        <f t="shared" si="21"/>
        <v>1</v>
      </c>
      <c r="R62" s="991">
        <f t="shared" ca="1" si="26"/>
        <v>15932</v>
      </c>
      <c r="S62" s="552">
        <f t="shared" ca="1" si="27"/>
        <v>1399626</v>
      </c>
      <c r="T62" s="2010">
        <f t="shared" ca="1" si="28"/>
        <v>140</v>
      </c>
      <c r="U62" s="2305">
        <f t="shared" si="22"/>
        <v>0</v>
      </c>
      <c r="V62" s="2305">
        <f t="shared" si="23"/>
        <v>0</v>
      </c>
      <c r="W62" s="2300"/>
      <c r="X62" s="2305">
        <f t="shared" si="24"/>
        <v>0</v>
      </c>
      <c r="Y62" s="2305">
        <f t="shared" si="25"/>
        <v>0</v>
      </c>
      <c r="Z62" s="2300"/>
    </row>
    <row r="63" spans="1:26">
      <c r="A63" s="292" t="str">
        <f>'7.15'!B41</f>
        <v>6幢1单元402室</v>
      </c>
      <c r="B63" s="207">
        <f>'7.17'!G41</f>
        <v>87.85</v>
      </c>
      <c r="C63" s="197">
        <f t="shared" si="14"/>
        <v>1</v>
      </c>
      <c r="D63" s="995" t="s">
        <v>7606</v>
      </c>
      <c r="E63" s="197">
        <f t="shared" si="15"/>
        <v>1</v>
      </c>
      <c r="F63" s="995" t="str">
        <f>'7.15'!D41</f>
        <v>平层</v>
      </c>
      <c r="G63" s="197">
        <f t="shared" si="16"/>
        <v>1</v>
      </c>
      <c r="H63" s="995" t="str">
        <f>'7.15'!E41</f>
        <v>南北</v>
      </c>
      <c r="I63" s="197">
        <f t="shared" si="17"/>
        <v>1</v>
      </c>
      <c r="J63" s="995"/>
      <c r="K63" s="197">
        <f t="shared" si="18"/>
        <v>1</v>
      </c>
      <c r="L63" s="995"/>
      <c r="M63" s="197">
        <f t="shared" si="19"/>
        <v>1</v>
      </c>
      <c r="N63" s="995"/>
      <c r="O63" s="197">
        <f t="shared" si="20"/>
        <v>1</v>
      </c>
      <c r="P63" s="995"/>
      <c r="Q63" s="197">
        <f t="shared" si="21"/>
        <v>1</v>
      </c>
      <c r="R63" s="991">
        <f t="shared" ca="1" si="26"/>
        <v>15932</v>
      </c>
      <c r="S63" s="552">
        <f t="shared" ca="1" si="27"/>
        <v>1399626</v>
      </c>
      <c r="T63" s="2010">
        <f t="shared" ca="1" si="28"/>
        <v>140</v>
      </c>
      <c r="U63" s="2305">
        <f t="shared" si="22"/>
        <v>0</v>
      </c>
      <c r="V63" s="2305">
        <f t="shared" si="23"/>
        <v>0</v>
      </c>
      <c r="W63" s="2300"/>
      <c r="X63" s="2305">
        <f t="shared" si="24"/>
        <v>0</v>
      </c>
      <c r="Y63" s="2305">
        <f t="shared" si="25"/>
        <v>0</v>
      </c>
      <c r="Z63" s="2300"/>
    </row>
    <row r="64" spans="1:26">
      <c r="A64" s="292" t="str">
        <f>'7.15'!B42</f>
        <v>6幢1单元502室</v>
      </c>
      <c r="B64" s="207">
        <f>'7.17'!G42</f>
        <v>87.85</v>
      </c>
      <c r="C64" s="197">
        <f t="shared" si="14"/>
        <v>1</v>
      </c>
      <c r="D64" s="995" t="s">
        <v>7606</v>
      </c>
      <c r="E64" s="197">
        <f t="shared" si="15"/>
        <v>1</v>
      </c>
      <c r="F64" s="995" t="str">
        <f>'7.15'!D42</f>
        <v>平层</v>
      </c>
      <c r="G64" s="197">
        <f t="shared" si="16"/>
        <v>1</v>
      </c>
      <c r="H64" s="995" t="str">
        <f>'7.15'!E42</f>
        <v>南北</v>
      </c>
      <c r="I64" s="197">
        <f t="shared" si="17"/>
        <v>1</v>
      </c>
      <c r="J64" s="995"/>
      <c r="K64" s="197">
        <f t="shared" si="18"/>
        <v>1</v>
      </c>
      <c r="L64" s="995"/>
      <c r="M64" s="197">
        <f t="shared" si="19"/>
        <v>1</v>
      </c>
      <c r="N64" s="995"/>
      <c r="O64" s="197">
        <f t="shared" si="20"/>
        <v>1</v>
      </c>
      <c r="P64" s="995"/>
      <c r="Q64" s="197">
        <f t="shared" si="21"/>
        <v>1</v>
      </c>
      <c r="R64" s="991">
        <f t="shared" ca="1" si="26"/>
        <v>15932</v>
      </c>
      <c r="S64" s="552">
        <f t="shared" ca="1" si="27"/>
        <v>1399626</v>
      </c>
      <c r="T64" s="2010">
        <f t="shared" ca="1" si="28"/>
        <v>140</v>
      </c>
      <c r="U64" s="2305">
        <f t="shared" si="22"/>
        <v>0</v>
      </c>
      <c r="V64" s="2305">
        <f t="shared" si="23"/>
        <v>0</v>
      </c>
      <c r="W64" s="2300"/>
      <c r="X64" s="2305">
        <f t="shared" si="24"/>
        <v>0</v>
      </c>
      <c r="Y64" s="2305">
        <f t="shared" si="25"/>
        <v>0</v>
      </c>
      <c r="Z64" s="2300"/>
    </row>
    <row r="65" spans="1:26">
      <c r="A65" s="292" t="str">
        <f>'7.15'!B43</f>
        <v>6幢1单元602室</v>
      </c>
      <c r="B65" s="207">
        <f>'7.17'!G43</f>
        <v>87.85</v>
      </c>
      <c r="C65" s="197">
        <f t="shared" si="14"/>
        <v>1</v>
      </c>
      <c r="D65" s="995" t="s">
        <v>7606</v>
      </c>
      <c r="E65" s="197">
        <f t="shared" si="15"/>
        <v>1</v>
      </c>
      <c r="F65" s="995" t="str">
        <f>'7.15'!D43</f>
        <v>平层</v>
      </c>
      <c r="G65" s="197">
        <f t="shared" si="16"/>
        <v>1</v>
      </c>
      <c r="H65" s="995" t="str">
        <f>'7.15'!E43</f>
        <v>南北</v>
      </c>
      <c r="I65" s="197">
        <f t="shared" si="17"/>
        <v>1</v>
      </c>
      <c r="J65" s="995"/>
      <c r="K65" s="197">
        <f t="shared" si="18"/>
        <v>1</v>
      </c>
      <c r="L65" s="995"/>
      <c r="M65" s="197">
        <f t="shared" si="19"/>
        <v>1</v>
      </c>
      <c r="N65" s="995"/>
      <c r="O65" s="197">
        <f t="shared" si="20"/>
        <v>1</v>
      </c>
      <c r="P65" s="995"/>
      <c r="Q65" s="197">
        <f t="shared" si="21"/>
        <v>1</v>
      </c>
      <c r="R65" s="991">
        <f t="shared" ca="1" si="26"/>
        <v>15932</v>
      </c>
      <c r="S65" s="552">
        <f t="shared" ca="1" si="27"/>
        <v>1399626</v>
      </c>
      <c r="T65" s="2010">
        <f t="shared" ca="1" si="28"/>
        <v>140</v>
      </c>
      <c r="U65" s="2305">
        <f t="shared" si="22"/>
        <v>0</v>
      </c>
      <c r="V65" s="2305">
        <f t="shared" si="23"/>
        <v>0</v>
      </c>
      <c r="W65" s="2300"/>
      <c r="X65" s="2305">
        <f t="shared" si="24"/>
        <v>0</v>
      </c>
      <c r="Y65" s="2305">
        <f t="shared" si="25"/>
        <v>0</v>
      </c>
      <c r="Z65" s="2300"/>
    </row>
    <row r="66" spans="1:26">
      <c r="A66" s="292" t="str">
        <f>'7.15'!B44</f>
        <v>6幢1单元702室</v>
      </c>
      <c r="B66" s="207">
        <f>'7.17'!G44</f>
        <v>87.85</v>
      </c>
      <c r="C66" s="197">
        <f t="shared" si="14"/>
        <v>1</v>
      </c>
      <c r="D66" s="3204" t="s">
        <v>7609</v>
      </c>
      <c r="E66" s="197">
        <f t="shared" si="15"/>
        <v>1.04</v>
      </c>
      <c r="F66" s="995" t="str">
        <f>'7.15'!D44</f>
        <v>平层</v>
      </c>
      <c r="G66" s="197">
        <f t="shared" si="16"/>
        <v>1</v>
      </c>
      <c r="H66" s="995" t="str">
        <f>'7.15'!E44</f>
        <v>南北</v>
      </c>
      <c r="I66" s="197">
        <f t="shared" si="17"/>
        <v>1</v>
      </c>
      <c r="J66" s="995"/>
      <c r="K66" s="197">
        <f t="shared" si="18"/>
        <v>1</v>
      </c>
      <c r="L66" s="995"/>
      <c r="M66" s="197">
        <f t="shared" si="19"/>
        <v>1</v>
      </c>
      <c r="N66" s="995"/>
      <c r="O66" s="197">
        <f t="shared" si="20"/>
        <v>1</v>
      </c>
      <c r="P66" s="995"/>
      <c r="Q66" s="197">
        <f t="shared" si="21"/>
        <v>1</v>
      </c>
      <c r="R66" s="991">
        <f t="shared" ca="1" si="26"/>
        <v>16569</v>
      </c>
      <c r="S66" s="552">
        <f t="shared" ca="1" si="27"/>
        <v>1455587</v>
      </c>
      <c r="T66" s="2010">
        <f t="shared" ca="1" si="28"/>
        <v>146</v>
      </c>
      <c r="U66" s="2305">
        <f t="shared" si="22"/>
        <v>0</v>
      </c>
      <c r="V66" s="2305">
        <f t="shared" si="23"/>
        <v>0</v>
      </c>
      <c r="W66" s="2300"/>
      <c r="X66" s="2305">
        <f t="shared" si="24"/>
        <v>0</v>
      </c>
      <c r="Y66" s="2305">
        <f t="shared" si="25"/>
        <v>0</v>
      </c>
      <c r="Z66" s="2300"/>
    </row>
    <row r="67" spans="1:26">
      <c r="A67" s="292" t="str">
        <f>'7.15'!B45</f>
        <v>6幢1单元802室</v>
      </c>
      <c r="B67" s="207">
        <f>'7.17'!G45</f>
        <v>87.85</v>
      </c>
      <c r="C67" s="197">
        <f t="shared" si="14"/>
        <v>1</v>
      </c>
      <c r="D67" s="3204" t="s">
        <v>7609</v>
      </c>
      <c r="E67" s="197">
        <f t="shared" si="15"/>
        <v>1.04</v>
      </c>
      <c r="F67" s="995" t="str">
        <f>'7.15'!D45</f>
        <v>平层</v>
      </c>
      <c r="G67" s="197">
        <f t="shared" si="16"/>
        <v>1</v>
      </c>
      <c r="H67" s="995" t="str">
        <f>'7.15'!E45</f>
        <v>南北</v>
      </c>
      <c r="I67" s="197">
        <f t="shared" si="17"/>
        <v>1</v>
      </c>
      <c r="J67" s="995"/>
      <c r="K67" s="197">
        <f t="shared" si="18"/>
        <v>1</v>
      </c>
      <c r="L67" s="995"/>
      <c r="M67" s="197">
        <f t="shared" si="19"/>
        <v>1</v>
      </c>
      <c r="N67" s="995"/>
      <c r="O67" s="197">
        <f t="shared" si="20"/>
        <v>1</v>
      </c>
      <c r="P67" s="995"/>
      <c r="Q67" s="197">
        <f t="shared" si="21"/>
        <v>1</v>
      </c>
      <c r="R67" s="991">
        <f t="shared" ca="1" si="26"/>
        <v>16569</v>
      </c>
      <c r="S67" s="552">
        <f t="shared" ca="1" si="27"/>
        <v>1455587</v>
      </c>
      <c r="T67" s="2010">
        <f t="shared" ca="1" si="28"/>
        <v>146</v>
      </c>
      <c r="U67" s="2305">
        <f t="shared" si="22"/>
        <v>0</v>
      </c>
      <c r="V67" s="2305">
        <f t="shared" si="23"/>
        <v>0</v>
      </c>
      <c r="W67" s="2300"/>
      <c r="X67" s="2305">
        <f t="shared" si="24"/>
        <v>0</v>
      </c>
      <c r="Y67" s="2305">
        <f t="shared" si="25"/>
        <v>0</v>
      </c>
      <c r="Z67" s="2300"/>
    </row>
    <row r="68" spans="1:26">
      <c r="A68" s="292" t="str">
        <f>'7.15'!B46</f>
        <v>6幢1单元902室</v>
      </c>
      <c r="B68" s="207">
        <f>'7.17'!G46</f>
        <v>87.85</v>
      </c>
      <c r="C68" s="197">
        <f t="shared" si="14"/>
        <v>1</v>
      </c>
      <c r="D68" s="3204" t="s">
        <v>7609</v>
      </c>
      <c r="E68" s="197">
        <f t="shared" si="15"/>
        <v>1.04</v>
      </c>
      <c r="F68" s="995" t="str">
        <f>'7.15'!D46</f>
        <v>平层</v>
      </c>
      <c r="G68" s="197">
        <f t="shared" si="16"/>
        <v>1</v>
      </c>
      <c r="H68" s="995" t="str">
        <f>'7.15'!E46</f>
        <v>南北</v>
      </c>
      <c r="I68" s="197">
        <f t="shared" si="17"/>
        <v>1</v>
      </c>
      <c r="J68" s="995"/>
      <c r="K68" s="197">
        <f t="shared" si="18"/>
        <v>1</v>
      </c>
      <c r="L68" s="995"/>
      <c r="M68" s="197">
        <f t="shared" si="19"/>
        <v>1</v>
      </c>
      <c r="N68" s="995"/>
      <c r="O68" s="197">
        <f t="shared" si="20"/>
        <v>1</v>
      </c>
      <c r="P68" s="995"/>
      <c r="Q68" s="197">
        <f t="shared" si="21"/>
        <v>1</v>
      </c>
      <c r="R68" s="991">
        <f t="shared" ca="1" si="26"/>
        <v>16569</v>
      </c>
      <c r="S68" s="552">
        <f t="shared" ca="1" si="27"/>
        <v>1455587</v>
      </c>
      <c r="T68" s="2010">
        <f t="shared" ca="1" si="28"/>
        <v>146</v>
      </c>
      <c r="U68" s="2305">
        <f t="shared" si="22"/>
        <v>0</v>
      </c>
      <c r="V68" s="2305">
        <f t="shared" si="23"/>
        <v>0</v>
      </c>
      <c r="W68" s="2300"/>
      <c r="X68" s="2305">
        <f t="shared" si="24"/>
        <v>0</v>
      </c>
      <c r="Y68" s="2305">
        <f t="shared" si="25"/>
        <v>0</v>
      </c>
      <c r="Z68" s="2300"/>
    </row>
    <row r="69" spans="1:26">
      <c r="A69" s="292" t="str">
        <f>'7.15'!B47</f>
        <v>6幢1单元1002室</v>
      </c>
      <c r="B69" s="207">
        <f>'7.17'!G47</f>
        <v>87.85</v>
      </c>
      <c r="C69" s="197">
        <f t="shared" si="14"/>
        <v>1</v>
      </c>
      <c r="D69" s="3204" t="s">
        <v>7609</v>
      </c>
      <c r="E69" s="197">
        <f t="shared" si="15"/>
        <v>1.04</v>
      </c>
      <c r="F69" s="995" t="str">
        <f>'7.15'!D47</f>
        <v>平层</v>
      </c>
      <c r="G69" s="197">
        <f t="shared" si="16"/>
        <v>1</v>
      </c>
      <c r="H69" s="995" t="str">
        <f>'7.15'!E47</f>
        <v>南北</v>
      </c>
      <c r="I69" s="197">
        <f t="shared" si="17"/>
        <v>1</v>
      </c>
      <c r="J69" s="995"/>
      <c r="K69" s="197">
        <f t="shared" si="18"/>
        <v>1</v>
      </c>
      <c r="L69" s="995"/>
      <c r="M69" s="197">
        <f t="shared" si="19"/>
        <v>1</v>
      </c>
      <c r="N69" s="995"/>
      <c r="O69" s="197">
        <f t="shared" si="20"/>
        <v>1</v>
      </c>
      <c r="P69" s="995"/>
      <c r="Q69" s="197">
        <f t="shared" si="21"/>
        <v>1</v>
      </c>
      <c r="R69" s="991">
        <f t="shared" ca="1" si="26"/>
        <v>16569</v>
      </c>
      <c r="S69" s="552">
        <f t="shared" ca="1" si="27"/>
        <v>1455587</v>
      </c>
      <c r="T69" s="2010">
        <f t="shared" ca="1" si="28"/>
        <v>146</v>
      </c>
      <c r="U69" s="2305">
        <f t="shared" si="22"/>
        <v>0</v>
      </c>
      <c r="V69" s="2305">
        <f t="shared" si="23"/>
        <v>0</v>
      </c>
      <c r="W69" s="2300"/>
      <c r="X69" s="2305">
        <f t="shared" si="24"/>
        <v>0</v>
      </c>
      <c r="Y69" s="2305">
        <f t="shared" si="25"/>
        <v>0</v>
      </c>
      <c r="Z69" s="2300"/>
    </row>
    <row r="70" spans="1:26">
      <c r="A70" s="292" t="str">
        <f>'7.15'!B48</f>
        <v>6幢1单元1102室</v>
      </c>
      <c r="B70" s="207">
        <f>'7.17'!G48</f>
        <v>87.85</v>
      </c>
      <c r="C70" s="197">
        <f t="shared" si="14"/>
        <v>1</v>
      </c>
      <c r="D70" s="3204" t="s">
        <v>7609</v>
      </c>
      <c r="E70" s="197">
        <f t="shared" si="15"/>
        <v>1.04</v>
      </c>
      <c r="F70" s="995" t="str">
        <f>'7.15'!D48</f>
        <v>平层</v>
      </c>
      <c r="G70" s="197">
        <f t="shared" si="16"/>
        <v>1</v>
      </c>
      <c r="H70" s="995" t="str">
        <f>'7.15'!E48</f>
        <v>南北</v>
      </c>
      <c r="I70" s="197">
        <f t="shared" si="17"/>
        <v>1</v>
      </c>
      <c r="J70" s="995"/>
      <c r="K70" s="197">
        <f t="shared" si="18"/>
        <v>1</v>
      </c>
      <c r="L70" s="995"/>
      <c r="M70" s="197">
        <f t="shared" si="19"/>
        <v>1</v>
      </c>
      <c r="N70" s="995"/>
      <c r="O70" s="197">
        <f t="shared" si="20"/>
        <v>1</v>
      </c>
      <c r="P70" s="995"/>
      <c r="Q70" s="197">
        <f t="shared" si="21"/>
        <v>1</v>
      </c>
      <c r="R70" s="991">
        <f t="shared" ca="1" si="26"/>
        <v>16569</v>
      </c>
      <c r="S70" s="552">
        <f t="shared" ca="1" si="27"/>
        <v>1455587</v>
      </c>
      <c r="T70" s="2010">
        <f t="shared" ca="1" si="28"/>
        <v>146</v>
      </c>
      <c r="U70" s="2305">
        <f t="shared" si="22"/>
        <v>0</v>
      </c>
      <c r="V70" s="2305">
        <f t="shared" si="23"/>
        <v>0</v>
      </c>
      <c r="W70" s="2300"/>
      <c r="X70" s="2305">
        <f t="shared" si="24"/>
        <v>0</v>
      </c>
      <c r="Y70" s="2305">
        <f t="shared" si="25"/>
        <v>0</v>
      </c>
      <c r="Z70" s="2300"/>
    </row>
    <row r="71" spans="1:26">
      <c r="A71" s="292" t="str">
        <f>'7.15'!B49</f>
        <v>6幢1单元1202室</v>
      </c>
      <c r="B71" s="207">
        <f>'7.17'!G49</f>
        <v>87.85</v>
      </c>
      <c r="C71" s="197">
        <f t="shared" si="14"/>
        <v>1</v>
      </c>
      <c r="D71" s="3204" t="s">
        <v>7609</v>
      </c>
      <c r="E71" s="197">
        <f t="shared" si="15"/>
        <v>1.04</v>
      </c>
      <c r="F71" s="995" t="str">
        <f>'7.15'!D49</f>
        <v>平层</v>
      </c>
      <c r="G71" s="197">
        <f t="shared" si="16"/>
        <v>1</v>
      </c>
      <c r="H71" s="995" t="str">
        <f>'7.15'!E49</f>
        <v>南北</v>
      </c>
      <c r="I71" s="197">
        <f t="shared" si="17"/>
        <v>1</v>
      </c>
      <c r="J71" s="995"/>
      <c r="K71" s="197">
        <f t="shared" si="18"/>
        <v>1</v>
      </c>
      <c r="L71" s="995"/>
      <c r="M71" s="197">
        <f t="shared" si="19"/>
        <v>1</v>
      </c>
      <c r="N71" s="995"/>
      <c r="O71" s="197">
        <f t="shared" si="20"/>
        <v>1</v>
      </c>
      <c r="P71" s="995"/>
      <c r="Q71" s="197">
        <f t="shared" si="21"/>
        <v>1</v>
      </c>
      <c r="R71" s="991">
        <f t="shared" ca="1" si="26"/>
        <v>16569</v>
      </c>
      <c r="S71" s="552">
        <f t="shared" ca="1" si="27"/>
        <v>1455587</v>
      </c>
      <c r="T71" s="2010">
        <f t="shared" ca="1" si="28"/>
        <v>146</v>
      </c>
      <c r="U71" s="2305">
        <f t="shared" si="22"/>
        <v>0</v>
      </c>
      <c r="V71" s="2305">
        <f t="shared" si="23"/>
        <v>0</v>
      </c>
      <c r="W71" s="2300"/>
      <c r="X71" s="2305">
        <f t="shared" si="24"/>
        <v>0</v>
      </c>
      <c r="Y71" s="2305">
        <f t="shared" si="25"/>
        <v>0</v>
      </c>
      <c r="Z71" s="2300"/>
    </row>
    <row r="72" spans="1:26">
      <c r="A72" s="292" t="str">
        <f>'7.15'!B50</f>
        <v>6幢1单元1302室</v>
      </c>
      <c r="B72" s="207">
        <f>'7.17'!G50</f>
        <v>87.85</v>
      </c>
      <c r="C72" s="197">
        <f t="shared" si="14"/>
        <v>1</v>
      </c>
      <c r="D72" s="3204" t="s">
        <v>7608</v>
      </c>
      <c r="E72" s="197">
        <f t="shared" si="15"/>
        <v>1.02</v>
      </c>
      <c r="F72" s="995" t="str">
        <f>'7.15'!D50</f>
        <v>平层</v>
      </c>
      <c r="G72" s="197">
        <f t="shared" si="16"/>
        <v>1</v>
      </c>
      <c r="H72" s="995" t="str">
        <f>'7.15'!E50</f>
        <v>南北</v>
      </c>
      <c r="I72" s="197">
        <f t="shared" si="17"/>
        <v>1</v>
      </c>
      <c r="J72" s="995"/>
      <c r="K72" s="197">
        <f t="shared" si="18"/>
        <v>1</v>
      </c>
      <c r="L72" s="995"/>
      <c r="M72" s="197">
        <f t="shared" si="19"/>
        <v>1</v>
      </c>
      <c r="N72" s="995"/>
      <c r="O72" s="197">
        <f t="shared" si="20"/>
        <v>1</v>
      </c>
      <c r="P72" s="995"/>
      <c r="Q72" s="197">
        <f t="shared" si="21"/>
        <v>1</v>
      </c>
      <c r="R72" s="991">
        <f t="shared" ca="1" si="26"/>
        <v>16251</v>
      </c>
      <c r="S72" s="552">
        <f t="shared" ca="1" si="27"/>
        <v>1427650</v>
      </c>
      <c r="T72" s="2010">
        <f t="shared" ca="1" si="28"/>
        <v>143</v>
      </c>
      <c r="U72" s="2305">
        <f t="shared" si="22"/>
        <v>0</v>
      </c>
      <c r="V72" s="2305">
        <f t="shared" si="23"/>
        <v>0</v>
      </c>
      <c r="W72" s="2300"/>
      <c r="X72" s="2305">
        <f t="shared" si="24"/>
        <v>0</v>
      </c>
      <c r="Y72" s="2305">
        <f t="shared" si="25"/>
        <v>0</v>
      </c>
      <c r="Z72" s="2300"/>
    </row>
    <row r="73" spans="1:26">
      <c r="A73" s="292" t="str">
        <f>'7.15'!B51</f>
        <v>6幢1单元1402室</v>
      </c>
      <c r="B73" s="207">
        <f>'7.17'!G51</f>
        <v>87.85</v>
      </c>
      <c r="C73" s="197">
        <f t="shared" si="14"/>
        <v>1</v>
      </c>
      <c r="D73" s="3204" t="s">
        <v>7608</v>
      </c>
      <c r="E73" s="197">
        <f t="shared" si="15"/>
        <v>1.02</v>
      </c>
      <c r="F73" s="995" t="str">
        <f>'7.15'!D51</f>
        <v>平层</v>
      </c>
      <c r="G73" s="197">
        <f t="shared" si="16"/>
        <v>1</v>
      </c>
      <c r="H73" s="995" t="str">
        <f>'7.15'!E51</f>
        <v>南北</v>
      </c>
      <c r="I73" s="197">
        <f t="shared" si="17"/>
        <v>1</v>
      </c>
      <c r="J73" s="995"/>
      <c r="K73" s="197">
        <f t="shared" si="18"/>
        <v>1</v>
      </c>
      <c r="L73" s="995"/>
      <c r="M73" s="197">
        <f t="shared" si="19"/>
        <v>1</v>
      </c>
      <c r="N73" s="995"/>
      <c r="O73" s="197">
        <f t="shared" si="20"/>
        <v>1</v>
      </c>
      <c r="P73" s="995"/>
      <c r="Q73" s="197">
        <f t="shared" si="21"/>
        <v>1</v>
      </c>
      <c r="R73" s="991">
        <f t="shared" ca="1" si="26"/>
        <v>16251</v>
      </c>
      <c r="S73" s="552">
        <f t="shared" ca="1" si="27"/>
        <v>1427650</v>
      </c>
      <c r="T73" s="2010">
        <f t="shared" ca="1" si="28"/>
        <v>143</v>
      </c>
      <c r="U73" s="2305">
        <f t="shared" si="22"/>
        <v>0</v>
      </c>
      <c r="V73" s="2305">
        <f t="shared" si="23"/>
        <v>0</v>
      </c>
      <c r="W73" s="2300"/>
      <c r="X73" s="2305">
        <f t="shared" si="24"/>
        <v>0</v>
      </c>
      <c r="Y73" s="2305">
        <f t="shared" si="25"/>
        <v>0</v>
      </c>
      <c r="Z73" s="2300"/>
    </row>
    <row r="74" spans="1:26">
      <c r="A74" s="292" t="str">
        <f>'7.15'!B52</f>
        <v>6幢1单元1502室</v>
      </c>
      <c r="B74" s="207">
        <f>'7.17'!G52</f>
        <v>87.85</v>
      </c>
      <c r="C74" s="197">
        <f t="shared" si="14"/>
        <v>1</v>
      </c>
      <c r="D74" s="3204" t="s">
        <v>7608</v>
      </c>
      <c r="E74" s="197">
        <f t="shared" si="15"/>
        <v>1.02</v>
      </c>
      <c r="F74" s="995" t="str">
        <f>'7.15'!D52</f>
        <v>平层</v>
      </c>
      <c r="G74" s="197">
        <f t="shared" si="16"/>
        <v>1</v>
      </c>
      <c r="H74" s="995" t="str">
        <f>'7.15'!E52</f>
        <v>南北</v>
      </c>
      <c r="I74" s="197">
        <f t="shared" si="17"/>
        <v>1</v>
      </c>
      <c r="J74" s="995"/>
      <c r="K74" s="197">
        <f t="shared" si="18"/>
        <v>1</v>
      </c>
      <c r="L74" s="995"/>
      <c r="M74" s="197">
        <f t="shared" si="19"/>
        <v>1</v>
      </c>
      <c r="N74" s="995"/>
      <c r="O74" s="197">
        <f t="shared" si="20"/>
        <v>1</v>
      </c>
      <c r="P74" s="995"/>
      <c r="Q74" s="197">
        <f t="shared" si="21"/>
        <v>1</v>
      </c>
      <c r="R74" s="991">
        <f t="shared" ca="1" si="26"/>
        <v>16251</v>
      </c>
      <c r="S74" s="552">
        <f t="shared" ca="1" si="27"/>
        <v>1427650</v>
      </c>
      <c r="T74" s="2010">
        <f t="shared" ca="1" si="28"/>
        <v>143</v>
      </c>
      <c r="U74" s="2305">
        <f t="shared" si="22"/>
        <v>0</v>
      </c>
      <c r="V74" s="2305">
        <f t="shared" si="23"/>
        <v>0</v>
      </c>
      <c r="W74" s="2300"/>
      <c r="X74" s="2305">
        <f t="shared" si="24"/>
        <v>0</v>
      </c>
      <c r="Y74" s="2305">
        <f t="shared" si="25"/>
        <v>0</v>
      </c>
      <c r="Z74" s="2300"/>
    </row>
    <row r="75" spans="1:26">
      <c r="A75" s="292" t="str">
        <f>'7.15'!B53</f>
        <v>6幢1单元1602室</v>
      </c>
      <c r="B75" s="207">
        <f>'7.17'!G53</f>
        <v>87.85</v>
      </c>
      <c r="C75" s="197">
        <f t="shared" si="14"/>
        <v>1</v>
      </c>
      <c r="D75" s="3204" t="s">
        <v>7608</v>
      </c>
      <c r="E75" s="197">
        <f t="shared" si="15"/>
        <v>1.02</v>
      </c>
      <c r="F75" s="995" t="str">
        <f>'7.15'!D53</f>
        <v>平层</v>
      </c>
      <c r="G75" s="197">
        <f t="shared" si="16"/>
        <v>1</v>
      </c>
      <c r="H75" s="995" t="str">
        <f>'7.15'!E53</f>
        <v>南北</v>
      </c>
      <c r="I75" s="197">
        <f t="shared" si="17"/>
        <v>1</v>
      </c>
      <c r="J75" s="995"/>
      <c r="K75" s="197">
        <f t="shared" si="18"/>
        <v>1</v>
      </c>
      <c r="L75" s="995"/>
      <c r="M75" s="197">
        <f t="shared" si="19"/>
        <v>1</v>
      </c>
      <c r="N75" s="995"/>
      <c r="O75" s="197">
        <f t="shared" si="20"/>
        <v>1</v>
      </c>
      <c r="P75" s="995"/>
      <c r="Q75" s="197">
        <f t="shared" si="21"/>
        <v>1</v>
      </c>
      <c r="R75" s="991">
        <f t="shared" ca="1" si="26"/>
        <v>16251</v>
      </c>
      <c r="S75" s="552">
        <f t="shared" ca="1" si="27"/>
        <v>1427650</v>
      </c>
      <c r="T75" s="2010">
        <f t="shared" ca="1" si="28"/>
        <v>143</v>
      </c>
      <c r="U75" s="2305">
        <f t="shared" si="22"/>
        <v>0</v>
      </c>
      <c r="V75" s="2305">
        <f t="shared" si="23"/>
        <v>0</v>
      </c>
      <c r="W75" s="2300"/>
      <c r="X75" s="2305">
        <f t="shared" si="24"/>
        <v>0</v>
      </c>
      <c r="Y75" s="2305">
        <f t="shared" si="25"/>
        <v>0</v>
      </c>
      <c r="Z75" s="2300"/>
    </row>
    <row r="76" spans="1:26">
      <c r="A76" s="292" t="str">
        <f>'7.15'!B54</f>
        <v>6幢1单元1702室</v>
      </c>
      <c r="B76" s="207">
        <f>'7.17'!G54</f>
        <v>88.05</v>
      </c>
      <c r="C76" s="197">
        <f t="shared" si="14"/>
        <v>1</v>
      </c>
      <c r="D76" s="3204" t="s">
        <v>7608</v>
      </c>
      <c r="E76" s="197">
        <f t="shared" si="15"/>
        <v>1.02</v>
      </c>
      <c r="F76" s="995" t="str">
        <f>'7.15'!D54</f>
        <v>平层</v>
      </c>
      <c r="G76" s="197">
        <f t="shared" si="16"/>
        <v>1</v>
      </c>
      <c r="H76" s="995" t="str">
        <f>'7.15'!E54</f>
        <v>南北</v>
      </c>
      <c r="I76" s="197">
        <f t="shared" si="17"/>
        <v>1</v>
      </c>
      <c r="J76" s="995"/>
      <c r="K76" s="197">
        <f t="shared" si="18"/>
        <v>1</v>
      </c>
      <c r="L76" s="995"/>
      <c r="M76" s="197">
        <f t="shared" si="19"/>
        <v>1</v>
      </c>
      <c r="N76" s="995"/>
      <c r="O76" s="197">
        <f t="shared" si="20"/>
        <v>1</v>
      </c>
      <c r="P76" s="995"/>
      <c r="Q76" s="197">
        <f t="shared" si="21"/>
        <v>1</v>
      </c>
      <c r="R76" s="991">
        <f t="shared" ca="1" si="26"/>
        <v>16251</v>
      </c>
      <c r="S76" s="552">
        <f t="shared" ca="1" si="27"/>
        <v>1430901</v>
      </c>
      <c r="T76" s="2010">
        <f t="shared" ca="1" si="28"/>
        <v>143</v>
      </c>
      <c r="U76" s="2305">
        <f t="shared" si="22"/>
        <v>0</v>
      </c>
      <c r="V76" s="2305">
        <f t="shared" si="23"/>
        <v>0</v>
      </c>
      <c r="W76" s="2300"/>
      <c r="X76" s="2305">
        <f t="shared" si="24"/>
        <v>0</v>
      </c>
      <c r="Y76" s="2305">
        <f t="shared" si="25"/>
        <v>0</v>
      </c>
      <c r="Z76" s="2300"/>
    </row>
    <row r="77" spans="1:26">
      <c r="A77" s="292" t="str">
        <f>'7.15'!B55</f>
        <v>6幢1单元203室</v>
      </c>
      <c r="B77" s="207">
        <f>'7.17'!G55</f>
        <v>108.29</v>
      </c>
      <c r="C77" s="197">
        <f t="shared" si="14"/>
        <v>1.01</v>
      </c>
      <c r="D77" s="995" t="s">
        <v>7606</v>
      </c>
      <c r="E77" s="197">
        <f t="shared" si="15"/>
        <v>1</v>
      </c>
      <c r="F77" s="995" t="str">
        <f>'7.15'!D55</f>
        <v>平层</v>
      </c>
      <c r="G77" s="197">
        <f t="shared" si="16"/>
        <v>1</v>
      </c>
      <c r="H77" s="995" t="str">
        <f>'7.15'!E55</f>
        <v>南北</v>
      </c>
      <c r="I77" s="197">
        <f t="shared" si="17"/>
        <v>1</v>
      </c>
      <c r="J77" s="995"/>
      <c r="K77" s="197">
        <f t="shared" si="18"/>
        <v>1</v>
      </c>
      <c r="L77" s="995"/>
      <c r="M77" s="197">
        <f t="shared" si="19"/>
        <v>1</v>
      </c>
      <c r="N77" s="995"/>
      <c r="O77" s="197">
        <f t="shared" si="20"/>
        <v>1</v>
      </c>
      <c r="P77" s="995"/>
      <c r="Q77" s="197">
        <f t="shared" si="21"/>
        <v>1</v>
      </c>
      <c r="R77" s="991">
        <f t="shared" ca="1" si="26"/>
        <v>16091</v>
      </c>
      <c r="S77" s="552">
        <f t="shared" ca="1" si="27"/>
        <v>1742494</v>
      </c>
      <c r="T77" s="2010">
        <f t="shared" ca="1" si="28"/>
        <v>174</v>
      </c>
      <c r="U77" s="2305">
        <f t="shared" si="22"/>
        <v>0</v>
      </c>
      <c r="V77" s="2305">
        <f t="shared" si="23"/>
        <v>0</v>
      </c>
      <c r="W77" s="2300"/>
      <c r="X77" s="2305">
        <f t="shared" si="24"/>
        <v>0</v>
      </c>
      <c r="Y77" s="2305">
        <f t="shared" si="25"/>
        <v>0</v>
      </c>
      <c r="Z77" s="2300"/>
    </row>
    <row r="78" spans="1:26">
      <c r="A78" s="292" t="str">
        <f>'7.15'!B56</f>
        <v>6幢1单元303室</v>
      </c>
      <c r="B78" s="207">
        <f>'7.17'!G56</f>
        <v>108.29</v>
      </c>
      <c r="C78" s="197">
        <f t="shared" si="14"/>
        <v>1.01</v>
      </c>
      <c r="D78" s="995" t="s">
        <v>7606</v>
      </c>
      <c r="E78" s="197">
        <f t="shared" si="15"/>
        <v>1</v>
      </c>
      <c r="F78" s="995" t="str">
        <f>'7.15'!D56</f>
        <v>平层</v>
      </c>
      <c r="G78" s="197">
        <f t="shared" si="16"/>
        <v>1</v>
      </c>
      <c r="H78" s="995" t="str">
        <f>'7.15'!E56</f>
        <v>南北</v>
      </c>
      <c r="I78" s="197">
        <f t="shared" si="17"/>
        <v>1</v>
      </c>
      <c r="J78" s="995"/>
      <c r="K78" s="197">
        <f t="shared" si="18"/>
        <v>1</v>
      </c>
      <c r="L78" s="995"/>
      <c r="M78" s="197">
        <f t="shared" si="19"/>
        <v>1</v>
      </c>
      <c r="N78" s="995"/>
      <c r="O78" s="197">
        <f t="shared" si="20"/>
        <v>1</v>
      </c>
      <c r="P78" s="995"/>
      <c r="Q78" s="197">
        <f t="shared" si="21"/>
        <v>1</v>
      </c>
      <c r="R78" s="991">
        <f t="shared" ca="1" si="26"/>
        <v>16091</v>
      </c>
      <c r="S78" s="552">
        <f t="shared" ca="1" si="27"/>
        <v>1742494</v>
      </c>
      <c r="T78" s="2010">
        <f t="shared" ca="1" si="28"/>
        <v>174</v>
      </c>
      <c r="U78" s="2305">
        <f t="shared" si="22"/>
        <v>0</v>
      </c>
      <c r="V78" s="2305">
        <f t="shared" si="23"/>
        <v>0</v>
      </c>
      <c r="W78" s="2300"/>
      <c r="X78" s="2305">
        <f t="shared" si="24"/>
        <v>0</v>
      </c>
      <c r="Y78" s="2305">
        <f t="shared" si="25"/>
        <v>0</v>
      </c>
      <c r="Z78" s="2300"/>
    </row>
    <row r="79" spans="1:26">
      <c r="A79" s="292" t="str">
        <f>'7.15'!B57</f>
        <v>6幢1单元403室</v>
      </c>
      <c r="B79" s="207">
        <f>'7.17'!G57</f>
        <v>108.29</v>
      </c>
      <c r="C79" s="197">
        <f t="shared" si="14"/>
        <v>1.01</v>
      </c>
      <c r="D79" s="995" t="s">
        <v>7606</v>
      </c>
      <c r="E79" s="197">
        <f t="shared" si="15"/>
        <v>1</v>
      </c>
      <c r="F79" s="995" t="str">
        <f>'7.15'!D57</f>
        <v>平层</v>
      </c>
      <c r="G79" s="197">
        <f t="shared" si="16"/>
        <v>1</v>
      </c>
      <c r="H79" s="995" t="str">
        <f>'7.15'!E57</f>
        <v>南北</v>
      </c>
      <c r="I79" s="197">
        <f t="shared" si="17"/>
        <v>1</v>
      </c>
      <c r="J79" s="995"/>
      <c r="K79" s="197">
        <f t="shared" si="18"/>
        <v>1</v>
      </c>
      <c r="L79" s="995"/>
      <c r="M79" s="197">
        <f t="shared" si="19"/>
        <v>1</v>
      </c>
      <c r="N79" s="995"/>
      <c r="O79" s="197">
        <f t="shared" si="20"/>
        <v>1</v>
      </c>
      <c r="P79" s="995"/>
      <c r="Q79" s="197">
        <f t="shared" si="21"/>
        <v>1</v>
      </c>
      <c r="R79" s="991">
        <f t="shared" ca="1" si="26"/>
        <v>16091</v>
      </c>
      <c r="S79" s="552">
        <f t="shared" ca="1" si="27"/>
        <v>1742494</v>
      </c>
      <c r="T79" s="2010">
        <f t="shared" ca="1" si="28"/>
        <v>174</v>
      </c>
      <c r="U79" s="2305">
        <f t="shared" si="22"/>
        <v>0</v>
      </c>
      <c r="V79" s="2305">
        <f t="shared" si="23"/>
        <v>0</v>
      </c>
      <c r="W79" s="2300"/>
      <c r="X79" s="2305">
        <f t="shared" si="24"/>
        <v>0</v>
      </c>
      <c r="Y79" s="2305">
        <f t="shared" si="25"/>
        <v>0</v>
      </c>
      <c r="Z79" s="2300"/>
    </row>
    <row r="80" spans="1:26">
      <c r="A80" s="292" t="str">
        <f>'7.15'!B58</f>
        <v>6幢1单元503室</v>
      </c>
      <c r="B80" s="207">
        <f>'7.17'!G58</f>
        <v>108.29</v>
      </c>
      <c r="C80" s="197">
        <f t="shared" si="14"/>
        <v>1.01</v>
      </c>
      <c r="D80" s="995" t="s">
        <v>7606</v>
      </c>
      <c r="E80" s="197">
        <f t="shared" si="15"/>
        <v>1</v>
      </c>
      <c r="F80" s="995" t="str">
        <f>'7.15'!D58</f>
        <v>平层</v>
      </c>
      <c r="G80" s="197">
        <f t="shared" si="16"/>
        <v>1</v>
      </c>
      <c r="H80" s="995" t="str">
        <f>'7.15'!E58</f>
        <v>南北</v>
      </c>
      <c r="I80" s="197">
        <f t="shared" si="17"/>
        <v>1</v>
      </c>
      <c r="J80" s="995"/>
      <c r="K80" s="197">
        <f t="shared" si="18"/>
        <v>1</v>
      </c>
      <c r="L80" s="995"/>
      <c r="M80" s="197">
        <f t="shared" si="19"/>
        <v>1</v>
      </c>
      <c r="N80" s="995"/>
      <c r="O80" s="197">
        <f t="shared" si="20"/>
        <v>1</v>
      </c>
      <c r="P80" s="995"/>
      <c r="Q80" s="197">
        <f t="shared" si="21"/>
        <v>1</v>
      </c>
      <c r="R80" s="991">
        <f t="shared" ca="1" si="26"/>
        <v>16091</v>
      </c>
      <c r="S80" s="552">
        <f t="shared" ca="1" si="27"/>
        <v>1742494</v>
      </c>
      <c r="T80" s="2010">
        <f t="shared" ca="1" si="28"/>
        <v>174</v>
      </c>
      <c r="U80" s="2305">
        <f t="shared" si="22"/>
        <v>0</v>
      </c>
      <c r="V80" s="2305">
        <f t="shared" si="23"/>
        <v>0</v>
      </c>
      <c r="W80" s="2300"/>
      <c r="X80" s="2305">
        <f t="shared" si="24"/>
        <v>0</v>
      </c>
      <c r="Y80" s="2305">
        <f t="shared" si="25"/>
        <v>0</v>
      </c>
      <c r="Z80" s="2300"/>
    </row>
    <row r="81" spans="1:26">
      <c r="A81" s="292" t="str">
        <f>'7.15'!B59</f>
        <v>6幢1单元603室</v>
      </c>
      <c r="B81" s="207">
        <f>'7.17'!G59</f>
        <v>108.29</v>
      </c>
      <c r="C81" s="197">
        <f t="shared" si="14"/>
        <v>1.01</v>
      </c>
      <c r="D81" s="995" t="s">
        <v>7606</v>
      </c>
      <c r="E81" s="197">
        <f t="shared" si="15"/>
        <v>1</v>
      </c>
      <c r="F81" s="995" t="str">
        <f>'7.15'!D59</f>
        <v>平层</v>
      </c>
      <c r="G81" s="197">
        <f t="shared" si="16"/>
        <v>1</v>
      </c>
      <c r="H81" s="995" t="str">
        <f>'7.15'!E59</f>
        <v>南北</v>
      </c>
      <c r="I81" s="197">
        <f t="shared" si="17"/>
        <v>1</v>
      </c>
      <c r="J81" s="995"/>
      <c r="K81" s="197">
        <f t="shared" si="18"/>
        <v>1</v>
      </c>
      <c r="L81" s="995"/>
      <c r="M81" s="197">
        <f t="shared" si="19"/>
        <v>1</v>
      </c>
      <c r="N81" s="995"/>
      <c r="O81" s="197">
        <f t="shared" si="20"/>
        <v>1</v>
      </c>
      <c r="P81" s="995"/>
      <c r="Q81" s="197">
        <f t="shared" si="21"/>
        <v>1</v>
      </c>
      <c r="R81" s="991">
        <f t="shared" ca="1" si="26"/>
        <v>16091</v>
      </c>
      <c r="S81" s="552">
        <f t="shared" ca="1" si="27"/>
        <v>1742494</v>
      </c>
      <c r="T81" s="2010">
        <f t="shared" ca="1" si="28"/>
        <v>174</v>
      </c>
      <c r="U81" s="2305">
        <f t="shared" si="22"/>
        <v>0</v>
      </c>
      <c r="V81" s="2305">
        <f t="shared" si="23"/>
        <v>0</v>
      </c>
      <c r="W81" s="2300"/>
      <c r="X81" s="2305">
        <f t="shared" si="24"/>
        <v>0</v>
      </c>
      <c r="Y81" s="2305">
        <f t="shared" si="25"/>
        <v>0</v>
      </c>
      <c r="Z81" s="2300"/>
    </row>
    <row r="82" spans="1:26">
      <c r="A82" s="292" t="str">
        <f>'7.15'!B60</f>
        <v>6幢1单元703室</v>
      </c>
      <c r="B82" s="207">
        <f>'7.17'!G60</f>
        <v>108.29</v>
      </c>
      <c r="C82" s="197">
        <f t="shared" si="14"/>
        <v>1.01</v>
      </c>
      <c r="D82" s="3204" t="s">
        <v>7609</v>
      </c>
      <c r="E82" s="197">
        <f t="shared" si="15"/>
        <v>1.04</v>
      </c>
      <c r="F82" s="995" t="str">
        <f>'7.15'!D60</f>
        <v>平层</v>
      </c>
      <c r="G82" s="197">
        <f t="shared" si="16"/>
        <v>1</v>
      </c>
      <c r="H82" s="995" t="str">
        <f>'7.15'!E60</f>
        <v>南北</v>
      </c>
      <c r="I82" s="197">
        <f t="shared" si="17"/>
        <v>1</v>
      </c>
      <c r="J82" s="995"/>
      <c r="K82" s="197">
        <f t="shared" si="18"/>
        <v>1</v>
      </c>
      <c r="L82" s="995"/>
      <c r="M82" s="197">
        <f t="shared" si="19"/>
        <v>1</v>
      </c>
      <c r="N82" s="995"/>
      <c r="O82" s="197">
        <f t="shared" si="20"/>
        <v>1</v>
      </c>
      <c r="P82" s="995"/>
      <c r="Q82" s="197">
        <f t="shared" si="21"/>
        <v>1</v>
      </c>
      <c r="R82" s="991">
        <f t="shared" ca="1" si="26"/>
        <v>16735</v>
      </c>
      <c r="S82" s="552">
        <f t="shared" ca="1" si="27"/>
        <v>1812233</v>
      </c>
      <c r="T82" s="2010">
        <f t="shared" ca="1" si="28"/>
        <v>181</v>
      </c>
      <c r="U82" s="2305">
        <f t="shared" si="22"/>
        <v>0</v>
      </c>
      <c r="V82" s="2305">
        <f t="shared" si="23"/>
        <v>0</v>
      </c>
      <c r="W82" s="2300"/>
      <c r="X82" s="2305">
        <f t="shared" si="24"/>
        <v>0</v>
      </c>
      <c r="Y82" s="2305">
        <f t="shared" si="25"/>
        <v>0</v>
      </c>
      <c r="Z82" s="2300"/>
    </row>
    <row r="83" spans="1:26">
      <c r="A83" s="292" t="str">
        <f>'7.15'!B61</f>
        <v>6幢1单元803室</v>
      </c>
      <c r="B83" s="207">
        <f>'7.17'!G61</f>
        <v>108.29</v>
      </c>
      <c r="C83" s="197">
        <f t="shared" si="14"/>
        <v>1.01</v>
      </c>
      <c r="D83" s="3204" t="s">
        <v>7609</v>
      </c>
      <c r="E83" s="197">
        <f t="shared" si="15"/>
        <v>1.04</v>
      </c>
      <c r="F83" s="995" t="str">
        <f>'7.15'!D61</f>
        <v>平层</v>
      </c>
      <c r="G83" s="197">
        <f t="shared" si="16"/>
        <v>1</v>
      </c>
      <c r="H83" s="995" t="str">
        <f>'7.15'!E61</f>
        <v>南北</v>
      </c>
      <c r="I83" s="197">
        <f t="shared" si="17"/>
        <v>1</v>
      </c>
      <c r="J83" s="995"/>
      <c r="K83" s="197">
        <f t="shared" si="18"/>
        <v>1</v>
      </c>
      <c r="L83" s="995"/>
      <c r="M83" s="197">
        <f t="shared" si="19"/>
        <v>1</v>
      </c>
      <c r="N83" s="995"/>
      <c r="O83" s="197">
        <f t="shared" si="20"/>
        <v>1</v>
      </c>
      <c r="P83" s="995"/>
      <c r="Q83" s="197">
        <f t="shared" si="21"/>
        <v>1</v>
      </c>
      <c r="R83" s="991">
        <f t="shared" ca="1" si="26"/>
        <v>16735</v>
      </c>
      <c r="S83" s="552">
        <f t="shared" ca="1" si="27"/>
        <v>1812233</v>
      </c>
      <c r="T83" s="2010">
        <f t="shared" ca="1" si="28"/>
        <v>181</v>
      </c>
      <c r="U83" s="2305">
        <f t="shared" si="22"/>
        <v>0</v>
      </c>
      <c r="V83" s="2305">
        <f t="shared" si="23"/>
        <v>0</v>
      </c>
      <c r="W83" s="2300"/>
      <c r="X83" s="2305">
        <f t="shared" si="24"/>
        <v>0</v>
      </c>
      <c r="Y83" s="2305">
        <f t="shared" si="25"/>
        <v>0</v>
      </c>
      <c r="Z83" s="2300"/>
    </row>
    <row r="84" spans="1:26">
      <c r="A84" s="292" t="str">
        <f>'7.15'!B62</f>
        <v>6幢1单元903室</v>
      </c>
      <c r="B84" s="207">
        <f>'7.17'!G62</f>
        <v>108.29</v>
      </c>
      <c r="C84" s="197">
        <f t="shared" si="14"/>
        <v>1.01</v>
      </c>
      <c r="D84" s="3204" t="s">
        <v>7609</v>
      </c>
      <c r="E84" s="197">
        <f t="shared" si="15"/>
        <v>1.04</v>
      </c>
      <c r="F84" s="995" t="str">
        <f>'7.15'!D62</f>
        <v>平层</v>
      </c>
      <c r="G84" s="197">
        <f t="shared" si="16"/>
        <v>1</v>
      </c>
      <c r="H84" s="995" t="str">
        <f>'7.15'!E62</f>
        <v>南北</v>
      </c>
      <c r="I84" s="197">
        <f t="shared" si="17"/>
        <v>1</v>
      </c>
      <c r="J84" s="995"/>
      <c r="K84" s="197">
        <f t="shared" si="18"/>
        <v>1</v>
      </c>
      <c r="L84" s="995"/>
      <c r="M84" s="197">
        <f t="shared" si="19"/>
        <v>1</v>
      </c>
      <c r="N84" s="995"/>
      <c r="O84" s="197">
        <f t="shared" si="20"/>
        <v>1</v>
      </c>
      <c r="P84" s="995"/>
      <c r="Q84" s="197">
        <f t="shared" si="21"/>
        <v>1</v>
      </c>
      <c r="R84" s="991">
        <f t="shared" ca="1" si="26"/>
        <v>16735</v>
      </c>
      <c r="S84" s="552">
        <f t="shared" ca="1" si="27"/>
        <v>1812233</v>
      </c>
      <c r="T84" s="2010">
        <f t="shared" ca="1" si="28"/>
        <v>181</v>
      </c>
      <c r="U84" s="2305">
        <f t="shared" si="22"/>
        <v>0</v>
      </c>
      <c r="V84" s="2305">
        <f t="shared" si="23"/>
        <v>0</v>
      </c>
      <c r="W84" s="2300"/>
      <c r="X84" s="2305">
        <f t="shared" si="24"/>
        <v>0</v>
      </c>
      <c r="Y84" s="2305">
        <f t="shared" si="25"/>
        <v>0</v>
      </c>
      <c r="Z84" s="2300"/>
    </row>
    <row r="85" spans="1:26">
      <c r="A85" s="292" t="str">
        <f>'7.15'!B63</f>
        <v>6幢1单元1003室</v>
      </c>
      <c r="B85" s="207">
        <f>'7.17'!G63</f>
        <v>108.29</v>
      </c>
      <c r="C85" s="197">
        <f t="shared" si="14"/>
        <v>1.01</v>
      </c>
      <c r="D85" s="3204" t="s">
        <v>7609</v>
      </c>
      <c r="E85" s="197">
        <f t="shared" si="15"/>
        <v>1.04</v>
      </c>
      <c r="F85" s="995" t="str">
        <f>'7.15'!D63</f>
        <v>平层</v>
      </c>
      <c r="G85" s="197">
        <f t="shared" si="16"/>
        <v>1</v>
      </c>
      <c r="H85" s="995" t="str">
        <f>'7.15'!E63</f>
        <v>南北</v>
      </c>
      <c r="I85" s="197">
        <f t="shared" si="17"/>
        <v>1</v>
      </c>
      <c r="J85" s="995"/>
      <c r="K85" s="197">
        <f t="shared" si="18"/>
        <v>1</v>
      </c>
      <c r="L85" s="995"/>
      <c r="M85" s="197">
        <f t="shared" si="19"/>
        <v>1</v>
      </c>
      <c r="N85" s="995"/>
      <c r="O85" s="197">
        <f t="shared" si="20"/>
        <v>1</v>
      </c>
      <c r="P85" s="995"/>
      <c r="Q85" s="197">
        <f t="shared" si="21"/>
        <v>1</v>
      </c>
      <c r="R85" s="991">
        <f t="shared" ca="1" si="26"/>
        <v>16735</v>
      </c>
      <c r="S85" s="552">
        <f t="shared" ca="1" si="27"/>
        <v>1812233</v>
      </c>
      <c r="T85" s="2010">
        <f t="shared" ca="1" si="28"/>
        <v>181</v>
      </c>
      <c r="U85" s="2305">
        <f t="shared" si="22"/>
        <v>0</v>
      </c>
      <c r="V85" s="2305">
        <f t="shared" si="23"/>
        <v>0</v>
      </c>
      <c r="W85" s="2300"/>
      <c r="X85" s="2305">
        <f t="shared" si="24"/>
        <v>0</v>
      </c>
      <c r="Y85" s="2305">
        <f t="shared" si="25"/>
        <v>0</v>
      </c>
      <c r="Z85" s="2300"/>
    </row>
    <row r="86" spans="1:26">
      <c r="A86" s="292" t="str">
        <f>'7.15'!B64</f>
        <v>6幢1单元1103室</v>
      </c>
      <c r="B86" s="207">
        <f>'7.17'!G64</f>
        <v>108.29</v>
      </c>
      <c r="C86" s="197">
        <f t="shared" si="14"/>
        <v>1.01</v>
      </c>
      <c r="D86" s="3204" t="s">
        <v>7609</v>
      </c>
      <c r="E86" s="197">
        <f t="shared" si="15"/>
        <v>1.04</v>
      </c>
      <c r="F86" s="995" t="str">
        <f>'7.15'!D64</f>
        <v>平层</v>
      </c>
      <c r="G86" s="197">
        <f t="shared" si="16"/>
        <v>1</v>
      </c>
      <c r="H86" s="995" t="str">
        <f>'7.15'!E64</f>
        <v>南北</v>
      </c>
      <c r="I86" s="197">
        <f t="shared" si="17"/>
        <v>1</v>
      </c>
      <c r="J86" s="995"/>
      <c r="K86" s="197">
        <f t="shared" si="18"/>
        <v>1</v>
      </c>
      <c r="L86" s="995"/>
      <c r="M86" s="197">
        <f t="shared" si="19"/>
        <v>1</v>
      </c>
      <c r="N86" s="995"/>
      <c r="O86" s="197">
        <f t="shared" si="20"/>
        <v>1</v>
      </c>
      <c r="P86" s="995"/>
      <c r="Q86" s="197">
        <f t="shared" si="21"/>
        <v>1</v>
      </c>
      <c r="R86" s="991">
        <f t="shared" ca="1" si="26"/>
        <v>16735</v>
      </c>
      <c r="S86" s="552">
        <f t="shared" ca="1" si="27"/>
        <v>1812233</v>
      </c>
      <c r="T86" s="2010">
        <f t="shared" ca="1" si="28"/>
        <v>181</v>
      </c>
      <c r="U86" s="2305">
        <f t="shared" si="22"/>
        <v>0</v>
      </c>
      <c r="V86" s="2305">
        <f t="shared" si="23"/>
        <v>0</v>
      </c>
      <c r="W86" s="2300"/>
      <c r="X86" s="2305">
        <f t="shared" si="24"/>
        <v>0</v>
      </c>
      <c r="Y86" s="2305">
        <f t="shared" si="25"/>
        <v>0</v>
      </c>
      <c r="Z86" s="2300"/>
    </row>
    <row r="87" spans="1:26">
      <c r="A87" s="292" t="str">
        <f>'7.15'!B65</f>
        <v>6幢1单元1203室</v>
      </c>
      <c r="B87" s="207">
        <f>'7.17'!G65</f>
        <v>108.29</v>
      </c>
      <c r="C87" s="197">
        <f t="shared" si="14"/>
        <v>1.01</v>
      </c>
      <c r="D87" s="3204" t="s">
        <v>7609</v>
      </c>
      <c r="E87" s="197">
        <f t="shared" si="15"/>
        <v>1.04</v>
      </c>
      <c r="F87" s="995" t="str">
        <f>'7.15'!D65</f>
        <v>平层</v>
      </c>
      <c r="G87" s="197">
        <f t="shared" si="16"/>
        <v>1</v>
      </c>
      <c r="H87" s="995" t="str">
        <f>'7.15'!E65</f>
        <v>南北</v>
      </c>
      <c r="I87" s="197">
        <f t="shared" si="17"/>
        <v>1</v>
      </c>
      <c r="J87" s="995"/>
      <c r="K87" s="197">
        <f t="shared" si="18"/>
        <v>1</v>
      </c>
      <c r="L87" s="995"/>
      <c r="M87" s="197">
        <f t="shared" si="19"/>
        <v>1</v>
      </c>
      <c r="N87" s="995"/>
      <c r="O87" s="197">
        <f t="shared" si="20"/>
        <v>1</v>
      </c>
      <c r="P87" s="995"/>
      <c r="Q87" s="197">
        <f t="shared" si="21"/>
        <v>1</v>
      </c>
      <c r="R87" s="991">
        <f t="shared" ca="1" si="26"/>
        <v>16735</v>
      </c>
      <c r="S87" s="552">
        <f t="shared" ca="1" si="27"/>
        <v>1812233</v>
      </c>
      <c r="T87" s="2010">
        <f t="shared" ca="1" si="28"/>
        <v>181</v>
      </c>
      <c r="U87" s="2305">
        <f t="shared" si="22"/>
        <v>0</v>
      </c>
      <c r="V87" s="2305">
        <f t="shared" si="23"/>
        <v>0</v>
      </c>
      <c r="W87" s="2300"/>
      <c r="X87" s="2305">
        <f t="shared" si="24"/>
        <v>0</v>
      </c>
      <c r="Y87" s="2305">
        <f t="shared" si="25"/>
        <v>0</v>
      </c>
      <c r="Z87" s="2300"/>
    </row>
    <row r="88" spans="1:26">
      <c r="A88" s="292" t="str">
        <f>'7.15'!B66</f>
        <v>6幢1单元1303室</v>
      </c>
      <c r="B88" s="207">
        <f>'7.17'!G66</f>
        <v>108.29</v>
      </c>
      <c r="C88" s="197">
        <f t="shared" si="14"/>
        <v>1.01</v>
      </c>
      <c r="D88" s="3204" t="s">
        <v>7608</v>
      </c>
      <c r="E88" s="197">
        <f t="shared" si="15"/>
        <v>1.02</v>
      </c>
      <c r="F88" s="995" t="str">
        <f>'7.15'!D66</f>
        <v>平层</v>
      </c>
      <c r="G88" s="197">
        <f t="shared" si="16"/>
        <v>1</v>
      </c>
      <c r="H88" s="995" t="str">
        <f>'7.15'!E66</f>
        <v>南北</v>
      </c>
      <c r="I88" s="197">
        <f t="shared" si="17"/>
        <v>1</v>
      </c>
      <c r="J88" s="995"/>
      <c r="K88" s="197">
        <f t="shared" si="18"/>
        <v>1</v>
      </c>
      <c r="L88" s="995"/>
      <c r="M88" s="197">
        <f t="shared" si="19"/>
        <v>1</v>
      </c>
      <c r="N88" s="995"/>
      <c r="O88" s="197">
        <f t="shared" si="20"/>
        <v>1</v>
      </c>
      <c r="P88" s="995"/>
      <c r="Q88" s="197">
        <f t="shared" si="21"/>
        <v>1</v>
      </c>
      <c r="R88" s="991">
        <f t="shared" ca="1" si="26"/>
        <v>16413</v>
      </c>
      <c r="S88" s="552">
        <f t="shared" ca="1" si="27"/>
        <v>1777364</v>
      </c>
      <c r="T88" s="2010">
        <f t="shared" ca="1" si="28"/>
        <v>178</v>
      </c>
      <c r="U88" s="2305">
        <f t="shared" si="22"/>
        <v>0</v>
      </c>
      <c r="V88" s="2305">
        <f t="shared" si="23"/>
        <v>0</v>
      </c>
      <c r="W88" s="2300"/>
      <c r="X88" s="2305">
        <f t="shared" si="24"/>
        <v>0</v>
      </c>
      <c r="Y88" s="2305">
        <f t="shared" si="25"/>
        <v>0</v>
      </c>
      <c r="Z88" s="2300"/>
    </row>
    <row r="89" spans="1:26">
      <c r="A89" s="292" t="str">
        <f>'7.15'!B67</f>
        <v>6幢1单元1403室</v>
      </c>
      <c r="B89" s="207">
        <f>'7.17'!G67</f>
        <v>108.29</v>
      </c>
      <c r="C89" s="197">
        <f t="shared" si="14"/>
        <v>1.01</v>
      </c>
      <c r="D89" s="3204" t="s">
        <v>7608</v>
      </c>
      <c r="E89" s="197">
        <f t="shared" si="15"/>
        <v>1.02</v>
      </c>
      <c r="F89" s="995" t="str">
        <f>'7.15'!D67</f>
        <v>平层</v>
      </c>
      <c r="G89" s="197">
        <f t="shared" si="16"/>
        <v>1</v>
      </c>
      <c r="H89" s="995" t="str">
        <f>'7.15'!E67</f>
        <v>南北</v>
      </c>
      <c r="I89" s="197">
        <f t="shared" si="17"/>
        <v>1</v>
      </c>
      <c r="J89" s="995"/>
      <c r="K89" s="197">
        <f t="shared" si="18"/>
        <v>1</v>
      </c>
      <c r="L89" s="995"/>
      <c r="M89" s="197">
        <f t="shared" si="19"/>
        <v>1</v>
      </c>
      <c r="N89" s="995"/>
      <c r="O89" s="197">
        <f t="shared" si="20"/>
        <v>1</v>
      </c>
      <c r="P89" s="995"/>
      <c r="Q89" s="197">
        <f t="shared" si="21"/>
        <v>1</v>
      </c>
      <c r="R89" s="991">
        <f t="shared" ca="1" si="26"/>
        <v>16413</v>
      </c>
      <c r="S89" s="552">
        <f t="shared" ca="1" si="27"/>
        <v>1777364</v>
      </c>
      <c r="T89" s="2010">
        <f t="shared" ca="1" si="28"/>
        <v>178</v>
      </c>
      <c r="U89" s="2305">
        <f t="shared" si="22"/>
        <v>0</v>
      </c>
      <c r="V89" s="2305">
        <f t="shared" si="23"/>
        <v>0</v>
      </c>
      <c r="W89" s="2300"/>
      <c r="X89" s="2305">
        <f t="shared" si="24"/>
        <v>0</v>
      </c>
      <c r="Y89" s="2305">
        <f t="shared" si="25"/>
        <v>0</v>
      </c>
      <c r="Z89" s="2300"/>
    </row>
    <row r="90" spans="1:26">
      <c r="A90" s="292" t="str">
        <f>'7.15'!B68</f>
        <v>6幢1单元1503室</v>
      </c>
      <c r="B90" s="207">
        <f>'7.17'!G68</f>
        <v>108.29</v>
      </c>
      <c r="C90" s="197">
        <f t="shared" si="14"/>
        <v>1.01</v>
      </c>
      <c r="D90" s="3204" t="s">
        <v>7608</v>
      </c>
      <c r="E90" s="197">
        <f t="shared" si="15"/>
        <v>1.02</v>
      </c>
      <c r="F90" s="995" t="str">
        <f>'7.15'!D68</f>
        <v>平层</v>
      </c>
      <c r="G90" s="197">
        <f t="shared" si="16"/>
        <v>1</v>
      </c>
      <c r="H90" s="995" t="str">
        <f>'7.15'!E68</f>
        <v>南北</v>
      </c>
      <c r="I90" s="197">
        <f t="shared" si="17"/>
        <v>1</v>
      </c>
      <c r="J90" s="995"/>
      <c r="K90" s="197">
        <f t="shared" si="18"/>
        <v>1</v>
      </c>
      <c r="L90" s="995"/>
      <c r="M90" s="197">
        <f t="shared" si="19"/>
        <v>1</v>
      </c>
      <c r="N90" s="995"/>
      <c r="O90" s="197">
        <f t="shared" si="20"/>
        <v>1</v>
      </c>
      <c r="P90" s="995"/>
      <c r="Q90" s="197">
        <f t="shared" si="21"/>
        <v>1</v>
      </c>
      <c r="R90" s="991">
        <f t="shared" ca="1" si="26"/>
        <v>16413</v>
      </c>
      <c r="S90" s="552">
        <f t="shared" ca="1" si="27"/>
        <v>1777364</v>
      </c>
      <c r="T90" s="2010">
        <f t="shared" ca="1" si="28"/>
        <v>178</v>
      </c>
      <c r="U90" s="2305">
        <f t="shared" si="22"/>
        <v>0</v>
      </c>
      <c r="V90" s="2305">
        <f t="shared" si="23"/>
        <v>0</v>
      </c>
      <c r="W90" s="2300"/>
      <c r="X90" s="2305">
        <f t="shared" si="24"/>
        <v>0</v>
      </c>
      <c r="Y90" s="2305">
        <f t="shared" si="25"/>
        <v>0</v>
      </c>
      <c r="Z90" s="2300"/>
    </row>
    <row r="91" spans="1:26">
      <c r="A91" s="292" t="str">
        <f>'7.15'!B69</f>
        <v>6幢1单元1603室</v>
      </c>
      <c r="B91" s="207">
        <f>'7.17'!G69</f>
        <v>108.29</v>
      </c>
      <c r="C91" s="197">
        <f t="shared" si="14"/>
        <v>1.01</v>
      </c>
      <c r="D91" s="3204" t="s">
        <v>7608</v>
      </c>
      <c r="E91" s="197">
        <f t="shared" si="15"/>
        <v>1.02</v>
      </c>
      <c r="F91" s="995" t="str">
        <f>'7.15'!D69</f>
        <v>平层</v>
      </c>
      <c r="G91" s="197">
        <f t="shared" si="16"/>
        <v>1</v>
      </c>
      <c r="H91" s="995" t="str">
        <f>'7.15'!E69</f>
        <v>南北</v>
      </c>
      <c r="I91" s="197">
        <f t="shared" si="17"/>
        <v>1</v>
      </c>
      <c r="J91" s="995"/>
      <c r="K91" s="197">
        <f t="shared" si="18"/>
        <v>1</v>
      </c>
      <c r="L91" s="995"/>
      <c r="M91" s="197">
        <f t="shared" si="19"/>
        <v>1</v>
      </c>
      <c r="N91" s="995"/>
      <c r="O91" s="197">
        <f t="shared" si="20"/>
        <v>1</v>
      </c>
      <c r="P91" s="995"/>
      <c r="Q91" s="197">
        <f t="shared" si="21"/>
        <v>1</v>
      </c>
      <c r="R91" s="991">
        <f t="shared" ca="1" si="26"/>
        <v>16413</v>
      </c>
      <c r="S91" s="552">
        <f t="shared" ca="1" si="27"/>
        <v>1777364</v>
      </c>
      <c r="T91" s="2010">
        <f t="shared" ca="1" si="28"/>
        <v>178</v>
      </c>
      <c r="U91" s="2305">
        <f t="shared" si="22"/>
        <v>0</v>
      </c>
      <c r="V91" s="2305">
        <f t="shared" si="23"/>
        <v>0</v>
      </c>
      <c r="W91" s="2300"/>
      <c r="X91" s="2305">
        <f t="shared" si="24"/>
        <v>0</v>
      </c>
      <c r="Y91" s="2305">
        <f t="shared" si="25"/>
        <v>0</v>
      </c>
      <c r="Z91" s="2300"/>
    </row>
    <row r="92" spans="1:26">
      <c r="A92" s="292" t="str">
        <f>'7.15'!B70</f>
        <v>6幢1单元1703室</v>
      </c>
      <c r="B92" s="207">
        <f>'7.17'!G70</f>
        <v>93.99</v>
      </c>
      <c r="C92" s="197">
        <f t="shared" ref="C92:C155" si="29">IF(B92="",1,(LOOKUP(B92,$6:$6,$7:$7)-LOOKUP($B$27,$6:$6,$7:$7)+100)/100)</f>
        <v>1</v>
      </c>
      <c r="D92" s="3204" t="s">
        <v>7608</v>
      </c>
      <c r="E92" s="197">
        <f t="shared" ref="E92:E155" si="30">(SUMIF($8:$8,D92,$9:$9)-SUMIF($8:$8,$D$27,$9:$9)+100)/100</f>
        <v>1.02</v>
      </c>
      <c r="F92" s="995" t="str">
        <f>'7.15'!D70</f>
        <v>平层</v>
      </c>
      <c r="G92" s="197">
        <f t="shared" ref="G92:G155" si="31">(SUMIF($10:$10,F92,$11:$11)-SUMIF($10:$10,$F$27,$11:$11)+100)/100</f>
        <v>1</v>
      </c>
      <c r="H92" s="995" t="str">
        <f>'7.15'!E70</f>
        <v>南北</v>
      </c>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ca="1" si="26"/>
        <v>16251</v>
      </c>
      <c r="S92" s="552">
        <f t="shared" ca="1" si="27"/>
        <v>1527431</v>
      </c>
      <c r="T92" s="2010">
        <f t="shared" ca="1" si="28"/>
        <v>153</v>
      </c>
      <c r="U92" s="2305">
        <f t="shared" ref="U92:U155" si="37">ROUND(W92*B92,0)</f>
        <v>0</v>
      </c>
      <c r="V92" s="2305">
        <f t="shared" ref="V92:V155" si="38">ROUND(W92*B92/10000,0)</f>
        <v>0</v>
      </c>
      <c r="W92" s="2300"/>
      <c r="X92" s="2305">
        <f t="shared" ref="X92:X155" si="39">ROUND(Z92*B92,0)</f>
        <v>0</v>
      </c>
      <c r="Y92" s="2305">
        <f t="shared" ref="Y92:Y155" si="40">ROUND(Z92*B92/10000,0)</f>
        <v>0</v>
      </c>
      <c r="Z92" s="2300"/>
    </row>
    <row r="93" spans="1:26">
      <c r="A93" s="292" t="str">
        <f>'7.15'!B71</f>
        <v>6幢2单元201室</v>
      </c>
      <c r="B93" s="207">
        <f>'7.17'!G71</f>
        <v>108.28</v>
      </c>
      <c r="C93" s="197">
        <f t="shared" si="29"/>
        <v>1.01</v>
      </c>
      <c r="D93" s="995" t="s">
        <v>7606</v>
      </c>
      <c r="E93" s="197">
        <f t="shared" si="30"/>
        <v>1</v>
      </c>
      <c r="F93" s="995" t="str">
        <f>'7.15'!D71</f>
        <v>平层</v>
      </c>
      <c r="G93" s="197">
        <f t="shared" si="31"/>
        <v>1</v>
      </c>
      <c r="H93" s="995" t="str">
        <f>'7.15'!E71</f>
        <v>南北</v>
      </c>
      <c r="I93" s="197">
        <f t="shared" si="32"/>
        <v>1</v>
      </c>
      <c r="J93" s="995"/>
      <c r="K93" s="197">
        <f t="shared" si="33"/>
        <v>1</v>
      </c>
      <c r="L93" s="995"/>
      <c r="M93" s="197">
        <f t="shared" si="34"/>
        <v>1</v>
      </c>
      <c r="N93" s="995"/>
      <c r="O93" s="197">
        <f t="shared" si="35"/>
        <v>1</v>
      </c>
      <c r="P93" s="995"/>
      <c r="Q93" s="197">
        <f t="shared" si="36"/>
        <v>1</v>
      </c>
      <c r="R93" s="991">
        <f t="shared" ref="R93:R156" ca="1" si="41">IF(B93="",0,ROUND($R$27*C93*E93*G93*I93*K93*M93*O93*Q93,0))</f>
        <v>16091</v>
      </c>
      <c r="S93" s="552">
        <f t="shared" ref="S93:S156" ca="1" si="42">ROUND(R93*B93,0)</f>
        <v>1742333</v>
      </c>
      <c r="T93" s="2010">
        <f t="shared" ref="T93:T156" ca="1" si="43">ROUND(R93*B93/10000,0)</f>
        <v>174</v>
      </c>
      <c r="U93" s="2305">
        <f t="shared" si="37"/>
        <v>0</v>
      </c>
      <c r="V93" s="2305">
        <f t="shared" si="38"/>
        <v>0</v>
      </c>
      <c r="W93" s="2300"/>
      <c r="X93" s="2305">
        <f t="shared" si="39"/>
        <v>0</v>
      </c>
      <c r="Y93" s="2305">
        <f t="shared" si="40"/>
        <v>0</v>
      </c>
      <c r="Z93" s="2300"/>
    </row>
    <row r="94" spans="1:26">
      <c r="A94" s="292" t="str">
        <f>'7.15'!B72</f>
        <v>6幢2单元301室</v>
      </c>
      <c r="B94" s="207">
        <f>'7.17'!G72</f>
        <v>108.28</v>
      </c>
      <c r="C94" s="197">
        <f t="shared" si="29"/>
        <v>1.01</v>
      </c>
      <c r="D94" s="995" t="s">
        <v>7606</v>
      </c>
      <c r="E94" s="197">
        <f t="shared" si="30"/>
        <v>1</v>
      </c>
      <c r="F94" s="995" t="str">
        <f>'7.15'!D72</f>
        <v>平层</v>
      </c>
      <c r="G94" s="197">
        <f t="shared" si="31"/>
        <v>1</v>
      </c>
      <c r="H94" s="995" t="str">
        <f>'7.15'!E72</f>
        <v>南北</v>
      </c>
      <c r="I94" s="197">
        <f t="shared" si="32"/>
        <v>1</v>
      </c>
      <c r="J94" s="995"/>
      <c r="K94" s="197">
        <f t="shared" si="33"/>
        <v>1</v>
      </c>
      <c r="L94" s="995"/>
      <c r="M94" s="197">
        <f t="shared" si="34"/>
        <v>1</v>
      </c>
      <c r="N94" s="995"/>
      <c r="O94" s="197">
        <f t="shared" si="35"/>
        <v>1</v>
      </c>
      <c r="P94" s="995"/>
      <c r="Q94" s="197">
        <f t="shared" si="36"/>
        <v>1</v>
      </c>
      <c r="R94" s="991">
        <f t="shared" ca="1" si="41"/>
        <v>16091</v>
      </c>
      <c r="S94" s="552">
        <f t="shared" ca="1" si="42"/>
        <v>1742333</v>
      </c>
      <c r="T94" s="2010">
        <f t="shared" ca="1" si="43"/>
        <v>174</v>
      </c>
      <c r="U94" s="2305">
        <f t="shared" si="37"/>
        <v>0</v>
      </c>
      <c r="V94" s="2305">
        <f t="shared" si="38"/>
        <v>0</v>
      </c>
      <c r="W94" s="2300"/>
      <c r="X94" s="2305">
        <f t="shared" si="39"/>
        <v>0</v>
      </c>
      <c r="Y94" s="2305">
        <f t="shared" si="40"/>
        <v>0</v>
      </c>
      <c r="Z94" s="2300"/>
    </row>
    <row r="95" spans="1:26">
      <c r="A95" s="292" t="str">
        <f>'7.15'!B73</f>
        <v>6幢2单元401室</v>
      </c>
      <c r="B95" s="207">
        <f>'7.17'!G73</f>
        <v>108.28</v>
      </c>
      <c r="C95" s="197">
        <f t="shared" si="29"/>
        <v>1.01</v>
      </c>
      <c r="D95" s="995" t="s">
        <v>7606</v>
      </c>
      <c r="E95" s="197">
        <f t="shared" si="30"/>
        <v>1</v>
      </c>
      <c r="F95" s="995" t="str">
        <f>'7.15'!D73</f>
        <v>平层</v>
      </c>
      <c r="G95" s="197">
        <f t="shared" si="31"/>
        <v>1</v>
      </c>
      <c r="H95" s="995" t="str">
        <f>'7.15'!E73</f>
        <v>南北</v>
      </c>
      <c r="I95" s="197">
        <f t="shared" si="32"/>
        <v>1</v>
      </c>
      <c r="J95" s="995"/>
      <c r="K95" s="197">
        <f t="shared" si="33"/>
        <v>1</v>
      </c>
      <c r="L95" s="995"/>
      <c r="M95" s="197">
        <f t="shared" si="34"/>
        <v>1</v>
      </c>
      <c r="N95" s="995"/>
      <c r="O95" s="197">
        <f t="shared" si="35"/>
        <v>1</v>
      </c>
      <c r="P95" s="995"/>
      <c r="Q95" s="197">
        <f t="shared" si="36"/>
        <v>1</v>
      </c>
      <c r="R95" s="991">
        <f t="shared" ca="1" si="41"/>
        <v>16091</v>
      </c>
      <c r="S95" s="552">
        <f t="shared" ca="1" si="42"/>
        <v>1742333</v>
      </c>
      <c r="T95" s="2010">
        <f t="shared" ca="1" si="43"/>
        <v>174</v>
      </c>
      <c r="U95" s="2305">
        <f t="shared" si="37"/>
        <v>0</v>
      </c>
      <c r="V95" s="2305">
        <f t="shared" si="38"/>
        <v>0</v>
      </c>
      <c r="W95" s="2300"/>
      <c r="X95" s="2305">
        <f t="shared" si="39"/>
        <v>0</v>
      </c>
      <c r="Y95" s="2305">
        <f t="shared" si="40"/>
        <v>0</v>
      </c>
      <c r="Z95" s="2300"/>
    </row>
    <row r="96" spans="1:26">
      <c r="A96" s="292" t="str">
        <f>'7.15'!B74</f>
        <v>6幢2单元501室</v>
      </c>
      <c r="B96" s="207">
        <f>'7.17'!G74</f>
        <v>108.28</v>
      </c>
      <c r="C96" s="197">
        <f t="shared" si="29"/>
        <v>1.01</v>
      </c>
      <c r="D96" s="995" t="s">
        <v>7606</v>
      </c>
      <c r="E96" s="197">
        <f t="shared" si="30"/>
        <v>1</v>
      </c>
      <c r="F96" s="995" t="str">
        <f>'7.15'!D74</f>
        <v>平层</v>
      </c>
      <c r="G96" s="197">
        <f t="shared" si="31"/>
        <v>1</v>
      </c>
      <c r="H96" s="995" t="str">
        <f>'7.15'!E74</f>
        <v>南北</v>
      </c>
      <c r="I96" s="197">
        <f t="shared" si="32"/>
        <v>1</v>
      </c>
      <c r="J96" s="995"/>
      <c r="K96" s="197">
        <f t="shared" si="33"/>
        <v>1</v>
      </c>
      <c r="L96" s="995"/>
      <c r="M96" s="197">
        <f t="shared" si="34"/>
        <v>1</v>
      </c>
      <c r="N96" s="995"/>
      <c r="O96" s="197">
        <f t="shared" si="35"/>
        <v>1</v>
      </c>
      <c r="P96" s="995"/>
      <c r="Q96" s="197">
        <f t="shared" si="36"/>
        <v>1</v>
      </c>
      <c r="R96" s="991">
        <f t="shared" ca="1" si="41"/>
        <v>16091</v>
      </c>
      <c r="S96" s="552">
        <f t="shared" ca="1" si="42"/>
        <v>1742333</v>
      </c>
      <c r="T96" s="2010">
        <f t="shared" ca="1" si="43"/>
        <v>174</v>
      </c>
      <c r="U96" s="2305">
        <f t="shared" si="37"/>
        <v>0</v>
      </c>
      <c r="V96" s="2305">
        <f t="shared" si="38"/>
        <v>0</v>
      </c>
      <c r="W96" s="2300"/>
      <c r="X96" s="2305">
        <f t="shared" si="39"/>
        <v>0</v>
      </c>
      <c r="Y96" s="2305">
        <f t="shared" si="40"/>
        <v>0</v>
      </c>
      <c r="Z96" s="2300"/>
    </row>
    <row r="97" spans="1:26">
      <c r="A97" s="292" t="str">
        <f>'7.15'!B75</f>
        <v>6幢2单元601室</v>
      </c>
      <c r="B97" s="207">
        <f>'7.17'!G75</f>
        <v>108.28</v>
      </c>
      <c r="C97" s="197">
        <f t="shared" si="29"/>
        <v>1.01</v>
      </c>
      <c r="D97" s="995" t="s">
        <v>7606</v>
      </c>
      <c r="E97" s="197">
        <f t="shared" si="30"/>
        <v>1</v>
      </c>
      <c r="F97" s="995" t="str">
        <f>'7.15'!D75</f>
        <v>平层</v>
      </c>
      <c r="G97" s="197">
        <f t="shared" si="31"/>
        <v>1</v>
      </c>
      <c r="H97" s="995" t="str">
        <f>'7.15'!E75</f>
        <v>南北</v>
      </c>
      <c r="I97" s="197">
        <f t="shared" si="32"/>
        <v>1</v>
      </c>
      <c r="J97" s="995"/>
      <c r="K97" s="197">
        <f t="shared" si="33"/>
        <v>1</v>
      </c>
      <c r="L97" s="995"/>
      <c r="M97" s="197">
        <f t="shared" si="34"/>
        <v>1</v>
      </c>
      <c r="N97" s="995"/>
      <c r="O97" s="197">
        <f t="shared" si="35"/>
        <v>1</v>
      </c>
      <c r="P97" s="995"/>
      <c r="Q97" s="197">
        <f t="shared" si="36"/>
        <v>1</v>
      </c>
      <c r="R97" s="991">
        <f t="shared" ca="1" si="41"/>
        <v>16091</v>
      </c>
      <c r="S97" s="552">
        <f t="shared" ca="1" si="42"/>
        <v>1742333</v>
      </c>
      <c r="T97" s="2010">
        <f t="shared" ca="1" si="43"/>
        <v>174</v>
      </c>
      <c r="U97" s="2305">
        <f t="shared" si="37"/>
        <v>0</v>
      </c>
      <c r="V97" s="2305">
        <f t="shared" si="38"/>
        <v>0</v>
      </c>
      <c r="W97" s="2300"/>
      <c r="X97" s="2305">
        <f t="shared" si="39"/>
        <v>0</v>
      </c>
      <c r="Y97" s="2305">
        <f t="shared" si="40"/>
        <v>0</v>
      </c>
      <c r="Z97" s="2300"/>
    </row>
    <row r="98" spans="1:26">
      <c r="A98" s="292" t="str">
        <f>'7.15'!B76</f>
        <v>6幢2单元701室</v>
      </c>
      <c r="B98" s="207">
        <f>'7.17'!G76</f>
        <v>108.28</v>
      </c>
      <c r="C98" s="197">
        <f t="shared" si="29"/>
        <v>1.01</v>
      </c>
      <c r="D98" s="3204" t="s">
        <v>7609</v>
      </c>
      <c r="E98" s="197">
        <f t="shared" si="30"/>
        <v>1.04</v>
      </c>
      <c r="F98" s="995" t="str">
        <f>'7.15'!D76</f>
        <v>平层</v>
      </c>
      <c r="G98" s="197">
        <f t="shared" si="31"/>
        <v>1</v>
      </c>
      <c r="H98" s="995" t="str">
        <f>'7.15'!E76</f>
        <v>南北</v>
      </c>
      <c r="I98" s="197">
        <f t="shared" si="32"/>
        <v>1</v>
      </c>
      <c r="J98" s="995"/>
      <c r="K98" s="197">
        <f t="shared" si="33"/>
        <v>1</v>
      </c>
      <c r="L98" s="995"/>
      <c r="M98" s="197">
        <f t="shared" si="34"/>
        <v>1</v>
      </c>
      <c r="N98" s="995"/>
      <c r="O98" s="197">
        <f t="shared" si="35"/>
        <v>1</v>
      </c>
      <c r="P98" s="995"/>
      <c r="Q98" s="197">
        <f t="shared" si="36"/>
        <v>1</v>
      </c>
      <c r="R98" s="991">
        <f t="shared" ca="1" si="41"/>
        <v>16735</v>
      </c>
      <c r="S98" s="552">
        <f t="shared" ca="1" si="42"/>
        <v>1812066</v>
      </c>
      <c r="T98" s="2010">
        <f t="shared" ca="1" si="43"/>
        <v>181</v>
      </c>
      <c r="U98" s="2305">
        <f t="shared" si="37"/>
        <v>0</v>
      </c>
      <c r="V98" s="2305">
        <f t="shared" si="38"/>
        <v>0</v>
      </c>
      <c r="W98" s="2300"/>
      <c r="X98" s="2305">
        <f t="shared" si="39"/>
        <v>0</v>
      </c>
      <c r="Y98" s="2305">
        <f t="shared" si="40"/>
        <v>0</v>
      </c>
      <c r="Z98" s="2300"/>
    </row>
    <row r="99" spans="1:26">
      <c r="A99" s="292" t="str">
        <f>'7.15'!B77</f>
        <v>6幢2单元801室</v>
      </c>
      <c r="B99" s="207">
        <f>'7.17'!G77</f>
        <v>108.28</v>
      </c>
      <c r="C99" s="197">
        <f t="shared" si="29"/>
        <v>1.01</v>
      </c>
      <c r="D99" s="3204" t="s">
        <v>7609</v>
      </c>
      <c r="E99" s="197">
        <f t="shared" si="30"/>
        <v>1.04</v>
      </c>
      <c r="F99" s="995" t="str">
        <f>'7.15'!D77</f>
        <v>平层</v>
      </c>
      <c r="G99" s="197">
        <f t="shared" si="31"/>
        <v>1</v>
      </c>
      <c r="H99" s="995" t="str">
        <f>'7.15'!E77</f>
        <v>南北</v>
      </c>
      <c r="I99" s="197">
        <f t="shared" si="32"/>
        <v>1</v>
      </c>
      <c r="J99" s="995"/>
      <c r="K99" s="197">
        <f t="shared" si="33"/>
        <v>1</v>
      </c>
      <c r="L99" s="995"/>
      <c r="M99" s="197">
        <f t="shared" si="34"/>
        <v>1</v>
      </c>
      <c r="N99" s="995"/>
      <c r="O99" s="197">
        <f t="shared" si="35"/>
        <v>1</v>
      </c>
      <c r="P99" s="995"/>
      <c r="Q99" s="197">
        <f t="shared" si="36"/>
        <v>1</v>
      </c>
      <c r="R99" s="991">
        <f t="shared" ca="1" si="41"/>
        <v>16735</v>
      </c>
      <c r="S99" s="552">
        <f t="shared" ca="1" si="42"/>
        <v>1812066</v>
      </c>
      <c r="T99" s="2010">
        <f t="shared" ca="1" si="43"/>
        <v>181</v>
      </c>
      <c r="U99" s="2305">
        <f t="shared" si="37"/>
        <v>0</v>
      </c>
      <c r="V99" s="2305">
        <f t="shared" si="38"/>
        <v>0</v>
      </c>
      <c r="W99" s="2300"/>
      <c r="X99" s="2305">
        <f t="shared" si="39"/>
        <v>0</v>
      </c>
      <c r="Y99" s="2305">
        <f t="shared" si="40"/>
        <v>0</v>
      </c>
      <c r="Z99" s="2300"/>
    </row>
    <row r="100" spans="1:26">
      <c r="A100" s="292" t="str">
        <f>'7.15'!B78</f>
        <v>6幢2单元901室</v>
      </c>
      <c r="B100" s="207">
        <f>'7.17'!G78</f>
        <v>108.28</v>
      </c>
      <c r="C100" s="197">
        <f t="shared" si="29"/>
        <v>1.01</v>
      </c>
      <c r="D100" s="3204" t="s">
        <v>7609</v>
      </c>
      <c r="E100" s="197">
        <f t="shared" si="30"/>
        <v>1.04</v>
      </c>
      <c r="F100" s="995" t="str">
        <f>'7.15'!D78</f>
        <v>平层</v>
      </c>
      <c r="G100" s="197">
        <f t="shared" si="31"/>
        <v>1</v>
      </c>
      <c r="H100" s="995" t="str">
        <f>'7.15'!E78</f>
        <v>南北</v>
      </c>
      <c r="I100" s="197">
        <f t="shared" si="32"/>
        <v>1</v>
      </c>
      <c r="J100" s="995"/>
      <c r="K100" s="197">
        <f t="shared" si="33"/>
        <v>1</v>
      </c>
      <c r="L100" s="995"/>
      <c r="M100" s="197">
        <f t="shared" si="34"/>
        <v>1</v>
      </c>
      <c r="N100" s="995"/>
      <c r="O100" s="197">
        <f t="shared" si="35"/>
        <v>1</v>
      </c>
      <c r="P100" s="995"/>
      <c r="Q100" s="197">
        <f t="shared" si="36"/>
        <v>1</v>
      </c>
      <c r="R100" s="991">
        <f t="shared" ca="1" si="41"/>
        <v>16735</v>
      </c>
      <c r="S100" s="552">
        <f t="shared" ca="1" si="42"/>
        <v>1812066</v>
      </c>
      <c r="T100" s="2010">
        <f t="shared" ca="1" si="43"/>
        <v>181</v>
      </c>
      <c r="U100" s="2305">
        <f t="shared" si="37"/>
        <v>0</v>
      </c>
      <c r="V100" s="2305">
        <f t="shared" si="38"/>
        <v>0</v>
      </c>
      <c r="W100" s="2300"/>
      <c r="X100" s="2305">
        <f t="shared" si="39"/>
        <v>0</v>
      </c>
      <c r="Y100" s="2305">
        <f t="shared" si="40"/>
        <v>0</v>
      </c>
      <c r="Z100" s="2300"/>
    </row>
    <row r="101" spans="1:26">
      <c r="A101" s="292" t="str">
        <f>'7.15'!B79</f>
        <v>6幢2单元1001室</v>
      </c>
      <c r="B101" s="207">
        <f>'7.17'!G79</f>
        <v>108.28</v>
      </c>
      <c r="C101" s="197">
        <f t="shared" si="29"/>
        <v>1.01</v>
      </c>
      <c r="D101" s="3204" t="s">
        <v>7609</v>
      </c>
      <c r="E101" s="197">
        <f t="shared" si="30"/>
        <v>1.04</v>
      </c>
      <c r="F101" s="995" t="str">
        <f>'7.15'!D79</f>
        <v>平层</v>
      </c>
      <c r="G101" s="197">
        <f t="shared" si="31"/>
        <v>1</v>
      </c>
      <c r="H101" s="995" t="str">
        <f>'7.15'!E79</f>
        <v>南北</v>
      </c>
      <c r="I101" s="197">
        <f t="shared" si="32"/>
        <v>1</v>
      </c>
      <c r="J101" s="995"/>
      <c r="K101" s="197">
        <f t="shared" si="33"/>
        <v>1</v>
      </c>
      <c r="L101" s="995"/>
      <c r="M101" s="197">
        <f t="shared" si="34"/>
        <v>1</v>
      </c>
      <c r="N101" s="995"/>
      <c r="O101" s="197">
        <f t="shared" si="35"/>
        <v>1</v>
      </c>
      <c r="P101" s="995"/>
      <c r="Q101" s="197">
        <f t="shared" si="36"/>
        <v>1</v>
      </c>
      <c r="R101" s="991">
        <f t="shared" ca="1" si="41"/>
        <v>16735</v>
      </c>
      <c r="S101" s="552">
        <f t="shared" ca="1" si="42"/>
        <v>1812066</v>
      </c>
      <c r="T101" s="2010">
        <f t="shared" ca="1" si="43"/>
        <v>181</v>
      </c>
      <c r="U101" s="2305">
        <f t="shared" si="37"/>
        <v>0</v>
      </c>
      <c r="V101" s="2305">
        <f t="shared" si="38"/>
        <v>0</v>
      </c>
      <c r="W101" s="2300"/>
      <c r="X101" s="2305">
        <f t="shared" si="39"/>
        <v>0</v>
      </c>
      <c r="Y101" s="2305">
        <f t="shared" si="40"/>
        <v>0</v>
      </c>
      <c r="Z101" s="2300"/>
    </row>
    <row r="102" spans="1:26">
      <c r="A102" s="292" t="str">
        <f>'7.15'!B80</f>
        <v>6幢2单元1101室</v>
      </c>
      <c r="B102" s="207">
        <f>'7.17'!G80</f>
        <v>108.28</v>
      </c>
      <c r="C102" s="197">
        <f t="shared" si="29"/>
        <v>1.01</v>
      </c>
      <c r="D102" s="3204" t="s">
        <v>7609</v>
      </c>
      <c r="E102" s="197">
        <f t="shared" si="30"/>
        <v>1.04</v>
      </c>
      <c r="F102" s="995" t="str">
        <f>'7.15'!D80</f>
        <v>平层</v>
      </c>
      <c r="G102" s="197">
        <f t="shared" si="31"/>
        <v>1</v>
      </c>
      <c r="H102" s="995" t="str">
        <f>'7.15'!E80</f>
        <v>南北</v>
      </c>
      <c r="I102" s="197">
        <f t="shared" si="32"/>
        <v>1</v>
      </c>
      <c r="J102" s="995"/>
      <c r="K102" s="197">
        <f t="shared" si="33"/>
        <v>1</v>
      </c>
      <c r="L102" s="995"/>
      <c r="M102" s="197">
        <f t="shared" si="34"/>
        <v>1</v>
      </c>
      <c r="N102" s="995"/>
      <c r="O102" s="197">
        <f t="shared" si="35"/>
        <v>1</v>
      </c>
      <c r="P102" s="995"/>
      <c r="Q102" s="197">
        <f t="shared" si="36"/>
        <v>1</v>
      </c>
      <c r="R102" s="991">
        <f t="shared" ca="1" si="41"/>
        <v>16735</v>
      </c>
      <c r="S102" s="552">
        <f t="shared" ca="1" si="42"/>
        <v>1812066</v>
      </c>
      <c r="T102" s="2010">
        <f t="shared" ca="1" si="43"/>
        <v>181</v>
      </c>
      <c r="U102" s="2305">
        <f t="shared" si="37"/>
        <v>0</v>
      </c>
      <c r="V102" s="2305">
        <f t="shared" si="38"/>
        <v>0</v>
      </c>
      <c r="W102" s="2300"/>
      <c r="X102" s="2305">
        <f t="shared" si="39"/>
        <v>0</v>
      </c>
      <c r="Y102" s="2305">
        <f t="shared" si="40"/>
        <v>0</v>
      </c>
      <c r="Z102" s="2300"/>
    </row>
    <row r="103" spans="1:26">
      <c r="A103" s="292" t="str">
        <f>'7.15'!B81</f>
        <v>6幢2单元1201室</v>
      </c>
      <c r="B103" s="207">
        <f>'7.17'!G81</f>
        <v>108.28</v>
      </c>
      <c r="C103" s="197">
        <f t="shared" si="29"/>
        <v>1.01</v>
      </c>
      <c r="D103" s="3204" t="s">
        <v>7609</v>
      </c>
      <c r="E103" s="197">
        <f t="shared" si="30"/>
        <v>1.04</v>
      </c>
      <c r="F103" s="995" t="str">
        <f>'7.15'!D81</f>
        <v>平层</v>
      </c>
      <c r="G103" s="197">
        <f t="shared" si="31"/>
        <v>1</v>
      </c>
      <c r="H103" s="995" t="str">
        <f>'7.15'!E81</f>
        <v>南北</v>
      </c>
      <c r="I103" s="197">
        <f t="shared" si="32"/>
        <v>1</v>
      </c>
      <c r="J103" s="995"/>
      <c r="K103" s="197">
        <f t="shared" si="33"/>
        <v>1</v>
      </c>
      <c r="L103" s="995"/>
      <c r="M103" s="197">
        <f t="shared" si="34"/>
        <v>1</v>
      </c>
      <c r="N103" s="995"/>
      <c r="O103" s="197">
        <f t="shared" si="35"/>
        <v>1</v>
      </c>
      <c r="P103" s="995"/>
      <c r="Q103" s="197">
        <f t="shared" si="36"/>
        <v>1</v>
      </c>
      <c r="R103" s="991">
        <f t="shared" ca="1" si="41"/>
        <v>16735</v>
      </c>
      <c r="S103" s="552">
        <f t="shared" ca="1" si="42"/>
        <v>1812066</v>
      </c>
      <c r="T103" s="2010">
        <f t="shared" ca="1" si="43"/>
        <v>181</v>
      </c>
      <c r="U103" s="2305">
        <f t="shared" si="37"/>
        <v>0</v>
      </c>
      <c r="V103" s="2305">
        <f t="shared" si="38"/>
        <v>0</v>
      </c>
      <c r="W103" s="2300"/>
      <c r="X103" s="2305">
        <f t="shared" si="39"/>
        <v>0</v>
      </c>
      <c r="Y103" s="2305">
        <f t="shared" si="40"/>
        <v>0</v>
      </c>
      <c r="Z103" s="2300"/>
    </row>
    <row r="104" spans="1:26">
      <c r="A104" s="292" t="str">
        <f>'7.15'!B82</f>
        <v>6幢2单元1301室</v>
      </c>
      <c r="B104" s="207">
        <f>'7.17'!G82</f>
        <v>108.28</v>
      </c>
      <c r="C104" s="197">
        <f t="shared" si="29"/>
        <v>1.01</v>
      </c>
      <c r="D104" s="3204" t="s">
        <v>7608</v>
      </c>
      <c r="E104" s="197">
        <f t="shared" si="30"/>
        <v>1.02</v>
      </c>
      <c r="F104" s="995" t="str">
        <f>'7.15'!D82</f>
        <v>平层</v>
      </c>
      <c r="G104" s="197">
        <f t="shared" si="31"/>
        <v>1</v>
      </c>
      <c r="H104" s="995" t="str">
        <f>'7.15'!E82</f>
        <v>南北</v>
      </c>
      <c r="I104" s="197">
        <f t="shared" si="32"/>
        <v>1</v>
      </c>
      <c r="J104" s="995"/>
      <c r="K104" s="197">
        <f t="shared" si="33"/>
        <v>1</v>
      </c>
      <c r="L104" s="995"/>
      <c r="M104" s="197">
        <f t="shared" si="34"/>
        <v>1</v>
      </c>
      <c r="N104" s="995"/>
      <c r="O104" s="197">
        <f t="shared" si="35"/>
        <v>1</v>
      </c>
      <c r="P104" s="995"/>
      <c r="Q104" s="197">
        <f t="shared" si="36"/>
        <v>1</v>
      </c>
      <c r="R104" s="991">
        <f t="shared" ca="1" si="41"/>
        <v>16413</v>
      </c>
      <c r="S104" s="552">
        <f t="shared" ca="1" si="42"/>
        <v>1777200</v>
      </c>
      <c r="T104" s="2010">
        <f t="shared" ca="1" si="43"/>
        <v>178</v>
      </c>
      <c r="U104" s="2305">
        <f t="shared" si="37"/>
        <v>0</v>
      </c>
      <c r="V104" s="2305">
        <f t="shared" si="38"/>
        <v>0</v>
      </c>
      <c r="W104" s="2300"/>
      <c r="X104" s="2305">
        <f t="shared" si="39"/>
        <v>0</v>
      </c>
      <c r="Y104" s="2305">
        <f t="shared" si="40"/>
        <v>0</v>
      </c>
      <c r="Z104" s="2300"/>
    </row>
    <row r="105" spans="1:26">
      <c r="A105" s="292" t="str">
        <f>'7.15'!B83</f>
        <v>6幢2单元1401室</v>
      </c>
      <c r="B105" s="207">
        <f>'7.17'!G83</f>
        <v>108.28</v>
      </c>
      <c r="C105" s="197">
        <f t="shared" si="29"/>
        <v>1.01</v>
      </c>
      <c r="D105" s="3204" t="s">
        <v>7608</v>
      </c>
      <c r="E105" s="197">
        <f t="shared" si="30"/>
        <v>1.02</v>
      </c>
      <c r="F105" s="995" t="str">
        <f>'7.15'!D83</f>
        <v>平层</v>
      </c>
      <c r="G105" s="197">
        <f t="shared" si="31"/>
        <v>1</v>
      </c>
      <c r="H105" s="995" t="str">
        <f>'7.15'!E83</f>
        <v>南北</v>
      </c>
      <c r="I105" s="197">
        <f t="shared" si="32"/>
        <v>1</v>
      </c>
      <c r="J105" s="995"/>
      <c r="K105" s="197">
        <f t="shared" si="33"/>
        <v>1</v>
      </c>
      <c r="L105" s="995"/>
      <c r="M105" s="197">
        <f t="shared" si="34"/>
        <v>1</v>
      </c>
      <c r="N105" s="995"/>
      <c r="O105" s="197">
        <f t="shared" si="35"/>
        <v>1</v>
      </c>
      <c r="P105" s="995"/>
      <c r="Q105" s="197">
        <f t="shared" si="36"/>
        <v>1</v>
      </c>
      <c r="R105" s="991">
        <f t="shared" ca="1" si="41"/>
        <v>16413</v>
      </c>
      <c r="S105" s="552">
        <f t="shared" ca="1" si="42"/>
        <v>1777200</v>
      </c>
      <c r="T105" s="2010">
        <f t="shared" ca="1" si="43"/>
        <v>178</v>
      </c>
      <c r="U105" s="2305">
        <f t="shared" si="37"/>
        <v>0</v>
      </c>
      <c r="V105" s="2305">
        <f t="shared" si="38"/>
        <v>0</v>
      </c>
      <c r="W105" s="2300"/>
      <c r="X105" s="2305">
        <f t="shared" si="39"/>
        <v>0</v>
      </c>
      <c r="Y105" s="2305">
        <f t="shared" si="40"/>
        <v>0</v>
      </c>
      <c r="Z105" s="2300"/>
    </row>
    <row r="106" spans="1:26">
      <c r="A106" s="292" t="str">
        <f>'7.15'!B84</f>
        <v>6幢2单元1501室</v>
      </c>
      <c r="B106" s="207">
        <f>'7.17'!G84</f>
        <v>108.28</v>
      </c>
      <c r="C106" s="197">
        <f t="shared" si="29"/>
        <v>1.01</v>
      </c>
      <c r="D106" s="3204" t="s">
        <v>7608</v>
      </c>
      <c r="E106" s="197">
        <f t="shared" si="30"/>
        <v>1.02</v>
      </c>
      <c r="F106" s="995" t="str">
        <f>'7.15'!D84</f>
        <v>平层</v>
      </c>
      <c r="G106" s="197">
        <f t="shared" si="31"/>
        <v>1</v>
      </c>
      <c r="H106" s="995" t="str">
        <f>'7.15'!E84</f>
        <v>南北</v>
      </c>
      <c r="I106" s="197">
        <f t="shared" si="32"/>
        <v>1</v>
      </c>
      <c r="J106" s="995"/>
      <c r="K106" s="197">
        <f t="shared" si="33"/>
        <v>1</v>
      </c>
      <c r="L106" s="995"/>
      <c r="M106" s="197">
        <f t="shared" si="34"/>
        <v>1</v>
      </c>
      <c r="N106" s="995"/>
      <c r="O106" s="197">
        <f t="shared" si="35"/>
        <v>1</v>
      </c>
      <c r="P106" s="995"/>
      <c r="Q106" s="197">
        <f t="shared" si="36"/>
        <v>1</v>
      </c>
      <c r="R106" s="991">
        <f t="shared" ca="1" si="41"/>
        <v>16413</v>
      </c>
      <c r="S106" s="552">
        <f t="shared" ca="1" si="42"/>
        <v>1777200</v>
      </c>
      <c r="T106" s="2010">
        <f t="shared" ca="1" si="43"/>
        <v>178</v>
      </c>
      <c r="U106" s="2305">
        <f t="shared" si="37"/>
        <v>0</v>
      </c>
      <c r="V106" s="2305">
        <f t="shared" si="38"/>
        <v>0</v>
      </c>
      <c r="W106" s="2300"/>
      <c r="X106" s="2305">
        <f t="shared" si="39"/>
        <v>0</v>
      </c>
      <c r="Y106" s="2305">
        <f t="shared" si="40"/>
        <v>0</v>
      </c>
      <c r="Z106" s="2300"/>
    </row>
    <row r="107" spans="1:26">
      <c r="A107" s="292" t="str">
        <f>'7.15'!B85</f>
        <v>6幢2单元1601室</v>
      </c>
      <c r="B107" s="207">
        <f>'7.17'!G85</f>
        <v>108.28</v>
      </c>
      <c r="C107" s="197">
        <f t="shared" si="29"/>
        <v>1.01</v>
      </c>
      <c r="D107" s="3204" t="s">
        <v>7608</v>
      </c>
      <c r="E107" s="197">
        <f t="shared" si="30"/>
        <v>1.02</v>
      </c>
      <c r="F107" s="995" t="str">
        <f>'7.15'!D85</f>
        <v>平层</v>
      </c>
      <c r="G107" s="197">
        <f t="shared" si="31"/>
        <v>1</v>
      </c>
      <c r="H107" s="995" t="str">
        <f>'7.15'!E85</f>
        <v>南北</v>
      </c>
      <c r="I107" s="197">
        <f t="shared" si="32"/>
        <v>1</v>
      </c>
      <c r="J107" s="995"/>
      <c r="K107" s="197">
        <f t="shared" si="33"/>
        <v>1</v>
      </c>
      <c r="L107" s="995"/>
      <c r="M107" s="197">
        <f t="shared" si="34"/>
        <v>1</v>
      </c>
      <c r="N107" s="995"/>
      <c r="O107" s="197">
        <f t="shared" si="35"/>
        <v>1</v>
      </c>
      <c r="P107" s="995"/>
      <c r="Q107" s="197">
        <f t="shared" si="36"/>
        <v>1</v>
      </c>
      <c r="R107" s="991">
        <f t="shared" ca="1" si="41"/>
        <v>16413</v>
      </c>
      <c r="S107" s="552">
        <f t="shared" ca="1" si="42"/>
        <v>1777200</v>
      </c>
      <c r="T107" s="2010">
        <f t="shared" ca="1" si="43"/>
        <v>178</v>
      </c>
      <c r="U107" s="2305">
        <f t="shared" si="37"/>
        <v>0</v>
      </c>
      <c r="V107" s="2305">
        <f t="shared" si="38"/>
        <v>0</v>
      </c>
      <c r="W107" s="2300"/>
      <c r="X107" s="2305">
        <f t="shared" si="39"/>
        <v>0</v>
      </c>
      <c r="Y107" s="2305">
        <f t="shared" si="40"/>
        <v>0</v>
      </c>
      <c r="Z107" s="2300"/>
    </row>
    <row r="108" spans="1:26">
      <c r="A108" s="292" t="str">
        <f>'7.15'!B86</f>
        <v>6幢2单元1701室</v>
      </c>
      <c r="B108" s="207">
        <f>'7.17'!G86</f>
        <v>93.92</v>
      </c>
      <c r="C108" s="197">
        <f t="shared" si="29"/>
        <v>1</v>
      </c>
      <c r="D108" s="3204" t="s">
        <v>7608</v>
      </c>
      <c r="E108" s="197">
        <f t="shared" si="30"/>
        <v>1.02</v>
      </c>
      <c r="F108" s="995" t="str">
        <f>'7.15'!D86</f>
        <v>平层</v>
      </c>
      <c r="G108" s="197">
        <f t="shared" si="31"/>
        <v>1</v>
      </c>
      <c r="H108" s="995" t="str">
        <f>'7.15'!E86</f>
        <v>南北</v>
      </c>
      <c r="I108" s="197">
        <f t="shared" si="32"/>
        <v>1</v>
      </c>
      <c r="J108" s="995"/>
      <c r="K108" s="197">
        <f t="shared" si="33"/>
        <v>1</v>
      </c>
      <c r="L108" s="995"/>
      <c r="M108" s="197">
        <f t="shared" si="34"/>
        <v>1</v>
      </c>
      <c r="N108" s="995"/>
      <c r="O108" s="197">
        <f t="shared" si="35"/>
        <v>1</v>
      </c>
      <c r="P108" s="995"/>
      <c r="Q108" s="197">
        <f t="shared" si="36"/>
        <v>1</v>
      </c>
      <c r="R108" s="991">
        <f t="shared" ca="1" si="41"/>
        <v>16251</v>
      </c>
      <c r="S108" s="552">
        <f t="shared" ca="1" si="42"/>
        <v>1526294</v>
      </c>
      <c r="T108" s="2010">
        <f t="shared" ca="1" si="43"/>
        <v>153</v>
      </c>
      <c r="U108" s="2305">
        <f t="shared" si="37"/>
        <v>0</v>
      </c>
      <c r="V108" s="2305">
        <f t="shared" si="38"/>
        <v>0</v>
      </c>
      <c r="W108" s="2300"/>
      <c r="X108" s="2305">
        <f t="shared" si="39"/>
        <v>0</v>
      </c>
      <c r="Y108" s="2305">
        <f t="shared" si="40"/>
        <v>0</v>
      </c>
      <c r="Z108" s="2300"/>
    </row>
    <row r="109" spans="1:26">
      <c r="A109" s="292" t="str">
        <f>'7.15'!B87</f>
        <v>6幢2单元202室</v>
      </c>
      <c r="B109" s="207">
        <f>'7.17'!G87</f>
        <v>87.95</v>
      </c>
      <c r="C109" s="197">
        <f t="shared" si="29"/>
        <v>1</v>
      </c>
      <c r="D109" s="995" t="s">
        <v>7606</v>
      </c>
      <c r="E109" s="197">
        <f t="shared" si="30"/>
        <v>1</v>
      </c>
      <c r="F109" s="995" t="str">
        <f>'7.15'!D87</f>
        <v>平层</v>
      </c>
      <c r="G109" s="197">
        <f t="shared" si="31"/>
        <v>1</v>
      </c>
      <c r="H109" s="995" t="str">
        <f>'7.15'!E87</f>
        <v>南北</v>
      </c>
      <c r="I109" s="197">
        <f t="shared" si="32"/>
        <v>1</v>
      </c>
      <c r="J109" s="995"/>
      <c r="K109" s="197">
        <f t="shared" si="33"/>
        <v>1</v>
      </c>
      <c r="L109" s="995"/>
      <c r="M109" s="197">
        <f t="shared" si="34"/>
        <v>1</v>
      </c>
      <c r="N109" s="995"/>
      <c r="O109" s="197">
        <f t="shared" si="35"/>
        <v>1</v>
      </c>
      <c r="P109" s="995"/>
      <c r="Q109" s="197">
        <f t="shared" si="36"/>
        <v>1</v>
      </c>
      <c r="R109" s="991">
        <f t="shared" ca="1" si="41"/>
        <v>15932</v>
      </c>
      <c r="S109" s="552">
        <f t="shared" ca="1" si="42"/>
        <v>1401219</v>
      </c>
      <c r="T109" s="2010">
        <f t="shared" ca="1" si="43"/>
        <v>140</v>
      </c>
      <c r="U109" s="2305">
        <f t="shared" si="37"/>
        <v>0</v>
      </c>
      <c r="V109" s="2305">
        <f t="shared" si="38"/>
        <v>0</v>
      </c>
      <c r="W109" s="2300"/>
      <c r="X109" s="2305">
        <f t="shared" si="39"/>
        <v>0</v>
      </c>
      <c r="Y109" s="2305">
        <f t="shared" si="40"/>
        <v>0</v>
      </c>
      <c r="Z109" s="2300"/>
    </row>
    <row r="110" spans="1:26">
      <c r="A110" s="292" t="str">
        <f>'7.15'!B88</f>
        <v>6幢2单元302室</v>
      </c>
      <c r="B110" s="207">
        <f>'7.17'!G88</f>
        <v>87.95</v>
      </c>
      <c r="C110" s="197">
        <f t="shared" si="29"/>
        <v>1</v>
      </c>
      <c r="D110" s="995" t="s">
        <v>7606</v>
      </c>
      <c r="E110" s="197">
        <f t="shared" si="30"/>
        <v>1</v>
      </c>
      <c r="F110" s="995" t="str">
        <f>'7.15'!D88</f>
        <v>平层</v>
      </c>
      <c r="G110" s="197">
        <f t="shared" si="31"/>
        <v>1</v>
      </c>
      <c r="H110" s="995" t="str">
        <f>'7.15'!E88</f>
        <v>南北</v>
      </c>
      <c r="I110" s="197">
        <f t="shared" si="32"/>
        <v>1</v>
      </c>
      <c r="J110" s="995"/>
      <c r="K110" s="197">
        <f t="shared" si="33"/>
        <v>1</v>
      </c>
      <c r="L110" s="995"/>
      <c r="M110" s="197">
        <f t="shared" si="34"/>
        <v>1</v>
      </c>
      <c r="N110" s="995"/>
      <c r="O110" s="197">
        <f t="shared" si="35"/>
        <v>1</v>
      </c>
      <c r="P110" s="995"/>
      <c r="Q110" s="197">
        <f t="shared" si="36"/>
        <v>1</v>
      </c>
      <c r="R110" s="991">
        <f t="shared" ca="1" si="41"/>
        <v>15932</v>
      </c>
      <c r="S110" s="552">
        <f t="shared" ca="1" si="42"/>
        <v>1401219</v>
      </c>
      <c r="T110" s="2010">
        <f t="shared" ca="1" si="43"/>
        <v>140</v>
      </c>
      <c r="U110" s="2305">
        <f t="shared" si="37"/>
        <v>0</v>
      </c>
      <c r="V110" s="2305">
        <f t="shared" si="38"/>
        <v>0</v>
      </c>
      <c r="W110" s="2300"/>
      <c r="X110" s="2305">
        <f t="shared" si="39"/>
        <v>0</v>
      </c>
      <c r="Y110" s="2305">
        <f t="shared" si="40"/>
        <v>0</v>
      </c>
      <c r="Z110" s="2300"/>
    </row>
    <row r="111" spans="1:26">
      <c r="A111" s="292" t="str">
        <f>'7.15'!B89</f>
        <v>6幢2单元402室</v>
      </c>
      <c r="B111" s="207">
        <f>'7.17'!G89</f>
        <v>87.95</v>
      </c>
      <c r="C111" s="197">
        <f t="shared" si="29"/>
        <v>1</v>
      </c>
      <c r="D111" s="995" t="s">
        <v>7606</v>
      </c>
      <c r="E111" s="197">
        <f t="shared" si="30"/>
        <v>1</v>
      </c>
      <c r="F111" s="995" t="str">
        <f>'7.15'!D89</f>
        <v>平层</v>
      </c>
      <c r="G111" s="197">
        <f t="shared" si="31"/>
        <v>1</v>
      </c>
      <c r="H111" s="995" t="str">
        <f>'7.15'!E89</f>
        <v>南北</v>
      </c>
      <c r="I111" s="197">
        <f t="shared" si="32"/>
        <v>1</v>
      </c>
      <c r="J111" s="995"/>
      <c r="K111" s="197">
        <f t="shared" si="33"/>
        <v>1</v>
      </c>
      <c r="L111" s="995"/>
      <c r="M111" s="197">
        <f t="shared" si="34"/>
        <v>1</v>
      </c>
      <c r="N111" s="995"/>
      <c r="O111" s="197">
        <f t="shared" si="35"/>
        <v>1</v>
      </c>
      <c r="P111" s="995"/>
      <c r="Q111" s="197">
        <f t="shared" si="36"/>
        <v>1</v>
      </c>
      <c r="R111" s="991">
        <f t="shared" ca="1" si="41"/>
        <v>15932</v>
      </c>
      <c r="S111" s="552">
        <f t="shared" ca="1" si="42"/>
        <v>1401219</v>
      </c>
      <c r="T111" s="2010">
        <f t="shared" ca="1" si="43"/>
        <v>140</v>
      </c>
      <c r="U111" s="2305">
        <f t="shared" si="37"/>
        <v>0</v>
      </c>
      <c r="V111" s="2305">
        <f t="shared" si="38"/>
        <v>0</v>
      </c>
      <c r="W111" s="2300"/>
      <c r="X111" s="2305">
        <f t="shared" si="39"/>
        <v>0</v>
      </c>
      <c r="Y111" s="2305">
        <f t="shared" si="40"/>
        <v>0</v>
      </c>
      <c r="Z111" s="2300"/>
    </row>
    <row r="112" spans="1:26">
      <c r="A112" s="292" t="str">
        <f>'7.15'!B90</f>
        <v>6幢2单元502室</v>
      </c>
      <c r="B112" s="207">
        <f>'7.17'!G90</f>
        <v>87.95</v>
      </c>
      <c r="C112" s="197">
        <f t="shared" si="29"/>
        <v>1</v>
      </c>
      <c r="D112" s="995" t="s">
        <v>7606</v>
      </c>
      <c r="E112" s="197">
        <f t="shared" si="30"/>
        <v>1</v>
      </c>
      <c r="F112" s="995" t="str">
        <f>'7.15'!D90</f>
        <v>平层</v>
      </c>
      <c r="G112" s="197">
        <f t="shared" si="31"/>
        <v>1</v>
      </c>
      <c r="H112" s="995" t="str">
        <f>'7.15'!E90</f>
        <v>南北</v>
      </c>
      <c r="I112" s="197">
        <f t="shared" si="32"/>
        <v>1</v>
      </c>
      <c r="J112" s="995"/>
      <c r="K112" s="197">
        <f t="shared" si="33"/>
        <v>1</v>
      </c>
      <c r="L112" s="995"/>
      <c r="M112" s="197">
        <f t="shared" si="34"/>
        <v>1</v>
      </c>
      <c r="N112" s="995"/>
      <c r="O112" s="197">
        <f t="shared" si="35"/>
        <v>1</v>
      </c>
      <c r="P112" s="995"/>
      <c r="Q112" s="197">
        <f t="shared" si="36"/>
        <v>1</v>
      </c>
      <c r="R112" s="991">
        <f t="shared" ca="1" si="41"/>
        <v>15932</v>
      </c>
      <c r="S112" s="552">
        <f t="shared" ca="1" si="42"/>
        <v>1401219</v>
      </c>
      <c r="T112" s="2010">
        <f t="shared" ca="1" si="43"/>
        <v>140</v>
      </c>
      <c r="U112" s="2305">
        <f t="shared" si="37"/>
        <v>0</v>
      </c>
      <c r="V112" s="2305">
        <f t="shared" si="38"/>
        <v>0</v>
      </c>
      <c r="W112" s="2300"/>
      <c r="X112" s="2305">
        <f t="shared" si="39"/>
        <v>0</v>
      </c>
      <c r="Y112" s="2305">
        <f t="shared" si="40"/>
        <v>0</v>
      </c>
      <c r="Z112" s="2300"/>
    </row>
    <row r="113" spans="1:26">
      <c r="A113" s="292" t="str">
        <f>'7.15'!B91</f>
        <v>6幢2单元602室</v>
      </c>
      <c r="B113" s="207">
        <f>'7.17'!G91</f>
        <v>87.95</v>
      </c>
      <c r="C113" s="197">
        <f t="shared" si="29"/>
        <v>1</v>
      </c>
      <c r="D113" s="995" t="s">
        <v>7606</v>
      </c>
      <c r="E113" s="197">
        <f t="shared" si="30"/>
        <v>1</v>
      </c>
      <c r="F113" s="995" t="str">
        <f>'7.15'!D91</f>
        <v>平层</v>
      </c>
      <c r="G113" s="197">
        <f t="shared" si="31"/>
        <v>1</v>
      </c>
      <c r="H113" s="995" t="str">
        <f>'7.15'!E91</f>
        <v>南北</v>
      </c>
      <c r="I113" s="197">
        <f t="shared" si="32"/>
        <v>1</v>
      </c>
      <c r="J113" s="995"/>
      <c r="K113" s="197">
        <f t="shared" si="33"/>
        <v>1</v>
      </c>
      <c r="L113" s="995"/>
      <c r="M113" s="197">
        <f t="shared" si="34"/>
        <v>1</v>
      </c>
      <c r="N113" s="995"/>
      <c r="O113" s="197">
        <f t="shared" si="35"/>
        <v>1</v>
      </c>
      <c r="P113" s="995"/>
      <c r="Q113" s="197">
        <f t="shared" si="36"/>
        <v>1</v>
      </c>
      <c r="R113" s="991">
        <f t="shared" ca="1" si="41"/>
        <v>15932</v>
      </c>
      <c r="S113" s="552">
        <f t="shared" ca="1" si="42"/>
        <v>1401219</v>
      </c>
      <c r="T113" s="2010">
        <f t="shared" ca="1" si="43"/>
        <v>140</v>
      </c>
      <c r="U113" s="2305">
        <f t="shared" si="37"/>
        <v>0</v>
      </c>
      <c r="V113" s="2305">
        <f t="shared" si="38"/>
        <v>0</v>
      </c>
      <c r="W113" s="2300"/>
      <c r="X113" s="2305">
        <f t="shared" si="39"/>
        <v>0</v>
      </c>
      <c r="Y113" s="2305">
        <f t="shared" si="40"/>
        <v>0</v>
      </c>
      <c r="Z113" s="2300"/>
    </row>
    <row r="114" spans="1:26">
      <c r="A114" s="292" t="str">
        <f>'7.15'!B92</f>
        <v>6幢2单元702室</v>
      </c>
      <c r="B114" s="207">
        <f>'7.17'!G92</f>
        <v>87.95</v>
      </c>
      <c r="C114" s="197">
        <f t="shared" si="29"/>
        <v>1</v>
      </c>
      <c r="D114" s="3204" t="s">
        <v>7609</v>
      </c>
      <c r="E114" s="197">
        <f t="shared" si="30"/>
        <v>1.04</v>
      </c>
      <c r="F114" s="995" t="str">
        <f>'7.15'!D92</f>
        <v>平层</v>
      </c>
      <c r="G114" s="197">
        <f t="shared" si="31"/>
        <v>1</v>
      </c>
      <c r="H114" s="995" t="str">
        <f>'7.15'!E92</f>
        <v>南北</v>
      </c>
      <c r="I114" s="197">
        <f t="shared" si="32"/>
        <v>1</v>
      </c>
      <c r="J114" s="995"/>
      <c r="K114" s="197">
        <f t="shared" si="33"/>
        <v>1</v>
      </c>
      <c r="L114" s="995"/>
      <c r="M114" s="197">
        <f t="shared" si="34"/>
        <v>1</v>
      </c>
      <c r="N114" s="995"/>
      <c r="O114" s="197">
        <f t="shared" si="35"/>
        <v>1</v>
      </c>
      <c r="P114" s="995"/>
      <c r="Q114" s="197">
        <f t="shared" si="36"/>
        <v>1</v>
      </c>
      <c r="R114" s="991">
        <f t="shared" ca="1" si="41"/>
        <v>16569</v>
      </c>
      <c r="S114" s="552">
        <f t="shared" ca="1" si="42"/>
        <v>1457244</v>
      </c>
      <c r="T114" s="2010">
        <f t="shared" ca="1" si="43"/>
        <v>146</v>
      </c>
      <c r="U114" s="2305">
        <f t="shared" si="37"/>
        <v>0</v>
      </c>
      <c r="V114" s="2305">
        <f t="shared" si="38"/>
        <v>0</v>
      </c>
      <c r="W114" s="2300"/>
      <c r="X114" s="2305">
        <f t="shared" si="39"/>
        <v>0</v>
      </c>
      <c r="Y114" s="2305">
        <f t="shared" si="40"/>
        <v>0</v>
      </c>
      <c r="Z114" s="2300"/>
    </row>
    <row r="115" spans="1:26">
      <c r="A115" s="292" t="str">
        <f>'7.15'!B93</f>
        <v>6幢2单元802室</v>
      </c>
      <c r="B115" s="207">
        <f>'7.17'!G93</f>
        <v>87.95</v>
      </c>
      <c r="C115" s="197">
        <f t="shared" si="29"/>
        <v>1</v>
      </c>
      <c r="D115" s="3204" t="s">
        <v>7609</v>
      </c>
      <c r="E115" s="197">
        <f t="shared" si="30"/>
        <v>1.04</v>
      </c>
      <c r="F115" s="995" t="str">
        <f>'7.15'!D93</f>
        <v>平层</v>
      </c>
      <c r="G115" s="197">
        <f t="shared" si="31"/>
        <v>1</v>
      </c>
      <c r="H115" s="995" t="str">
        <f>'7.15'!E93</f>
        <v>南北</v>
      </c>
      <c r="I115" s="197">
        <f t="shared" si="32"/>
        <v>1</v>
      </c>
      <c r="J115" s="995"/>
      <c r="K115" s="197">
        <f t="shared" si="33"/>
        <v>1</v>
      </c>
      <c r="L115" s="995"/>
      <c r="M115" s="197">
        <f t="shared" si="34"/>
        <v>1</v>
      </c>
      <c r="N115" s="995"/>
      <c r="O115" s="197">
        <f t="shared" si="35"/>
        <v>1</v>
      </c>
      <c r="P115" s="995"/>
      <c r="Q115" s="197">
        <f t="shared" si="36"/>
        <v>1</v>
      </c>
      <c r="R115" s="991">
        <f t="shared" ca="1" si="41"/>
        <v>16569</v>
      </c>
      <c r="S115" s="552">
        <f t="shared" ca="1" si="42"/>
        <v>1457244</v>
      </c>
      <c r="T115" s="2010">
        <f t="shared" ca="1" si="43"/>
        <v>146</v>
      </c>
      <c r="U115" s="2305">
        <f t="shared" si="37"/>
        <v>0</v>
      </c>
      <c r="V115" s="2305">
        <f t="shared" si="38"/>
        <v>0</v>
      </c>
      <c r="W115" s="2300"/>
      <c r="X115" s="2305">
        <f t="shared" si="39"/>
        <v>0</v>
      </c>
      <c r="Y115" s="2305">
        <f t="shared" si="40"/>
        <v>0</v>
      </c>
      <c r="Z115" s="2300"/>
    </row>
    <row r="116" spans="1:26">
      <c r="A116" s="292" t="str">
        <f>'7.15'!B94</f>
        <v>6幢2单元902室</v>
      </c>
      <c r="B116" s="207">
        <f>'7.17'!G94</f>
        <v>87.95</v>
      </c>
      <c r="C116" s="197">
        <f t="shared" si="29"/>
        <v>1</v>
      </c>
      <c r="D116" s="3204" t="s">
        <v>7609</v>
      </c>
      <c r="E116" s="197">
        <f t="shared" si="30"/>
        <v>1.04</v>
      </c>
      <c r="F116" s="995" t="str">
        <f>'7.15'!D94</f>
        <v>平层</v>
      </c>
      <c r="G116" s="197">
        <f t="shared" si="31"/>
        <v>1</v>
      </c>
      <c r="H116" s="995" t="str">
        <f>'7.15'!E94</f>
        <v>南北</v>
      </c>
      <c r="I116" s="197">
        <f t="shared" si="32"/>
        <v>1</v>
      </c>
      <c r="J116" s="995"/>
      <c r="K116" s="197">
        <f t="shared" si="33"/>
        <v>1</v>
      </c>
      <c r="L116" s="995"/>
      <c r="M116" s="197">
        <f t="shared" si="34"/>
        <v>1</v>
      </c>
      <c r="N116" s="995"/>
      <c r="O116" s="197">
        <f t="shared" si="35"/>
        <v>1</v>
      </c>
      <c r="P116" s="995"/>
      <c r="Q116" s="197">
        <f t="shared" si="36"/>
        <v>1</v>
      </c>
      <c r="R116" s="991">
        <f t="shared" ca="1" si="41"/>
        <v>16569</v>
      </c>
      <c r="S116" s="552">
        <f t="shared" ca="1" si="42"/>
        <v>1457244</v>
      </c>
      <c r="T116" s="2010">
        <f t="shared" ca="1" si="43"/>
        <v>146</v>
      </c>
      <c r="U116" s="2305">
        <f t="shared" si="37"/>
        <v>0</v>
      </c>
      <c r="V116" s="2305">
        <f t="shared" si="38"/>
        <v>0</v>
      </c>
      <c r="W116" s="2300"/>
      <c r="X116" s="2305">
        <f t="shared" si="39"/>
        <v>0</v>
      </c>
      <c r="Y116" s="2305">
        <f t="shared" si="40"/>
        <v>0</v>
      </c>
      <c r="Z116" s="2300"/>
    </row>
    <row r="117" spans="1:26">
      <c r="A117" s="292" t="str">
        <f>'7.15'!B95</f>
        <v>6幢2单元1002室</v>
      </c>
      <c r="B117" s="207">
        <f>'7.17'!G95</f>
        <v>87.95</v>
      </c>
      <c r="C117" s="197">
        <f t="shared" si="29"/>
        <v>1</v>
      </c>
      <c r="D117" s="3204" t="s">
        <v>7609</v>
      </c>
      <c r="E117" s="197">
        <f t="shared" si="30"/>
        <v>1.04</v>
      </c>
      <c r="F117" s="995" t="str">
        <f>'7.15'!D95</f>
        <v>平层</v>
      </c>
      <c r="G117" s="197">
        <f t="shared" si="31"/>
        <v>1</v>
      </c>
      <c r="H117" s="995" t="str">
        <f>'7.15'!E95</f>
        <v>南北</v>
      </c>
      <c r="I117" s="197">
        <f t="shared" si="32"/>
        <v>1</v>
      </c>
      <c r="J117" s="995"/>
      <c r="K117" s="197">
        <f t="shared" si="33"/>
        <v>1</v>
      </c>
      <c r="L117" s="995"/>
      <c r="M117" s="197">
        <f t="shared" si="34"/>
        <v>1</v>
      </c>
      <c r="N117" s="995"/>
      <c r="O117" s="197">
        <f t="shared" si="35"/>
        <v>1</v>
      </c>
      <c r="P117" s="995"/>
      <c r="Q117" s="197">
        <f t="shared" si="36"/>
        <v>1</v>
      </c>
      <c r="R117" s="991">
        <f t="shared" ca="1" si="41"/>
        <v>16569</v>
      </c>
      <c r="S117" s="552">
        <f t="shared" ca="1" si="42"/>
        <v>1457244</v>
      </c>
      <c r="T117" s="2010">
        <f t="shared" ca="1" si="43"/>
        <v>146</v>
      </c>
      <c r="U117" s="2305">
        <f t="shared" si="37"/>
        <v>0</v>
      </c>
      <c r="V117" s="2305">
        <f t="shared" si="38"/>
        <v>0</v>
      </c>
      <c r="W117" s="2300"/>
      <c r="X117" s="2305">
        <f t="shared" si="39"/>
        <v>0</v>
      </c>
      <c r="Y117" s="2305">
        <f t="shared" si="40"/>
        <v>0</v>
      </c>
      <c r="Z117" s="2300"/>
    </row>
    <row r="118" spans="1:26">
      <c r="A118" s="292" t="str">
        <f>'7.15'!B96</f>
        <v>6幢2单元1102室</v>
      </c>
      <c r="B118" s="207">
        <f>'7.17'!G96</f>
        <v>87.95</v>
      </c>
      <c r="C118" s="197">
        <f t="shared" si="29"/>
        <v>1</v>
      </c>
      <c r="D118" s="3204" t="s">
        <v>7609</v>
      </c>
      <c r="E118" s="197">
        <f t="shared" si="30"/>
        <v>1.04</v>
      </c>
      <c r="F118" s="995" t="str">
        <f>'7.15'!D96</f>
        <v>平层</v>
      </c>
      <c r="G118" s="197">
        <f t="shared" si="31"/>
        <v>1</v>
      </c>
      <c r="H118" s="995" t="str">
        <f>'7.15'!E96</f>
        <v>南北</v>
      </c>
      <c r="I118" s="197">
        <f t="shared" si="32"/>
        <v>1</v>
      </c>
      <c r="J118" s="995"/>
      <c r="K118" s="197">
        <f t="shared" si="33"/>
        <v>1</v>
      </c>
      <c r="L118" s="995"/>
      <c r="M118" s="197">
        <f t="shared" si="34"/>
        <v>1</v>
      </c>
      <c r="N118" s="995"/>
      <c r="O118" s="197">
        <f t="shared" si="35"/>
        <v>1</v>
      </c>
      <c r="P118" s="995"/>
      <c r="Q118" s="197">
        <f t="shared" si="36"/>
        <v>1</v>
      </c>
      <c r="R118" s="991">
        <f t="shared" ca="1" si="41"/>
        <v>16569</v>
      </c>
      <c r="S118" s="552">
        <f t="shared" ca="1" si="42"/>
        <v>1457244</v>
      </c>
      <c r="T118" s="2010">
        <f t="shared" ca="1" si="43"/>
        <v>146</v>
      </c>
      <c r="U118" s="2305">
        <f t="shared" si="37"/>
        <v>0</v>
      </c>
      <c r="V118" s="2305">
        <f t="shared" si="38"/>
        <v>0</v>
      </c>
      <c r="W118" s="2300"/>
      <c r="X118" s="2305">
        <f t="shared" si="39"/>
        <v>0</v>
      </c>
      <c r="Y118" s="2305">
        <f t="shared" si="40"/>
        <v>0</v>
      </c>
      <c r="Z118" s="2300"/>
    </row>
    <row r="119" spans="1:26">
      <c r="A119" s="292" t="str">
        <f>'7.15'!B97</f>
        <v>6幢2单元1202室</v>
      </c>
      <c r="B119" s="207">
        <f>'7.17'!G97</f>
        <v>87.95</v>
      </c>
      <c r="C119" s="197">
        <f t="shared" si="29"/>
        <v>1</v>
      </c>
      <c r="D119" s="3204" t="s">
        <v>7609</v>
      </c>
      <c r="E119" s="197">
        <f t="shared" si="30"/>
        <v>1.04</v>
      </c>
      <c r="F119" s="995" t="str">
        <f>'7.15'!D97</f>
        <v>平层</v>
      </c>
      <c r="G119" s="197">
        <f t="shared" si="31"/>
        <v>1</v>
      </c>
      <c r="H119" s="995" t="str">
        <f>'7.15'!E97</f>
        <v>南北</v>
      </c>
      <c r="I119" s="197">
        <f t="shared" si="32"/>
        <v>1</v>
      </c>
      <c r="J119" s="995"/>
      <c r="K119" s="197">
        <f t="shared" si="33"/>
        <v>1</v>
      </c>
      <c r="L119" s="995"/>
      <c r="M119" s="197">
        <f t="shared" si="34"/>
        <v>1</v>
      </c>
      <c r="N119" s="995"/>
      <c r="O119" s="197">
        <f t="shared" si="35"/>
        <v>1</v>
      </c>
      <c r="P119" s="995"/>
      <c r="Q119" s="197">
        <f t="shared" si="36"/>
        <v>1</v>
      </c>
      <c r="R119" s="991">
        <f t="shared" ca="1" si="41"/>
        <v>16569</v>
      </c>
      <c r="S119" s="552">
        <f t="shared" ca="1" si="42"/>
        <v>1457244</v>
      </c>
      <c r="T119" s="2010">
        <f t="shared" ca="1" si="43"/>
        <v>146</v>
      </c>
      <c r="U119" s="2305">
        <f t="shared" si="37"/>
        <v>0</v>
      </c>
      <c r="V119" s="2305">
        <f t="shared" si="38"/>
        <v>0</v>
      </c>
      <c r="W119" s="2300"/>
      <c r="X119" s="2305">
        <f t="shared" si="39"/>
        <v>0</v>
      </c>
      <c r="Y119" s="2305">
        <f t="shared" si="40"/>
        <v>0</v>
      </c>
      <c r="Z119" s="2300"/>
    </row>
    <row r="120" spans="1:26">
      <c r="A120" s="292" t="str">
        <f>'7.15'!B98</f>
        <v>6幢2单元1302室</v>
      </c>
      <c r="B120" s="207">
        <f>'7.17'!G98</f>
        <v>87.95</v>
      </c>
      <c r="C120" s="197">
        <f t="shared" si="29"/>
        <v>1</v>
      </c>
      <c r="D120" s="3204" t="s">
        <v>7608</v>
      </c>
      <c r="E120" s="197">
        <f t="shared" si="30"/>
        <v>1.02</v>
      </c>
      <c r="F120" s="995" t="str">
        <f>'7.15'!D98</f>
        <v>平层</v>
      </c>
      <c r="G120" s="197">
        <f t="shared" si="31"/>
        <v>1</v>
      </c>
      <c r="H120" s="995" t="str">
        <f>'7.15'!E98</f>
        <v>南北</v>
      </c>
      <c r="I120" s="197">
        <f t="shared" si="32"/>
        <v>1</v>
      </c>
      <c r="J120" s="995"/>
      <c r="K120" s="197">
        <f t="shared" si="33"/>
        <v>1</v>
      </c>
      <c r="L120" s="995"/>
      <c r="M120" s="197">
        <f t="shared" si="34"/>
        <v>1</v>
      </c>
      <c r="N120" s="995"/>
      <c r="O120" s="197">
        <f t="shared" si="35"/>
        <v>1</v>
      </c>
      <c r="P120" s="995"/>
      <c r="Q120" s="197">
        <f t="shared" si="36"/>
        <v>1</v>
      </c>
      <c r="R120" s="991">
        <f t="shared" ca="1" si="41"/>
        <v>16251</v>
      </c>
      <c r="S120" s="552">
        <f t="shared" ca="1" si="42"/>
        <v>1429275</v>
      </c>
      <c r="T120" s="2010">
        <f t="shared" ca="1" si="43"/>
        <v>143</v>
      </c>
      <c r="U120" s="2305">
        <f t="shared" si="37"/>
        <v>0</v>
      </c>
      <c r="V120" s="2305">
        <f t="shared" si="38"/>
        <v>0</v>
      </c>
      <c r="W120" s="2300"/>
      <c r="X120" s="2305">
        <f t="shared" si="39"/>
        <v>0</v>
      </c>
      <c r="Y120" s="2305">
        <f t="shared" si="40"/>
        <v>0</v>
      </c>
      <c r="Z120" s="2300"/>
    </row>
    <row r="121" spans="1:26">
      <c r="A121" s="292" t="str">
        <f>'7.15'!B99</f>
        <v>6幢2单元1402室</v>
      </c>
      <c r="B121" s="207">
        <f>'7.17'!G99</f>
        <v>87.95</v>
      </c>
      <c r="C121" s="197">
        <f t="shared" si="29"/>
        <v>1</v>
      </c>
      <c r="D121" s="3204" t="s">
        <v>7608</v>
      </c>
      <c r="E121" s="197">
        <f t="shared" si="30"/>
        <v>1.02</v>
      </c>
      <c r="F121" s="995" t="str">
        <f>'7.15'!D99</f>
        <v>平层</v>
      </c>
      <c r="G121" s="197">
        <f t="shared" si="31"/>
        <v>1</v>
      </c>
      <c r="H121" s="995" t="str">
        <f>'7.15'!E99</f>
        <v>南北</v>
      </c>
      <c r="I121" s="197">
        <f t="shared" si="32"/>
        <v>1</v>
      </c>
      <c r="J121" s="995"/>
      <c r="K121" s="197">
        <f t="shared" si="33"/>
        <v>1</v>
      </c>
      <c r="L121" s="995"/>
      <c r="M121" s="197">
        <f t="shared" si="34"/>
        <v>1</v>
      </c>
      <c r="N121" s="995"/>
      <c r="O121" s="197">
        <f t="shared" si="35"/>
        <v>1</v>
      </c>
      <c r="P121" s="995"/>
      <c r="Q121" s="197">
        <f t="shared" si="36"/>
        <v>1</v>
      </c>
      <c r="R121" s="991">
        <f t="shared" ca="1" si="41"/>
        <v>16251</v>
      </c>
      <c r="S121" s="552">
        <f t="shared" ca="1" si="42"/>
        <v>1429275</v>
      </c>
      <c r="T121" s="2010">
        <f t="shared" ca="1" si="43"/>
        <v>143</v>
      </c>
      <c r="U121" s="2305">
        <f t="shared" si="37"/>
        <v>0</v>
      </c>
      <c r="V121" s="2305">
        <f t="shared" si="38"/>
        <v>0</v>
      </c>
      <c r="W121" s="2300"/>
      <c r="X121" s="2305">
        <f t="shared" si="39"/>
        <v>0</v>
      </c>
      <c r="Y121" s="2305">
        <f t="shared" si="40"/>
        <v>0</v>
      </c>
      <c r="Z121" s="2300"/>
    </row>
    <row r="122" spans="1:26">
      <c r="A122" s="292" t="str">
        <f>'7.15'!B100</f>
        <v>6幢2单元1502室</v>
      </c>
      <c r="B122" s="207">
        <f>'7.17'!G100</f>
        <v>87.95</v>
      </c>
      <c r="C122" s="197">
        <f t="shared" si="29"/>
        <v>1</v>
      </c>
      <c r="D122" s="3204" t="s">
        <v>7608</v>
      </c>
      <c r="E122" s="197">
        <f t="shared" si="30"/>
        <v>1.02</v>
      </c>
      <c r="F122" s="995" t="str">
        <f>'7.15'!D100</f>
        <v>平层</v>
      </c>
      <c r="G122" s="197">
        <f t="shared" si="31"/>
        <v>1</v>
      </c>
      <c r="H122" s="995" t="str">
        <f>'7.15'!E100</f>
        <v>南北</v>
      </c>
      <c r="I122" s="197">
        <f t="shared" si="32"/>
        <v>1</v>
      </c>
      <c r="J122" s="995"/>
      <c r="K122" s="197">
        <f t="shared" si="33"/>
        <v>1</v>
      </c>
      <c r="L122" s="995"/>
      <c r="M122" s="197">
        <f t="shared" si="34"/>
        <v>1</v>
      </c>
      <c r="N122" s="995"/>
      <c r="O122" s="197">
        <f t="shared" si="35"/>
        <v>1</v>
      </c>
      <c r="P122" s="995"/>
      <c r="Q122" s="197">
        <f t="shared" si="36"/>
        <v>1</v>
      </c>
      <c r="R122" s="991">
        <f t="shared" ca="1" si="41"/>
        <v>16251</v>
      </c>
      <c r="S122" s="552">
        <f t="shared" ca="1" si="42"/>
        <v>1429275</v>
      </c>
      <c r="T122" s="2010">
        <f t="shared" ca="1" si="43"/>
        <v>143</v>
      </c>
      <c r="U122" s="2305">
        <f t="shared" si="37"/>
        <v>0</v>
      </c>
      <c r="V122" s="2305">
        <f t="shared" si="38"/>
        <v>0</v>
      </c>
      <c r="W122" s="2300"/>
      <c r="X122" s="2305">
        <f t="shared" si="39"/>
        <v>0</v>
      </c>
      <c r="Y122" s="2305">
        <f t="shared" si="40"/>
        <v>0</v>
      </c>
      <c r="Z122" s="2300"/>
    </row>
    <row r="123" spans="1:26">
      <c r="A123" s="292" t="str">
        <f>'7.15'!B101</f>
        <v>6幢2单元1602室</v>
      </c>
      <c r="B123" s="207">
        <f>'7.17'!G101</f>
        <v>87.95</v>
      </c>
      <c r="C123" s="197">
        <f t="shared" si="29"/>
        <v>1</v>
      </c>
      <c r="D123" s="3204" t="s">
        <v>7608</v>
      </c>
      <c r="E123" s="197">
        <f t="shared" si="30"/>
        <v>1.02</v>
      </c>
      <c r="F123" s="995" t="str">
        <f>'7.15'!D101</f>
        <v>平层</v>
      </c>
      <c r="G123" s="197">
        <f t="shared" si="31"/>
        <v>1</v>
      </c>
      <c r="H123" s="995" t="str">
        <f>'7.15'!E101</f>
        <v>南北</v>
      </c>
      <c r="I123" s="197">
        <f t="shared" si="32"/>
        <v>1</v>
      </c>
      <c r="J123" s="995"/>
      <c r="K123" s="197">
        <f t="shared" si="33"/>
        <v>1</v>
      </c>
      <c r="L123" s="995"/>
      <c r="M123" s="197">
        <f t="shared" si="34"/>
        <v>1</v>
      </c>
      <c r="N123" s="995"/>
      <c r="O123" s="197">
        <f t="shared" si="35"/>
        <v>1</v>
      </c>
      <c r="P123" s="995"/>
      <c r="Q123" s="197">
        <f t="shared" si="36"/>
        <v>1</v>
      </c>
      <c r="R123" s="991">
        <f t="shared" ca="1" si="41"/>
        <v>16251</v>
      </c>
      <c r="S123" s="552">
        <f t="shared" ca="1" si="42"/>
        <v>1429275</v>
      </c>
      <c r="T123" s="2010">
        <f t="shared" ca="1" si="43"/>
        <v>143</v>
      </c>
      <c r="U123" s="2305">
        <f t="shared" si="37"/>
        <v>0</v>
      </c>
      <c r="V123" s="2305">
        <f t="shared" si="38"/>
        <v>0</v>
      </c>
      <c r="W123" s="2300"/>
      <c r="X123" s="2305">
        <f t="shared" si="39"/>
        <v>0</v>
      </c>
      <c r="Y123" s="2305">
        <f t="shared" si="40"/>
        <v>0</v>
      </c>
      <c r="Z123" s="2300"/>
    </row>
    <row r="124" spans="1:26">
      <c r="A124" s="292" t="str">
        <f>'7.15'!B102</f>
        <v>6幢2单元1702室</v>
      </c>
      <c r="B124" s="207">
        <f>'7.17'!G102</f>
        <v>88.05</v>
      </c>
      <c r="C124" s="197">
        <f t="shared" si="29"/>
        <v>1</v>
      </c>
      <c r="D124" s="3204" t="s">
        <v>7608</v>
      </c>
      <c r="E124" s="197">
        <f t="shared" si="30"/>
        <v>1.02</v>
      </c>
      <c r="F124" s="995" t="str">
        <f>'7.15'!D102</f>
        <v>平层</v>
      </c>
      <c r="G124" s="197">
        <f t="shared" si="31"/>
        <v>1</v>
      </c>
      <c r="H124" s="995" t="str">
        <f>'7.15'!E102</f>
        <v>南北</v>
      </c>
      <c r="I124" s="197">
        <f t="shared" si="32"/>
        <v>1</v>
      </c>
      <c r="J124" s="995"/>
      <c r="K124" s="197">
        <f t="shared" si="33"/>
        <v>1</v>
      </c>
      <c r="L124" s="995"/>
      <c r="M124" s="197">
        <f t="shared" si="34"/>
        <v>1</v>
      </c>
      <c r="N124" s="995"/>
      <c r="O124" s="197">
        <f t="shared" si="35"/>
        <v>1</v>
      </c>
      <c r="P124" s="995"/>
      <c r="Q124" s="197">
        <f t="shared" si="36"/>
        <v>1</v>
      </c>
      <c r="R124" s="991">
        <f t="shared" ca="1" si="41"/>
        <v>16251</v>
      </c>
      <c r="S124" s="552">
        <f t="shared" ca="1" si="42"/>
        <v>1430901</v>
      </c>
      <c r="T124" s="2010">
        <f t="shared" ca="1" si="43"/>
        <v>143</v>
      </c>
      <c r="U124" s="2305">
        <f t="shared" si="37"/>
        <v>0</v>
      </c>
      <c r="V124" s="2305">
        <f t="shared" si="38"/>
        <v>0</v>
      </c>
      <c r="W124" s="2300"/>
      <c r="X124" s="2305">
        <f t="shared" si="39"/>
        <v>0</v>
      </c>
      <c r="Y124" s="2305">
        <f t="shared" si="40"/>
        <v>0</v>
      </c>
      <c r="Z124" s="2300"/>
    </row>
    <row r="125" spans="1:26">
      <c r="A125" s="292" t="str">
        <f>'7.15'!B103</f>
        <v>6幢2单元203室</v>
      </c>
      <c r="B125" s="207">
        <f>'7.17'!G103</f>
        <v>87.95</v>
      </c>
      <c r="C125" s="197">
        <f t="shared" si="29"/>
        <v>1</v>
      </c>
      <c r="D125" s="995" t="s">
        <v>7606</v>
      </c>
      <c r="E125" s="197">
        <f t="shared" si="30"/>
        <v>1</v>
      </c>
      <c r="F125" s="995" t="str">
        <f>'7.15'!D103</f>
        <v>平层</v>
      </c>
      <c r="G125" s="197">
        <f t="shared" si="31"/>
        <v>1</v>
      </c>
      <c r="H125" s="995" t="str">
        <f>'7.15'!E103</f>
        <v>南北</v>
      </c>
      <c r="I125" s="197">
        <f t="shared" si="32"/>
        <v>1</v>
      </c>
      <c r="J125" s="995"/>
      <c r="K125" s="197">
        <f t="shared" si="33"/>
        <v>1</v>
      </c>
      <c r="L125" s="995"/>
      <c r="M125" s="197">
        <f t="shared" si="34"/>
        <v>1</v>
      </c>
      <c r="N125" s="995"/>
      <c r="O125" s="197">
        <f t="shared" si="35"/>
        <v>1</v>
      </c>
      <c r="P125" s="995"/>
      <c r="Q125" s="197">
        <f t="shared" si="36"/>
        <v>1</v>
      </c>
      <c r="R125" s="991">
        <f t="shared" ca="1" si="41"/>
        <v>15932</v>
      </c>
      <c r="S125" s="552">
        <f t="shared" ca="1" si="42"/>
        <v>1401219</v>
      </c>
      <c r="T125" s="2010">
        <f t="shared" ca="1" si="43"/>
        <v>140</v>
      </c>
      <c r="U125" s="2305">
        <f t="shared" si="37"/>
        <v>0</v>
      </c>
      <c r="V125" s="2305">
        <f t="shared" si="38"/>
        <v>0</v>
      </c>
      <c r="W125" s="2300"/>
      <c r="X125" s="2305">
        <f t="shared" si="39"/>
        <v>0</v>
      </c>
      <c r="Y125" s="2305">
        <f t="shared" si="40"/>
        <v>0</v>
      </c>
      <c r="Z125" s="2300"/>
    </row>
    <row r="126" spans="1:26">
      <c r="A126" s="292" t="str">
        <f>'7.15'!B104</f>
        <v>6幢2单元303室</v>
      </c>
      <c r="B126" s="207">
        <f>'7.17'!G104</f>
        <v>87.95</v>
      </c>
      <c r="C126" s="197">
        <f t="shared" si="29"/>
        <v>1</v>
      </c>
      <c r="D126" s="995" t="s">
        <v>7606</v>
      </c>
      <c r="E126" s="197">
        <f t="shared" si="30"/>
        <v>1</v>
      </c>
      <c r="F126" s="995" t="str">
        <f>'7.15'!D104</f>
        <v>平层</v>
      </c>
      <c r="G126" s="197">
        <f t="shared" si="31"/>
        <v>1</v>
      </c>
      <c r="H126" s="995" t="str">
        <f>'7.15'!E104</f>
        <v>南北</v>
      </c>
      <c r="I126" s="197">
        <f t="shared" si="32"/>
        <v>1</v>
      </c>
      <c r="J126" s="995"/>
      <c r="K126" s="197">
        <f t="shared" si="33"/>
        <v>1</v>
      </c>
      <c r="L126" s="995"/>
      <c r="M126" s="197">
        <f t="shared" si="34"/>
        <v>1</v>
      </c>
      <c r="N126" s="995"/>
      <c r="O126" s="197">
        <f t="shared" si="35"/>
        <v>1</v>
      </c>
      <c r="P126" s="995"/>
      <c r="Q126" s="197">
        <f t="shared" si="36"/>
        <v>1</v>
      </c>
      <c r="R126" s="991">
        <f t="shared" ca="1" si="41"/>
        <v>15932</v>
      </c>
      <c r="S126" s="552">
        <f t="shared" ca="1" si="42"/>
        <v>1401219</v>
      </c>
      <c r="T126" s="2010">
        <f t="shared" ca="1" si="43"/>
        <v>140</v>
      </c>
      <c r="U126" s="2305">
        <f t="shared" si="37"/>
        <v>0</v>
      </c>
      <c r="V126" s="2305">
        <f t="shared" si="38"/>
        <v>0</v>
      </c>
      <c r="W126" s="2300"/>
      <c r="X126" s="2305">
        <f t="shared" si="39"/>
        <v>0</v>
      </c>
      <c r="Y126" s="2305">
        <f t="shared" si="40"/>
        <v>0</v>
      </c>
      <c r="Z126" s="2300"/>
    </row>
    <row r="127" spans="1:26">
      <c r="A127" s="292" t="str">
        <f>'7.15'!B105</f>
        <v>6幢2单元403室</v>
      </c>
      <c r="B127" s="207">
        <f>'7.17'!G105</f>
        <v>87.95</v>
      </c>
      <c r="C127" s="197">
        <f t="shared" si="29"/>
        <v>1</v>
      </c>
      <c r="D127" s="995" t="s">
        <v>7606</v>
      </c>
      <c r="E127" s="197">
        <f t="shared" si="30"/>
        <v>1</v>
      </c>
      <c r="F127" s="995" t="str">
        <f>'7.15'!D105</f>
        <v>平层</v>
      </c>
      <c r="G127" s="197">
        <f t="shared" si="31"/>
        <v>1</v>
      </c>
      <c r="H127" s="995" t="str">
        <f>'7.15'!E105</f>
        <v>南北</v>
      </c>
      <c r="I127" s="197">
        <f t="shared" si="32"/>
        <v>1</v>
      </c>
      <c r="J127" s="995"/>
      <c r="K127" s="197">
        <f t="shared" si="33"/>
        <v>1</v>
      </c>
      <c r="L127" s="995"/>
      <c r="M127" s="197">
        <f t="shared" si="34"/>
        <v>1</v>
      </c>
      <c r="N127" s="995"/>
      <c r="O127" s="197">
        <f t="shared" si="35"/>
        <v>1</v>
      </c>
      <c r="P127" s="995"/>
      <c r="Q127" s="197">
        <f t="shared" si="36"/>
        <v>1</v>
      </c>
      <c r="R127" s="991">
        <f t="shared" ca="1" si="41"/>
        <v>15932</v>
      </c>
      <c r="S127" s="552">
        <f t="shared" ca="1" si="42"/>
        <v>1401219</v>
      </c>
      <c r="T127" s="2010">
        <f t="shared" ca="1" si="43"/>
        <v>140</v>
      </c>
      <c r="U127" s="2305">
        <f t="shared" si="37"/>
        <v>0</v>
      </c>
      <c r="V127" s="2305">
        <f t="shared" si="38"/>
        <v>0</v>
      </c>
      <c r="W127" s="2300"/>
      <c r="X127" s="2305">
        <f t="shared" si="39"/>
        <v>0</v>
      </c>
      <c r="Y127" s="2305">
        <f t="shared" si="40"/>
        <v>0</v>
      </c>
      <c r="Z127" s="2300"/>
    </row>
    <row r="128" spans="1:26">
      <c r="A128" s="292" t="str">
        <f>'7.15'!B106</f>
        <v>6幢2单元503室</v>
      </c>
      <c r="B128" s="207">
        <f>'7.17'!G106</f>
        <v>87.95</v>
      </c>
      <c r="C128" s="197">
        <f t="shared" si="29"/>
        <v>1</v>
      </c>
      <c r="D128" s="995" t="s">
        <v>7606</v>
      </c>
      <c r="E128" s="197">
        <f t="shared" si="30"/>
        <v>1</v>
      </c>
      <c r="F128" s="995" t="str">
        <f>'7.15'!D106</f>
        <v>平层</v>
      </c>
      <c r="G128" s="197">
        <f t="shared" si="31"/>
        <v>1</v>
      </c>
      <c r="H128" s="995" t="str">
        <f>'7.15'!E106</f>
        <v>南北</v>
      </c>
      <c r="I128" s="197">
        <f t="shared" si="32"/>
        <v>1</v>
      </c>
      <c r="J128" s="995"/>
      <c r="K128" s="197">
        <f t="shared" si="33"/>
        <v>1</v>
      </c>
      <c r="L128" s="995"/>
      <c r="M128" s="197">
        <f t="shared" si="34"/>
        <v>1</v>
      </c>
      <c r="N128" s="995"/>
      <c r="O128" s="197">
        <f t="shared" si="35"/>
        <v>1</v>
      </c>
      <c r="P128" s="995"/>
      <c r="Q128" s="197">
        <f t="shared" si="36"/>
        <v>1</v>
      </c>
      <c r="R128" s="991">
        <f t="shared" ca="1" si="41"/>
        <v>15932</v>
      </c>
      <c r="S128" s="552">
        <f t="shared" ca="1" si="42"/>
        <v>1401219</v>
      </c>
      <c r="T128" s="2010">
        <f t="shared" ca="1" si="43"/>
        <v>140</v>
      </c>
      <c r="U128" s="2305">
        <f t="shared" si="37"/>
        <v>0</v>
      </c>
      <c r="V128" s="2305">
        <f t="shared" si="38"/>
        <v>0</v>
      </c>
      <c r="W128" s="2300"/>
      <c r="X128" s="2305">
        <f t="shared" si="39"/>
        <v>0</v>
      </c>
      <c r="Y128" s="2305">
        <f t="shared" si="40"/>
        <v>0</v>
      </c>
      <c r="Z128" s="2300"/>
    </row>
    <row r="129" spans="1:26">
      <c r="A129" s="292" t="str">
        <f>'7.15'!B107</f>
        <v>6幢2单元603室</v>
      </c>
      <c r="B129" s="207">
        <f>'7.17'!G107</f>
        <v>87.95</v>
      </c>
      <c r="C129" s="197">
        <f t="shared" si="29"/>
        <v>1</v>
      </c>
      <c r="D129" s="995" t="s">
        <v>7606</v>
      </c>
      <c r="E129" s="197">
        <f t="shared" si="30"/>
        <v>1</v>
      </c>
      <c r="F129" s="995" t="str">
        <f>'7.15'!D107</f>
        <v>平层</v>
      </c>
      <c r="G129" s="197">
        <f t="shared" si="31"/>
        <v>1</v>
      </c>
      <c r="H129" s="995" t="str">
        <f>'7.15'!E107</f>
        <v>南北</v>
      </c>
      <c r="I129" s="197">
        <f t="shared" si="32"/>
        <v>1</v>
      </c>
      <c r="J129" s="995"/>
      <c r="K129" s="197">
        <f t="shared" si="33"/>
        <v>1</v>
      </c>
      <c r="L129" s="995"/>
      <c r="M129" s="197">
        <f t="shared" si="34"/>
        <v>1</v>
      </c>
      <c r="N129" s="995"/>
      <c r="O129" s="197">
        <f t="shared" si="35"/>
        <v>1</v>
      </c>
      <c r="P129" s="995"/>
      <c r="Q129" s="197">
        <f t="shared" si="36"/>
        <v>1</v>
      </c>
      <c r="R129" s="991">
        <f t="shared" ca="1" si="41"/>
        <v>15932</v>
      </c>
      <c r="S129" s="552">
        <f t="shared" ca="1" si="42"/>
        <v>1401219</v>
      </c>
      <c r="T129" s="2010">
        <f t="shared" ca="1" si="43"/>
        <v>140</v>
      </c>
      <c r="U129" s="2305">
        <f t="shared" si="37"/>
        <v>0</v>
      </c>
      <c r="V129" s="2305">
        <f t="shared" si="38"/>
        <v>0</v>
      </c>
      <c r="W129" s="2300"/>
      <c r="X129" s="2305">
        <f t="shared" si="39"/>
        <v>0</v>
      </c>
      <c r="Y129" s="2305">
        <f t="shared" si="40"/>
        <v>0</v>
      </c>
      <c r="Z129" s="2300"/>
    </row>
    <row r="130" spans="1:26">
      <c r="A130" s="292" t="str">
        <f>'7.15'!B108</f>
        <v>6幢2单元703室</v>
      </c>
      <c r="B130" s="207">
        <f>'7.17'!G108</f>
        <v>87.95</v>
      </c>
      <c r="C130" s="197">
        <f t="shared" si="29"/>
        <v>1</v>
      </c>
      <c r="D130" s="3204" t="s">
        <v>7609</v>
      </c>
      <c r="E130" s="197">
        <f t="shared" si="30"/>
        <v>1.04</v>
      </c>
      <c r="F130" s="995" t="str">
        <f>'7.15'!D108</f>
        <v>平层</v>
      </c>
      <c r="G130" s="197">
        <f t="shared" si="31"/>
        <v>1</v>
      </c>
      <c r="H130" s="995" t="str">
        <f>'7.15'!E108</f>
        <v>南北</v>
      </c>
      <c r="I130" s="197">
        <f t="shared" si="32"/>
        <v>1</v>
      </c>
      <c r="J130" s="995"/>
      <c r="K130" s="197">
        <f t="shared" si="33"/>
        <v>1</v>
      </c>
      <c r="L130" s="995"/>
      <c r="M130" s="197">
        <f t="shared" si="34"/>
        <v>1</v>
      </c>
      <c r="N130" s="995"/>
      <c r="O130" s="197">
        <f t="shared" si="35"/>
        <v>1</v>
      </c>
      <c r="P130" s="995"/>
      <c r="Q130" s="197">
        <f t="shared" si="36"/>
        <v>1</v>
      </c>
      <c r="R130" s="991">
        <f t="shared" ca="1" si="41"/>
        <v>16569</v>
      </c>
      <c r="S130" s="552">
        <f t="shared" ca="1" si="42"/>
        <v>1457244</v>
      </c>
      <c r="T130" s="2010">
        <f t="shared" ca="1" si="43"/>
        <v>146</v>
      </c>
      <c r="U130" s="2305">
        <f t="shared" si="37"/>
        <v>0</v>
      </c>
      <c r="V130" s="2305">
        <f t="shared" si="38"/>
        <v>0</v>
      </c>
      <c r="W130" s="2300"/>
      <c r="X130" s="2305">
        <f t="shared" si="39"/>
        <v>0</v>
      </c>
      <c r="Y130" s="2305">
        <f t="shared" si="40"/>
        <v>0</v>
      </c>
      <c r="Z130" s="2300"/>
    </row>
    <row r="131" spans="1:26">
      <c r="A131" s="292" t="str">
        <f>'7.15'!B109</f>
        <v>6幢2单元803室</v>
      </c>
      <c r="B131" s="207">
        <f>'7.17'!G109</f>
        <v>87.95</v>
      </c>
      <c r="C131" s="197">
        <f t="shared" si="29"/>
        <v>1</v>
      </c>
      <c r="D131" s="3204" t="s">
        <v>7609</v>
      </c>
      <c r="E131" s="197">
        <f t="shared" si="30"/>
        <v>1.04</v>
      </c>
      <c r="F131" s="995" t="str">
        <f>'7.15'!D109</f>
        <v>平层</v>
      </c>
      <c r="G131" s="197">
        <f t="shared" si="31"/>
        <v>1</v>
      </c>
      <c r="H131" s="995" t="str">
        <f>'7.15'!E109</f>
        <v>南北</v>
      </c>
      <c r="I131" s="197">
        <f t="shared" si="32"/>
        <v>1</v>
      </c>
      <c r="J131" s="995"/>
      <c r="K131" s="197">
        <f t="shared" si="33"/>
        <v>1</v>
      </c>
      <c r="L131" s="995"/>
      <c r="M131" s="197">
        <f t="shared" si="34"/>
        <v>1</v>
      </c>
      <c r="N131" s="995"/>
      <c r="O131" s="197">
        <f t="shared" si="35"/>
        <v>1</v>
      </c>
      <c r="P131" s="995"/>
      <c r="Q131" s="197">
        <f t="shared" si="36"/>
        <v>1</v>
      </c>
      <c r="R131" s="991">
        <f t="shared" ca="1" si="41"/>
        <v>16569</v>
      </c>
      <c r="S131" s="552">
        <f t="shared" ca="1" si="42"/>
        <v>1457244</v>
      </c>
      <c r="T131" s="2010">
        <f t="shared" ca="1" si="43"/>
        <v>146</v>
      </c>
      <c r="U131" s="2305">
        <f t="shared" si="37"/>
        <v>0</v>
      </c>
      <c r="V131" s="2305">
        <f t="shared" si="38"/>
        <v>0</v>
      </c>
      <c r="W131" s="2300"/>
      <c r="X131" s="2305">
        <f t="shared" si="39"/>
        <v>0</v>
      </c>
      <c r="Y131" s="2305">
        <f t="shared" si="40"/>
        <v>0</v>
      </c>
      <c r="Z131" s="2300"/>
    </row>
    <row r="132" spans="1:26">
      <c r="A132" s="292" t="str">
        <f>'7.15'!B110</f>
        <v>6幢2单元903室</v>
      </c>
      <c r="B132" s="207">
        <f>'7.17'!G110</f>
        <v>87.95</v>
      </c>
      <c r="C132" s="197">
        <f t="shared" si="29"/>
        <v>1</v>
      </c>
      <c r="D132" s="3204" t="s">
        <v>7609</v>
      </c>
      <c r="E132" s="197">
        <f t="shared" si="30"/>
        <v>1.04</v>
      </c>
      <c r="F132" s="995" t="str">
        <f>'7.15'!D110</f>
        <v>平层</v>
      </c>
      <c r="G132" s="197">
        <f t="shared" si="31"/>
        <v>1</v>
      </c>
      <c r="H132" s="995" t="str">
        <f>'7.15'!E110</f>
        <v>南北</v>
      </c>
      <c r="I132" s="197">
        <f t="shared" si="32"/>
        <v>1</v>
      </c>
      <c r="J132" s="995"/>
      <c r="K132" s="197">
        <f t="shared" si="33"/>
        <v>1</v>
      </c>
      <c r="L132" s="995"/>
      <c r="M132" s="197">
        <f t="shared" si="34"/>
        <v>1</v>
      </c>
      <c r="N132" s="995"/>
      <c r="O132" s="197">
        <f t="shared" si="35"/>
        <v>1</v>
      </c>
      <c r="P132" s="995"/>
      <c r="Q132" s="197">
        <f t="shared" si="36"/>
        <v>1</v>
      </c>
      <c r="R132" s="991">
        <f t="shared" ca="1" si="41"/>
        <v>16569</v>
      </c>
      <c r="S132" s="552">
        <f t="shared" ca="1" si="42"/>
        <v>1457244</v>
      </c>
      <c r="T132" s="2010">
        <f t="shared" ca="1" si="43"/>
        <v>146</v>
      </c>
      <c r="U132" s="2305">
        <f t="shared" si="37"/>
        <v>0</v>
      </c>
      <c r="V132" s="2305">
        <f t="shared" si="38"/>
        <v>0</v>
      </c>
      <c r="W132" s="2300"/>
      <c r="X132" s="2305">
        <f t="shared" si="39"/>
        <v>0</v>
      </c>
      <c r="Y132" s="2305">
        <f t="shared" si="40"/>
        <v>0</v>
      </c>
      <c r="Z132" s="2300"/>
    </row>
    <row r="133" spans="1:26">
      <c r="A133" s="292" t="str">
        <f>'7.15'!B111</f>
        <v>6幢2单元1003室</v>
      </c>
      <c r="B133" s="207">
        <f>'7.17'!G111</f>
        <v>87.95</v>
      </c>
      <c r="C133" s="197">
        <f t="shared" si="29"/>
        <v>1</v>
      </c>
      <c r="D133" s="3204" t="s">
        <v>7609</v>
      </c>
      <c r="E133" s="197">
        <f t="shared" si="30"/>
        <v>1.04</v>
      </c>
      <c r="F133" s="995" t="str">
        <f>'7.15'!D111</f>
        <v>平层</v>
      </c>
      <c r="G133" s="197">
        <f t="shared" si="31"/>
        <v>1</v>
      </c>
      <c r="H133" s="995" t="str">
        <f>'7.15'!E111</f>
        <v>南北</v>
      </c>
      <c r="I133" s="197">
        <f t="shared" si="32"/>
        <v>1</v>
      </c>
      <c r="J133" s="995"/>
      <c r="K133" s="197">
        <f t="shared" si="33"/>
        <v>1</v>
      </c>
      <c r="L133" s="995"/>
      <c r="M133" s="197">
        <f t="shared" si="34"/>
        <v>1</v>
      </c>
      <c r="N133" s="995"/>
      <c r="O133" s="197">
        <f t="shared" si="35"/>
        <v>1</v>
      </c>
      <c r="P133" s="995"/>
      <c r="Q133" s="197">
        <f t="shared" si="36"/>
        <v>1</v>
      </c>
      <c r="R133" s="991">
        <f t="shared" ca="1" si="41"/>
        <v>16569</v>
      </c>
      <c r="S133" s="552">
        <f t="shared" ca="1" si="42"/>
        <v>1457244</v>
      </c>
      <c r="T133" s="2010">
        <f t="shared" ca="1" si="43"/>
        <v>146</v>
      </c>
      <c r="U133" s="2305">
        <f t="shared" si="37"/>
        <v>0</v>
      </c>
      <c r="V133" s="2305">
        <f t="shared" si="38"/>
        <v>0</v>
      </c>
      <c r="W133" s="2300"/>
      <c r="X133" s="2305">
        <f t="shared" si="39"/>
        <v>0</v>
      </c>
      <c r="Y133" s="2305">
        <f t="shared" si="40"/>
        <v>0</v>
      </c>
      <c r="Z133" s="2300"/>
    </row>
    <row r="134" spans="1:26">
      <c r="A134" s="292" t="str">
        <f>'7.15'!B112</f>
        <v>6幢2单元1103室</v>
      </c>
      <c r="B134" s="207">
        <f>'7.17'!G112</f>
        <v>87.95</v>
      </c>
      <c r="C134" s="197">
        <f t="shared" si="29"/>
        <v>1</v>
      </c>
      <c r="D134" s="3204" t="s">
        <v>7609</v>
      </c>
      <c r="E134" s="197">
        <f t="shared" si="30"/>
        <v>1.04</v>
      </c>
      <c r="F134" s="995" t="str">
        <f>'7.15'!D112</f>
        <v>平层</v>
      </c>
      <c r="G134" s="197">
        <f t="shared" si="31"/>
        <v>1</v>
      </c>
      <c r="H134" s="995" t="str">
        <f>'7.15'!E112</f>
        <v>南北</v>
      </c>
      <c r="I134" s="197">
        <f t="shared" si="32"/>
        <v>1</v>
      </c>
      <c r="J134" s="995"/>
      <c r="K134" s="197">
        <f t="shared" si="33"/>
        <v>1</v>
      </c>
      <c r="L134" s="995"/>
      <c r="M134" s="197">
        <f t="shared" si="34"/>
        <v>1</v>
      </c>
      <c r="N134" s="995"/>
      <c r="O134" s="197">
        <f t="shared" si="35"/>
        <v>1</v>
      </c>
      <c r="P134" s="995"/>
      <c r="Q134" s="197">
        <f t="shared" si="36"/>
        <v>1</v>
      </c>
      <c r="R134" s="991">
        <f t="shared" ca="1" si="41"/>
        <v>16569</v>
      </c>
      <c r="S134" s="552">
        <f t="shared" ca="1" si="42"/>
        <v>1457244</v>
      </c>
      <c r="T134" s="2010">
        <f t="shared" ca="1" si="43"/>
        <v>146</v>
      </c>
      <c r="U134" s="2305">
        <f t="shared" si="37"/>
        <v>0</v>
      </c>
      <c r="V134" s="2305">
        <f t="shared" si="38"/>
        <v>0</v>
      </c>
      <c r="W134" s="2300"/>
      <c r="X134" s="2305">
        <f t="shared" si="39"/>
        <v>0</v>
      </c>
      <c r="Y134" s="2305">
        <f t="shared" si="40"/>
        <v>0</v>
      </c>
      <c r="Z134" s="2300"/>
    </row>
    <row r="135" spans="1:26">
      <c r="A135" s="292" t="str">
        <f>'7.15'!B113</f>
        <v>6幢2单元1203室</v>
      </c>
      <c r="B135" s="207">
        <f>'7.17'!G113</f>
        <v>87.95</v>
      </c>
      <c r="C135" s="197">
        <f t="shared" si="29"/>
        <v>1</v>
      </c>
      <c r="D135" s="3204" t="s">
        <v>7609</v>
      </c>
      <c r="E135" s="197">
        <f t="shared" si="30"/>
        <v>1.04</v>
      </c>
      <c r="F135" s="995" t="str">
        <f>'7.15'!D113</f>
        <v>平层</v>
      </c>
      <c r="G135" s="197">
        <f t="shared" si="31"/>
        <v>1</v>
      </c>
      <c r="H135" s="995" t="str">
        <f>'7.15'!E113</f>
        <v>南北</v>
      </c>
      <c r="I135" s="197">
        <f t="shared" si="32"/>
        <v>1</v>
      </c>
      <c r="J135" s="995"/>
      <c r="K135" s="197">
        <f t="shared" si="33"/>
        <v>1</v>
      </c>
      <c r="L135" s="995"/>
      <c r="M135" s="197">
        <f t="shared" si="34"/>
        <v>1</v>
      </c>
      <c r="N135" s="995"/>
      <c r="O135" s="197">
        <f t="shared" si="35"/>
        <v>1</v>
      </c>
      <c r="P135" s="995"/>
      <c r="Q135" s="197">
        <f t="shared" si="36"/>
        <v>1</v>
      </c>
      <c r="R135" s="991">
        <f t="shared" ca="1" si="41"/>
        <v>16569</v>
      </c>
      <c r="S135" s="552">
        <f t="shared" ca="1" si="42"/>
        <v>1457244</v>
      </c>
      <c r="T135" s="2010">
        <f t="shared" ca="1" si="43"/>
        <v>146</v>
      </c>
      <c r="U135" s="2305">
        <f t="shared" si="37"/>
        <v>0</v>
      </c>
      <c r="V135" s="2305">
        <f t="shared" si="38"/>
        <v>0</v>
      </c>
      <c r="W135" s="2300"/>
      <c r="X135" s="2305">
        <f t="shared" si="39"/>
        <v>0</v>
      </c>
      <c r="Y135" s="2305">
        <f t="shared" si="40"/>
        <v>0</v>
      </c>
      <c r="Z135" s="2300"/>
    </row>
    <row r="136" spans="1:26">
      <c r="A136" s="292" t="str">
        <f>'7.15'!B114</f>
        <v>6幢2单元1303室</v>
      </c>
      <c r="B136" s="207">
        <f>'7.17'!G114</f>
        <v>87.95</v>
      </c>
      <c r="C136" s="197">
        <f t="shared" si="29"/>
        <v>1</v>
      </c>
      <c r="D136" s="3204" t="s">
        <v>7608</v>
      </c>
      <c r="E136" s="197">
        <f t="shared" si="30"/>
        <v>1.02</v>
      </c>
      <c r="F136" s="995" t="str">
        <f>'7.15'!D114</f>
        <v>平层</v>
      </c>
      <c r="G136" s="197">
        <f t="shared" si="31"/>
        <v>1</v>
      </c>
      <c r="H136" s="995" t="str">
        <f>'7.15'!E114</f>
        <v>南北</v>
      </c>
      <c r="I136" s="197">
        <f t="shared" si="32"/>
        <v>1</v>
      </c>
      <c r="J136" s="995"/>
      <c r="K136" s="197">
        <f t="shared" si="33"/>
        <v>1</v>
      </c>
      <c r="L136" s="995"/>
      <c r="M136" s="197">
        <f t="shared" si="34"/>
        <v>1</v>
      </c>
      <c r="N136" s="995"/>
      <c r="O136" s="197">
        <f t="shared" si="35"/>
        <v>1</v>
      </c>
      <c r="P136" s="995"/>
      <c r="Q136" s="197">
        <f t="shared" si="36"/>
        <v>1</v>
      </c>
      <c r="R136" s="991">
        <f t="shared" ca="1" si="41"/>
        <v>16251</v>
      </c>
      <c r="S136" s="552">
        <f t="shared" ca="1" si="42"/>
        <v>1429275</v>
      </c>
      <c r="T136" s="2010">
        <f t="shared" ca="1" si="43"/>
        <v>143</v>
      </c>
      <c r="U136" s="2305">
        <f t="shared" si="37"/>
        <v>0</v>
      </c>
      <c r="V136" s="2305">
        <f t="shared" si="38"/>
        <v>0</v>
      </c>
      <c r="W136" s="2300"/>
      <c r="X136" s="2305">
        <f t="shared" si="39"/>
        <v>0</v>
      </c>
      <c r="Y136" s="2305">
        <f t="shared" si="40"/>
        <v>0</v>
      </c>
      <c r="Z136" s="2300"/>
    </row>
    <row r="137" spans="1:26">
      <c r="A137" s="292" t="str">
        <f>'7.15'!B115</f>
        <v>6幢2单元1403室</v>
      </c>
      <c r="B137" s="207">
        <f>'7.17'!G115</f>
        <v>87.95</v>
      </c>
      <c r="C137" s="197">
        <f t="shared" si="29"/>
        <v>1</v>
      </c>
      <c r="D137" s="3204" t="s">
        <v>7608</v>
      </c>
      <c r="E137" s="197">
        <f t="shared" si="30"/>
        <v>1.02</v>
      </c>
      <c r="F137" s="995" t="str">
        <f>'7.15'!D115</f>
        <v>平层</v>
      </c>
      <c r="G137" s="197">
        <f t="shared" si="31"/>
        <v>1</v>
      </c>
      <c r="H137" s="995" t="str">
        <f>'7.15'!E115</f>
        <v>南北</v>
      </c>
      <c r="I137" s="197">
        <f t="shared" si="32"/>
        <v>1</v>
      </c>
      <c r="J137" s="995"/>
      <c r="K137" s="197">
        <f t="shared" si="33"/>
        <v>1</v>
      </c>
      <c r="L137" s="995"/>
      <c r="M137" s="197">
        <f t="shared" si="34"/>
        <v>1</v>
      </c>
      <c r="N137" s="995"/>
      <c r="O137" s="197">
        <f t="shared" si="35"/>
        <v>1</v>
      </c>
      <c r="P137" s="995"/>
      <c r="Q137" s="197">
        <f t="shared" si="36"/>
        <v>1</v>
      </c>
      <c r="R137" s="991">
        <f t="shared" ca="1" si="41"/>
        <v>16251</v>
      </c>
      <c r="S137" s="552">
        <f t="shared" ca="1" si="42"/>
        <v>1429275</v>
      </c>
      <c r="T137" s="2010">
        <f t="shared" ca="1" si="43"/>
        <v>143</v>
      </c>
      <c r="U137" s="2305">
        <f t="shared" si="37"/>
        <v>0</v>
      </c>
      <c r="V137" s="2305">
        <f t="shared" si="38"/>
        <v>0</v>
      </c>
      <c r="W137" s="2300"/>
      <c r="X137" s="2305">
        <f t="shared" si="39"/>
        <v>0</v>
      </c>
      <c r="Y137" s="2305">
        <f t="shared" si="40"/>
        <v>0</v>
      </c>
      <c r="Z137" s="2300"/>
    </row>
    <row r="138" spans="1:26">
      <c r="A138" s="292" t="str">
        <f>'7.15'!B116</f>
        <v>6幢2单元1503室</v>
      </c>
      <c r="B138" s="207">
        <f>'7.17'!G116</f>
        <v>87.95</v>
      </c>
      <c r="C138" s="197">
        <f t="shared" si="29"/>
        <v>1</v>
      </c>
      <c r="D138" s="3204" t="s">
        <v>7608</v>
      </c>
      <c r="E138" s="197">
        <f t="shared" si="30"/>
        <v>1.02</v>
      </c>
      <c r="F138" s="995" t="str">
        <f>'7.15'!D116</f>
        <v>平层</v>
      </c>
      <c r="G138" s="197">
        <f t="shared" si="31"/>
        <v>1</v>
      </c>
      <c r="H138" s="995" t="str">
        <f>'7.15'!E116</f>
        <v>南北</v>
      </c>
      <c r="I138" s="197">
        <f t="shared" si="32"/>
        <v>1</v>
      </c>
      <c r="J138" s="995"/>
      <c r="K138" s="197">
        <f t="shared" si="33"/>
        <v>1</v>
      </c>
      <c r="L138" s="995"/>
      <c r="M138" s="197">
        <f t="shared" si="34"/>
        <v>1</v>
      </c>
      <c r="N138" s="995"/>
      <c r="O138" s="197">
        <f t="shared" si="35"/>
        <v>1</v>
      </c>
      <c r="P138" s="995"/>
      <c r="Q138" s="197">
        <f t="shared" si="36"/>
        <v>1</v>
      </c>
      <c r="R138" s="991">
        <f t="shared" ca="1" si="41"/>
        <v>16251</v>
      </c>
      <c r="S138" s="552">
        <f t="shared" ca="1" si="42"/>
        <v>1429275</v>
      </c>
      <c r="T138" s="2010">
        <f t="shared" ca="1" si="43"/>
        <v>143</v>
      </c>
      <c r="U138" s="2305">
        <f t="shared" si="37"/>
        <v>0</v>
      </c>
      <c r="V138" s="2305">
        <f t="shared" si="38"/>
        <v>0</v>
      </c>
      <c r="W138" s="2300"/>
      <c r="X138" s="2305">
        <f t="shared" si="39"/>
        <v>0</v>
      </c>
      <c r="Y138" s="2305">
        <f t="shared" si="40"/>
        <v>0</v>
      </c>
      <c r="Z138" s="2300"/>
    </row>
    <row r="139" spans="1:26">
      <c r="A139" s="292" t="str">
        <f>'7.15'!B117</f>
        <v>6幢2单元1603室</v>
      </c>
      <c r="B139" s="207">
        <f>'7.17'!G117</f>
        <v>87.95</v>
      </c>
      <c r="C139" s="197">
        <f t="shared" si="29"/>
        <v>1</v>
      </c>
      <c r="D139" s="3204" t="s">
        <v>7608</v>
      </c>
      <c r="E139" s="197">
        <f t="shared" si="30"/>
        <v>1.02</v>
      </c>
      <c r="F139" s="995" t="str">
        <f>'7.15'!D117</f>
        <v>平层</v>
      </c>
      <c r="G139" s="197">
        <f t="shared" si="31"/>
        <v>1</v>
      </c>
      <c r="H139" s="995" t="str">
        <f>'7.15'!E117</f>
        <v>南北</v>
      </c>
      <c r="I139" s="197">
        <f t="shared" si="32"/>
        <v>1</v>
      </c>
      <c r="J139" s="995"/>
      <c r="K139" s="197">
        <f t="shared" si="33"/>
        <v>1</v>
      </c>
      <c r="L139" s="995"/>
      <c r="M139" s="197">
        <f t="shared" si="34"/>
        <v>1</v>
      </c>
      <c r="N139" s="995"/>
      <c r="O139" s="197">
        <f t="shared" si="35"/>
        <v>1</v>
      </c>
      <c r="P139" s="995"/>
      <c r="Q139" s="197">
        <f t="shared" si="36"/>
        <v>1</v>
      </c>
      <c r="R139" s="991">
        <f t="shared" ca="1" si="41"/>
        <v>16251</v>
      </c>
      <c r="S139" s="552">
        <f t="shared" ca="1" si="42"/>
        <v>1429275</v>
      </c>
      <c r="T139" s="2010">
        <f t="shared" ca="1" si="43"/>
        <v>143</v>
      </c>
      <c r="U139" s="2305">
        <f t="shared" si="37"/>
        <v>0</v>
      </c>
      <c r="V139" s="2305">
        <f t="shared" si="38"/>
        <v>0</v>
      </c>
      <c r="W139" s="2300"/>
      <c r="X139" s="2305">
        <f t="shared" si="39"/>
        <v>0</v>
      </c>
      <c r="Y139" s="2305">
        <f t="shared" si="40"/>
        <v>0</v>
      </c>
      <c r="Z139" s="2300"/>
    </row>
    <row r="140" spans="1:26">
      <c r="A140" s="292" t="str">
        <f>'7.15'!B118</f>
        <v>6幢2单元1703室</v>
      </c>
      <c r="B140" s="207">
        <f>'7.17'!G118</f>
        <v>88.05</v>
      </c>
      <c r="C140" s="197">
        <f t="shared" si="29"/>
        <v>1</v>
      </c>
      <c r="D140" s="3204" t="s">
        <v>7608</v>
      </c>
      <c r="E140" s="197">
        <f t="shared" si="30"/>
        <v>1.02</v>
      </c>
      <c r="F140" s="995" t="str">
        <f>'7.15'!D118</f>
        <v>平层</v>
      </c>
      <c r="G140" s="197">
        <f t="shared" si="31"/>
        <v>1</v>
      </c>
      <c r="H140" s="995" t="str">
        <f>'7.15'!E118</f>
        <v>南北</v>
      </c>
      <c r="I140" s="197">
        <f t="shared" si="32"/>
        <v>1</v>
      </c>
      <c r="J140" s="995"/>
      <c r="K140" s="197">
        <f t="shared" si="33"/>
        <v>1</v>
      </c>
      <c r="L140" s="995"/>
      <c r="M140" s="197">
        <f t="shared" si="34"/>
        <v>1</v>
      </c>
      <c r="N140" s="995"/>
      <c r="O140" s="197">
        <f t="shared" si="35"/>
        <v>1</v>
      </c>
      <c r="P140" s="995"/>
      <c r="Q140" s="197">
        <f t="shared" si="36"/>
        <v>1</v>
      </c>
      <c r="R140" s="991">
        <f t="shared" ca="1" si="41"/>
        <v>16251</v>
      </c>
      <c r="S140" s="552">
        <f t="shared" ca="1" si="42"/>
        <v>1430901</v>
      </c>
      <c r="T140" s="2010">
        <f t="shared" ca="1" si="43"/>
        <v>143</v>
      </c>
      <c r="U140" s="2305">
        <f t="shared" si="37"/>
        <v>0</v>
      </c>
      <c r="V140" s="2305">
        <f t="shared" si="38"/>
        <v>0</v>
      </c>
      <c r="W140" s="2300"/>
      <c r="X140" s="2305">
        <f t="shared" si="39"/>
        <v>0</v>
      </c>
      <c r="Y140" s="2305">
        <f t="shared" si="40"/>
        <v>0</v>
      </c>
      <c r="Z140" s="2300"/>
    </row>
    <row r="141" spans="1:26">
      <c r="A141" s="292" t="str">
        <f>'7.15'!B119</f>
        <v>6幢2单元204室</v>
      </c>
      <c r="B141" s="207">
        <f>'7.17'!G119</f>
        <v>108.29</v>
      </c>
      <c r="C141" s="197">
        <f t="shared" si="29"/>
        <v>1.01</v>
      </c>
      <c r="D141" s="995" t="s">
        <v>7606</v>
      </c>
      <c r="E141" s="197">
        <f t="shared" si="30"/>
        <v>1</v>
      </c>
      <c r="F141" s="995" t="str">
        <f>'7.15'!D119</f>
        <v>平层</v>
      </c>
      <c r="G141" s="197">
        <f t="shared" si="31"/>
        <v>1</v>
      </c>
      <c r="H141" s="995" t="str">
        <f>'7.15'!E119</f>
        <v>南北</v>
      </c>
      <c r="I141" s="197">
        <f t="shared" si="32"/>
        <v>1</v>
      </c>
      <c r="J141" s="995"/>
      <c r="K141" s="197">
        <f t="shared" si="33"/>
        <v>1</v>
      </c>
      <c r="L141" s="995"/>
      <c r="M141" s="197">
        <f t="shared" si="34"/>
        <v>1</v>
      </c>
      <c r="N141" s="995"/>
      <c r="O141" s="197">
        <f t="shared" si="35"/>
        <v>1</v>
      </c>
      <c r="P141" s="995"/>
      <c r="Q141" s="197">
        <f t="shared" si="36"/>
        <v>1</v>
      </c>
      <c r="R141" s="991">
        <f t="shared" ca="1" si="41"/>
        <v>16091</v>
      </c>
      <c r="S141" s="552">
        <f t="shared" ca="1" si="42"/>
        <v>1742494</v>
      </c>
      <c r="T141" s="2010">
        <f t="shared" ca="1" si="43"/>
        <v>174</v>
      </c>
      <c r="U141" s="2305">
        <f t="shared" si="37"/>
        <v>0</v>
      </c>
      <c r="V141" s="2305">
        <f t="shared" si="38"/>
        <v>0</v>
      </c>
      <c r="W141" s="2300"/>
      <c r="X141" s="2305">
        <f t="shared" si="39"/>
        <v>0</v>
      </c>
      <c r="Y141" s="2305">
        <f t="shared" si="40"/>
        <v>0</v>
      </c>
      <c r="Z141" s="2300"/>
    </row>
    <row r="142" spans="1:26">
      <c r="A142" s="292" t="str">
        <f>'7.15'!B120</f>
        <v>6幢2单元304室</v>
      </c>
      <c r="B142" s="207">
        <f>'7.17'!G120</f>
        <v>108.29</v>
      </c>
      <c r="C142" s="197">
        <f t="shared" si="29"/>
        <v>1.01</v>
      </c>
      <c r="D142" s="995" t="s">
        <v>7606</v>
      </c>
      <c r="E142" s="197">
        <f t="shared" si="30"/>
        <v>1</v>
      </c>
      <c r="F142" s="995" t="str">
        <f>'7.15'!D120</f>
        <v>平层</v>
      </c>
      <c r="G142" s="197">
        <f t="shared" si="31"/>
        <v>1</v>
      </c>
      <c r="H142" s="995" t="str">
        <f>'7.15'!E120</f>
        <v>南北</v>
      </c>
      <c r="I142" s="197">
        <f t="shared" si="32"/>
        <v>1</v>
      </c>
      <c r="J142" s="995"/>
      <c r="K142" s="197">
        <f t="shared" si="33"/>
        <v>1</v>
      </c>
      <c r="L142" s="995"/>
      <c r="M142" s="197">
        <f t="shared" si="34"/>
        <v>1</v>
      </c>
      <c r="N142" s="995"/>
      <c r="O142" s="197">
        <f t="shared" si="35"/>
        <v>1</v>
      </c>
      <c r="P142" s="995"/>
      <c r="Q142" s="197">
        <f t="shared" si="36"/>
        <v>1</v>
      </c>
      <c r="R142" s="991">
        <f t="shared" ca="1" si="41"/>
        <v>16091</v>
      </c>
      <c r="S142" s="552">
        <f t="shared" ca="1" si="42"/>
        <v>1742494</v>
      </c>
      <c r="T142" s="2010">
        <f t="shared" ca="1" si="43"/>
        <v>174</v>
      </c>
      <c r="U142" s="2305">
        <f t="shared" si="37"/>
        <v>0</v>
      </c>
      <c r="V142" s="2305">
        <f t="shared" si="38"/>
        <v>0</v>
      </c>
      <c r="W142" s="2300"/>
      <c r="X142" s="2305">
        <f t="shared" si="39"/>
        <v>0</v>
      </c>
      <c r="Y142" s="2305">
        <f t="shared" si="40"/>
        <v>0</v>
      </c>
      <c r="Z142" s="2300"/>
    </row>
    <row r="143" spans="1:26">
      <c r="A143" s="292" t="str">
        <f>'7.15'!B121</f>
        <v>6幢2单元404室</v>
      </c>
      <c r="B143" s="207">
        <f>'7.17'!G121</f>
        <v>108.29</v>
      </c>
      <c r="C143" s="197">
        <f t="shared" si="29"/>
        <v>1.01</v>
      </c>
      <c r="D143" s="995" t="s">
        <v>7606</v>
      </c>
      <c r="E143" s="197">
        <f t="shared" si="30"/>
        <v>1</v>
      </c>
      <c r="F143" s="995" t="str">
        <f>'7.15'!D121</f>
        <v>平层</v>
      </c>
      <c r="G143" s="197">
        <f t="shared" si="31"/>
        <v>1</v>
      </c>
      <c r="H143" s="995" t="str">
        <f>'7.15'!E121</f>
        <v>南北</v>
      </c>
      <c r="I143" s="197">
        <f t="shared" si="32"/>
        <v>1</v>
      </c>
      <c r="J143" s="995"/>
      <c r="K143" s="197">
        <f t="shared" si="33"/>
        <v>1</v>
      </c>
      <c r="L143" s="995"/>
      <c r="M143" s="197">
        <f t="shared" si="34"/>
        <v>1</v>
      </c>
      <c r="N143" s="995"/>
      <c r="O143" s="197">
        <f t="shared" si="35"/>
        <v>1</v>
      </c>
      <c r="P143" s="995"/>
      <c r="Q143" s="197">
        <f t="shared" si="36"/>
        <v>1</v>
      </c>
      <c r="R143" s="991">
        <f t="shared" ca="1" si="41"/>
        <v>16091</v>
      </c>
      <c r="S143" s="552">
        <f t="shared" ca="1" si="42"/>
        <v>1742494</v>
      </c>
      <c r="T143" s="2010">
        <f t="shared" ca="1" si="43"/>
        <v>174</v>
      </c>
      <c r="U143" s="2305">
        <f t="shared" si="37"/>
        <v>0</v>
      </c>
      <c r="V143" s="2305">
        <f t="shared" si="38"/>
        <v>0</v>
      </c>
      <c r="W143" s="2300"/>
      <c r="X143" s="2305">
        <f t="shared" si="39"/>
        <v>0</v>
      </c>
      <c r="Y143" s="2305">
        <f t="shared" si="40"/>
        <v>0</v>
      </c>
      <c r="Z143" s="2300"/>
    </row>
    <row r="144" spans="1:26">
      <c r="A144" s="292" t="str">
        <f>'7.15'!B122</f>
        <v>6幢2单元504室</v>
      </c>
      <c r="B144" s="207">
        <f>'7.17'!G122</f>
        <v>108.29</v>
      </c>
      <c r="C144" s="197">
        <f t="shared" si="29"/>
        <v>1.01</v>
      </c>
      <c r="D144" s="995" t="s">
        <v>7606</v>
      </c>
      <c r="E144" s="197">
        <f t="shared" si="30"/>
        <v>1</v>
      </c>
      <c r="F144" s="995" t="str">
        <f>'7.15'!D122</f>
        <v>平层</v>
      </c>
      <c r="G144" s="197">
        <f t="shared" si="31"/>
        <v>1</v>
      </c>
      <c r="H144" s="995" t="str">
        <f>'7.15'!E122</f>
        <v>南北</v>
      </c>
      <c r="I144" s="197">
        <f t="shared" si="32"/>
        <v>1</v>
      </c>
      <c r="J144" s="995"/>
      <c r="K144" s="197">
        <f t="shared" si="33"/>
        <v>1</v>
      </c>
      <c r="L144" s="995"/>
      <c r="M144" s="197">
        <f t="shared" si="34"/>
        <v>1</v>
      </c>
      <c r="N144" s="995"/>
      <c r="O144" s="197">
        <f t="shared" si="35"/>
        <v>1</v>
      </c>
      <c r="P144" s="995"/>
      <c r="Q144" s="197">
        <f t="shared" si="36"/>
        <v>1</v>
      </c>
      <c r="R144" s="991">
        <f t="shared" ca="1" si="41"/>
        <v>16091</v>
      </c>
      <c r="S144" s="552">
        <f t="shared" ca="1" si="42"/>
        <v>1742494</v>
      </c>
      <c r="T144" s="2010">
        <f t="shared" ca="1" si="43"/>
        <v>174</v>
      </c>
      <c r="U144" s="2305">
        <f t="shared" si="37"/>
        <v>0</v>
      </c>
      <c r="V144" s="2305">
        <f t="shared" si="38"/>
        <v>0</v>
      </c>
      <c r="W144" s="2300"/>
      <c r="X144" s="2305">
        <f t="shared" si="39"/>
        <v>0</v>
      </c>
      <c r="Y144" s="2305">
        <f t="shared" si="40"/>
        <v>0</v>
      </c>
      <c r="Z144" s="2300"/>
    </row>
    <row r="145" spans="1:26">
      <c r="A145" s="292" t="str">
        <f>'7.15'!B123</f>
        <v>6幢2单元604室</v>
      </c>
      <c r="B145" s="207">
        <f>'7.17'!G123</f>
        <v>108.29</v>
      </c>
      <c r="C145" s="197">
        <f t="shared" si="29"/>
        <v>1.01</v>
      </c>
      <c r="D145" s="995" t="s">
        <v>7606</v>
      </c>
      <c r="E145" s="197">
        <f t="shared" si="30"/>
        <v>1</v>
      </c>
      <c r="F145" s="995" t="str">
        <f>'7.15'!D123</f>
        <v>平层</v>
      </c>
      <c r="G145" s="197">
        <f t="shared" si="31"/>
        <v>1</v>
      </c>
      <c r="H145" s="995" t="str">
        <f>'7.15'!E123</f>
        <v>南北</v>
      </c>
      <c r="I145" s="197">
        <f t="shared" si="32"/>
        <v>1</v>
      </c>
      <c r="J145" s="995"/>
      <c r="K145" s="197">
        <f t="shared" si="33"/>
        <v>1</v>
      </c>
      <c r="L145" s="995"/>
      <c r="M145" s="197">
        <f t="shared" si="34"/>
        <v>1</v>
      </c>
      <c r="N145" s="995"/>
      <c r="O145" s="197">
        <f t="shared" si="35"/>
        <v>1</v>
      </c>
      <c r="P145" s="995"/>
      <c r="Q145" s="197">
        <f t="shared" si="36"/>
        <v>1</v>
      </c>
      <c r="R145" s="991">
        <f t="shared" ca="1" si="41"/>
        <v>16091</v>
      </c>
      <c r="S145" s="552">
        <f t="shared" ca="1" si="42"/>
        <v>1742494</v>
      </c>
      <c r="T145" s="2010">
        <f t="shared" ca="1" si="43"/>
        <v>174</v>
      </c>
      <c r="U145" s="2305">
        <f t="shared" si="37"/>
        <v>0</v>
      </c>
      <c r="V145" s="2305">
        <f t="shared" si="38"/>
        <v>0</v>
      </c>
      <c r="W145" s="2300"/>
      <c r="X145" s="2305">
        <f t="shared" si="39"/>
        <v>0</v>
      </c>
      <c r="Y145" s="2305">
        <f t="shared" si="40"/>
        <v>0</v>
      </c>
      <c r="Z145" s="2300"/>
    </row>
    <row r="146" spans="1:26">
      <c r="A146" s="292" t="str">
        <f>'7.15'!B124</f>
        <v>6幢2单元704室</v>
      </c>
      <c r="B146" s="207">
        <f>'7.17'!G124</f>
        <v>108.29</v>
      </c>
      <c r="C146" s="197">
        <f t="shared" si="29"/>
        <v>1.01</v>
      </c>
      <c r="D146" s="3204" t="s">
        <v>7609</v>
      </c>
      <c r="E146" s="197">
        <f t="shared" si="30"/>
        <v>1.04</v>
      </c>
      <c r="F146" s="995" t="str">
        <f>'7.15'!D124</f>
        <v>平层</v>
      </c>
      <c r="G146" s="197">
        <f t="shared" si="31"/>
        <v>1</v>
      </c>
      <c r="H146" s="995" t="str">
        <f>'7.15'!E124</f>
        <v>南北</v>
      </c>
      <c r="I146" s="197">
        <f t="shared" si="32"/>
        <v>1</v>
      </c>
      <c r="J146" s="995"/>
      <c r="K146" s="197">
        <f t="shared" si="33"/>
        <v>1</v>
      </c>
      <c r="L146" s="995"/>
      <c r="M146" s="197">
        <f t="shared" si="34"/>
        <v>1</v>
      </c>
      <c r="N146" s="995"/>
      <c r="O146" s="197">
        <f t="shared" si="35"/>
        <v>1</v>
      </c>
      <c r="P146" s="995"/>
      <c r="Q146" s="197">
        <f t="shared" si="36"/>
        <v>1</v>
      </c>
      <c r="R146" s="991">
        <f t="shared" ca="1" si="41"/>
        <v>16735</v>
      </c>
      <c r="S146" s="552">
        <f t="shared" ca="1" si="42"/>
        <v>1812233</v>
      </c>
      <c r="T146" s="2010">
        <f t="shared" ca="1" si="43"/>
        <v>181</v>
      </c>
      <c r="U146" s="2305">
        <f t="shared" si="37"/>
        <v>0</v>
      </c>
      <c r="V146" s="2305">
        <f t="shared" si="38"/>
        <v>0</v>
      </c>
      <c r="W146" s="2300"/>
      <c r="X146" s="2305">
        <f t="shared" si="39"/>
        <v>0</v>
      </c>
      <c r="Y146" s="2305">
        <f t="shared" si="40"/>
        <v>0</v>
      </c>
      <c r="Z146" s="2300"/>
    </row>
    <row r="147" spans="1:26">
      <c r="A147" s="292" t="str">
        <f>'7.15'!B125</f>
        <v>6幢2单元804室</v>
      </c>
      <c r="B147" s="207">
        <f>'7.17'!G125</f>
        <v>108.29</v>
      </c>
      <c r="C147" s="197">
        <f t="shared" si="29"/>
        <v>1.01</v>
      </c>
      <c r="D147" s="3204" t="s">
        <v>7609</v>
      </c>
      <c r="E147" s="197">
        <f t="shared" si="30"/>
        <v>1.04</v>
      </c>
      <c r="F147" s="995" t="str">
        <f>'7.15'!D125</f>
        <v>平层</v>
      </c>
      <c r="G147" s="197">
        <f t="shared" si="31"/>
        <v>1</v>
      </c>
      <c r="H147" s="995" t="str">
        <f>'7.15'!E125</f>
        <v>南北</v>
      </c>
      <c r="I147" s="197">
        <f t="shared" si="32"/>
        <v>1</v>
      </c>
      <c r="J147" s="995"/>
      <c r="K147" s="197">
        <f t="shared" si="33"/>
        <v>1</v>
      </c>
      <c r="L147" s="995"/>
      <c r="M147" s="197">
        <f t="shared" si="34"/>
        <v>1</v>
      </c>
      <c r="N147" s="995"/>
      <c r="O147" s="197">
        <f t="shared" si="35"/>
        <v>1</v>
      </c>
      <c r="P147" s="995"/>
      <c r="Q147" s="197">
        <f t="shared" si="36"/>
        <v>1</v>
      </c>
      <c r="R147" s="991">
        <f t="shared" ca="1" si="41"/>
        <v>16735</v>
      </c>
      <c r="S147" s="552">
        <f t="shared" ca="1" si="42"/>
        <v>1812233</v>
      </c>
      <c r="T147" s="2010">
        <f t="shared" ca="1" si="43"/>
        <v>181</v>
      </c>
      <c r="U147" s="2305">
        <f t="shared" si="37"/>
        <v>0</v>
      </c>
      <c r="V147" s="2305">
        <f t="shared" si="38"/>
        <v>0</v>
      </c>
      <c r="W147" s="2300"/>
      <c r="X147" s="2305">
        <f t="shared" si="39"/>
        <v>0</v>
      </c>
      <c r="Y147" s="2305">
        <f t="shared" si="40"/>
        <v>0</v>
      </c>
      <c r="Z147" s="2300"/>
    </row>
    <row r="148" spans="1:26">
      <c r="A148" s="292" t="str">
        <f>'7.15'!B126</f>
        <v>6幢2单元904室</v>
      </c>
      <c r="B148" s="207">
        <f>'7.17'!G126</f>
        <v>108.29</v>
      </c>
      <c r="C148" s="197">
        <f t="shared" si="29"/>
        <v>1.01</v>
      </c>
      <c r="D148" s="3204" t="s">
        <v>7609</v>
      </c>
      <c r="E148" s="197">
        <f t="shared" si="30"/>
        <v>1.04</v>
      </c>
      <c r="F148" s="995" t="str">
        <f>'7.15'!D126</f>
        <v>平层</v>
      </c>
      <c r="G148" s="197">
        <f t="shared" si="31"/>
        <v>1</v>
      </c>
      <c r="H148" s="995" t="str">
        <f>'7.15'!E126</f>
        <v>南北</v>
      </c>
      <c r="I148" s="197">
        <f t="shared" si="32"/>
        <v>1</v>
      </c>
      <c r="J148" s="995"/>
      <c r="K148" s="197">
        <f t="shared" si="33"/>
        <v>1</v>
      </c>
      <c r="L148" s="995"/>
      <c r="M148" s="197">
        <f t="shared" si="34"/>
        <v>1</v>
      </c>
      <c r="N148" s="995"/>
      <c r="O148" s="197">
        <f t="shared" si="35"/>
        <v>1</v>
      </c>
      <c r="P148" s="995"/>
      <c r="Q148" s="197">
        <f t="shared" si="36"/>
        <v>1</v>
      </c>
      <c r="R148" s="991">
        <f t="shared" ca="1" si="41"/>
        <v>16735</v>
      </c>
      <c r="S148" s="552">
        <f t="shared" ca="1" si="42"/>
        <v>1812233</v>
      </c>
      <c r="T148" s="2010">
        <f t="shared" ca="1" si="43"/>
        <v>181</v>
      </c>
      <c r="U148" s="2305">
        <f t="shared" si="37"/>
        <v>0</v>
      </c>
      <c r="V148" s="2305">
        <f t="shared" si="38"/>
        <v>0</v>
      </c>
      <c r="W148" s="2300"/>
      <c r="X148" s="2305">
        <f t="shared" si="39"/>
        <v>0</v>
      </c>
      <c r="Y148" s="2305">
        <f t="shared" si="40"/>
        <v>0</v>
      </c>
      <c r="Z148" s="2300"/>
    </row>
    <row r="149" spans="1:26">
      <c r="A149" s="292" t="str">
        <f>'7.15'!B127</f>
        <v>6幢2单元1004室</v>
      </c>
      <c r="B149" s="207">
        <f>'7.17'!G127</f>
        <v>108.29</v>
      </c>
      <c r="C149" s="197">
        <f t="shared" si="29"/>
        <v>1.01</v>
      </c>
      <c r="D149" s="3204" t="s">
        <v>7609</v>
      </c>
      <c r="E149" s="197">
        <f t="shared" si="30"/>
        <v>1.04</v>
      </c>
      <c r="F149" s="995" t="str">
        <f>'7.15'!D127</f>
        <v>平层</v>
      </c>
      <c r="G149" s="197">
        <f t="shared" si="31"/>
        <v>1</v>
      </c>
      <c r="H149" s="995" t="str">
        <f>'7.15'!E127</f>
        <v>南北</v>
      </c>
      <c r="I149" s="197">
        <f t="shared" si="32"/>
        <v>1</v>
      </c>
      <c r="J149" s="995"/>
      <c r="K149" s="197">
        <f t="shared" si="33"/>
        <v>1</v>
      </c>
      <c r="L149" s="995"/>
      <c r="M149" s="197">
        <f t="shared" si="34"/>
        <v>1</v>
      </c>
      <c r="N149" s="995"/>
      <c r="O149" s="197">
        <f t="shared" si="35"/>
        <v>1</v>
      </c>
      <c r="P149" s="995"/>
      <c r="Q149" s="197">
        <f t="shared" si="36"/>
        <v>1</v>
      </c>
      <c r="R149" s="991">
        <f t="shared" ca="1" si="41"/>
        <v>16735</v>
      </c>
      <c r="S149" s="552">
        <f t="shared" ca="1" si="42"/>
        <v>1812233</v>
      </c>
      <c r="T149" s="2010">
        <f t="shared" ca="1" si="43"/>
        <v>181</v>
      </c>
      <c r="U149" s="2305">
        <f t="shared" si="37"/>
        <v>0</v>
      </c>
      <c r="V149" s="2305">
        <f t="shared" si="38"/>
        <v>0</v>
      </c>
      <c r="W149" s="2300"/>
      <c r="X149" s="2305">
        <f t="shared" si="39"/>
        <v>0</v>
      </c>
      <c r="Y149" s="2305">
        <f t="shared" si="40"/>
        <v>0</v>
      </c>
      <c r="Z149" s="2300"/>
    </row>
    <row r="150" spans="1:26">
      <c r="A150" s="292" t="str">
        <f>'7.15'!B128</f>
        <v>6幢2单元1104室</v>
      </c>
      <c r="B150" s="207">
        <f>'7.17'!G128</f>
        <v>108.29</v>
      </c>
      <c r="C150" s="197">
        <f t="shared" si="29"/>
        <v>1.01</v>
      </c>
      <c r="D150" s="3204" t="s">
        <v>7609</v>
      </c>
      <c r="E150" s="197">
        <f t="shared" si="30"/>
        <v>1.04</v>
      </c>
      <c r="F150" s="995" t="str">
        <f>'7.15'!D128</f>
        <v>平层</v>
      </c>
      <c r="G150" s="197">
        <f t="shared" si="31"/>
        <v>1</v>
      </c>
      <c r="H150" s="995" t="str">
        <f>'7.15'!E128</f>
        <v>南北</v>
      </c>
      <c r="I150" s="197">
        <f t="shared" si="32"/>
        <v>1</v>
      </c>
      <c r="J150" s="995"/>
      <c r="K150" s="197">
        <f t="shared" si="33"/>
        <v>1</v>
      </c>
      <c r="L150" s="995"/>
      <c r="M150" s="197">
        <f t="shared" si="34"/>
        <v>1</v>
      </c>
      <c r="N150" s="995"/>
      <c r="O150" s="197">
        <f t="shared" si="35"/>
        <v>1</v>
      </c>
      <c r="P150" s="995"/>
      <c r="Q150" s="197">
        <f t="shared" si="36"/>
        <v>1</v>
      </c>
      <c r="R150" s="991">
        <f t="shared" ca="1" si="41"/>
        <v>16735</v>
      </c>
      <c r="S150" s="552">
        <f t="shared" ca="1" si="42"/>
        <v>1812233</v>
      </c>
      <c r="T150" s="2010">
        <f t="shared" ca="1" si="43"/>
        <v>181</v>
      </c>
      <c r="U150" s="2305">
        <f t="shared" si="37"/>
        <v>0</v>
      </c>
      <c r="V150" s="2305">
        <f t="shared" si="38"/>
        <v>0</v>
      </c>
      <c r="W150" s="2300"/>
      <c r="X150" s="2305">
        <f t="shared" si="39"/>
        <v>0</v>
      </c>
      <c r="Y150" s="2305">
        <f t="shared" si="40"/>
        <v>0</v>
      </c>
      <c r="Z150" s="2300"/>
    </row>
    <row r="151" spans="1:26">
      <c r="A151" s="292" t="str">
        <f>'7.15'!B129</f>
        <v>6幢2单元1204室</v>
      </c>
      <c r="B151" s="207">
        <f>'7.17'!G129</f>
        <v>108.29</v>
      </c>
      <c r="C151" s="197">
        <f t="shared" si="29"/>
        <v>1.01</v>
      </c>
      <c r="D151" s="3204" t="s">
        <v>7609</v>
      </c>
      <c r="E151" s="197">
        <f t="shared" si="30"/>
        <v>1.04</v>
      </c>
      <c r="F151" s="995" t="str">
        <f>'7.15'!D129</f>
        <v>平层</v>
      </c>
      <c r="G151" s="197">
        <f t="shared" si="31"/>
        <v>1</v>
      </c>
      <c r="H151" s="995" t="str">
        <f>'7.15'!E129</f>
        <v>南北</v>
      </c>
      <c r="I151" s="197">
        <f t="shared" si="32"/>
        <v>1</v>
      </c>
      <c r="J151" s="995"/>
      <c r="K151" s="197">
        <f t="shared" si="33"/>
        <v>1</v>
      </c>
      <c r="L151" s="995"/>
      <c r="M151" s="197">
        <f t="shared" si="34"/>
        <v>1</v>
      </c>
      <c r="N151" s="995"/>
      <c r="O151" s="197">
        <f t="shared" si="35"/>
        <v>1</v>
      </c>
      <c r="P151" s="995"/>
      <c r="Q151" s="197">
        <f t="shared" si="36"/>
        <v>1</v>
      </c>
      <c r="R151" s="991">
        <f t="shared" ca="1" si="41"/>
        <v>16735</v>
      </c>
      <c r="S151" s="552">
        <f t="shared" ca="1" si="42"/>
        <v>1812233</v>
      </c>
      <c r="T151" s="2010">
        <f t="shared" ca="1" si="43"/>
        <v>181</v>
      </c>
      <c r="U151" s="2305">
        <f t="shared" si="37"/>
        <v>0</v>
      </c>
      <c r="V151" s="2305">
        <f t="shared" si="38"/>
        <v>0</v>
      </c>
      <c r="W151" s="2300"/>
      <c r="X151" s="2305">
        <f t="shared" si="39"/>
        <v>0</v>
      </c>
      <c r="Y151" s="2305">
        <f t="shared" si="40"/>
        <v>0</v>
      </c>
      <c r="Z151" s="2300"/>
    </row>
    <row r="152" spans="1:26">
      <c r="A152" s="292" t="str">
        <f>'7.15'!B130</f>
        <v>6幢2单元1304室</v>
      </c>
      <c r="B152" s="207">
        <f>'7.17'!G130</f>
        <v>108.29</v>
      </c>
      <c r="C152" s="197">
        <f t="shared" si="29"/>
        <v>1.01</v>
      </c>
      <c r="D152" s="3204" t="s">
        <v>7608</v>
      </c>
      <c r="E152" s="197">
        <f t="shared" si="30"/>
        <v>1.02</v>
      </c>
      <c r="F152" s="995" t="str">
        <f>'7.15'!D130</f>
        <v>平层</v>
      </c>
      <c r="G152" s="197">
        <f t="shared" si="31"/>
        <v>1</v>
      </c>
      <c r="H152" s="995" t="str">
        <f>'7.15'!E130</f>
        <v>南北</v>
      </c>
      <c r="I152" s="197">
        <f t="shared" si="32"/>
        <v>1</v>
      </c>
      <c r="J152" s="995"/>
      <c r="K152" s="197">
        <f t="shared" si="33"/>
        <v>1</v>
      </c>
      <c r="L152" s="995"/>
      <c r="M152" s="197">
        <f t="shared" si="34"/>
        <v>1</v>
      </c>
      <c r="N152" s="995"/>
      <c r="O152" s="197">
        <f t="shared" si="35"/>
        <v>1</v>
      </c>
      <c r="P152" s="995"/>
      <c r="Q152" s="197">
        <f t="shared" si="36"/>
        <v>1</v>
      </c>
      <c r="R152" s="991">
        <f t="shared" ca="1" si="41"/>
        <v>16413</v>
      </c>
      <c r="S152" s="552">
        <f t="shared" ca="1" si="42"/>
        <v>1777364</v>
      </c>
      <c r="T152" s="2010">
        <f t="shared" ca="1" si="43"/>
        <v>178</v>
      </c>
      <c r="U152" s="2305">
        <f t="shared" si="37"/>
        <v>0</v>
      </c>
      <c r="V152" s="2305">
        <f t="shared" si="38"/>
        <v>0</v>
      </c>
      <c r="W152" s="2300"/>
      <c r="X152" s="2305">
        <f t="shared" si="39"/>
        <v>0</v>
      </c>
      <c r="Y152" s="2305">
        <f t="shared" si="40"/>
        <v>0</v>
      </c>
      <c r="Z152" s="2300"/>
    </row>
    <row r="153" spans="1:26">
      <c r="A153" s="292" t="str">
        <f>'7.15'!B131</f>
        <v>6幢2单元1404室</v>
      </c>
      <c r="B153" s="207">
        <f>'7.17'!G131</f>
        <v>108.29</v>
      </c>
      <c r="C153" s="197">
        <f t="shared" si="29"/>
        <v>1.01</v>
      </c>
      <c r="D153" s="3204" t="s">
        <v>7608</v>
      </c>
      <c r="E153" s="197">
        <f t="shared" si="30"/>
        <v>1.02</v>
      </c>
      <c r="F153" s="995" t="str">
        <f>'7.15'!D131</f>
        <v>平层</v>
      </c>
      <c r="G153" s="197">
        <f t="shared" si="31"/>
        <v>1</v>
      </c>
      <c r="H153" s="995" t="str">
        <f>'7.15'!E131</f>
        <v>南北</v>
      </c>
      <c r="I153" s="197">
        <f t="shared" si="32"/>
        <v>1</v>
      </c>
      <c r="J153" s="995"/>
      <c r="K153" s="197">
        <f t="shared" si="33"/>
        <v>1</v>
      </c>
      <c r="L153" s="995"/>
      <c r="M153" s="197">
        <f t="shared" si="34"/>
        <v>1</v>
      </c>
      <c r="N153" s="995"/>
      <c r="O153" s="197">
        <f t="shared" si="35"/>
        <v>1</v>
      </c>
      <c r="P153" s="995"/>
      <c r="Q153" s="197">
        <f t="shared" si="36"/>
        <v>1</v>
      </c>
      <c r="R153" s="991">
        <f t="shared" ca="1" si="41"/>
        <v>16413</v>
      </c>
      <c r="S153" s="552">
        <f t="shared" ca="1" si="42"/>
        <v>1777364</v>
      </c>
      <c r="T153" s="2010">
        <f t="shared" ca="1" si="43"/>
        <v>178</v>
      </c>
      <c r="U153" s="2305">
        <f t="shared" si="37"/>
        <v>0</v>
      </c>
      <c r="V153" s="2305">
        <f t="shared" si="38"/>
        <v>0</v>
      </c>
      <c r="W153" s="2300"/>
      <c r="X153" s="2305">
        <f t="shared" si="39"/>
        <v>0</v>
      </c>
      <c r="Y153" s="2305">
        <f t="shared" si="40"/>
        <v>0</v>
      </c>
      <c r="Z153" s="2300"/>
    </row>
    <row r="154" spans="1:26">
      <c r="A154" s="292" t="str">
        <f>'7.15'!B132</f>
        <v>6幢2单元1504室</v>
      </c>
      <c r="B154" s="207">
        <f>'7.17'!G132</f>
        <v>108.29</v>
      </c>
      <c r="C154" s="197">
        <f t="shared" si="29"/>
        <v>1.01</v>
      </c>
      <c r="D154" s="3204" t="s">
        <v>7608</v>
      </c>
      <c r="E154" s="197">
        <f t="shared" si="30"/>
        <v>1.02</v>
      </c>
      <c r="F154" s="995" t="str">
        <f>'7.15'!D132</f>
        <v>平层</v>
      </c>
      <c r="G154" s="197">
        <f t="shared" si="31"/>
        <v>1</v>
      </c>
      <c r="H154" s="995" t="str">
        <f>'7.15'!E132</f>
        <v>南北</v>
      </c>
      <c r="I154" s="197">
        <f t="shared" si="32"/>
        <v>1</v>
      </c>
      <c r="J154" s="995"/>
      <c r="K154" s="197">
        <f t="shared" si="33"/>
        <v>1</v>
      </c>
      <c r="L154" s="995"/>
      <c r="M154" s="197">
        <f t="shared" si="34"/>
        <v>1</v>
      </c>
      <c r="N154" s="995"/>
      <c r="O154" s="197">
        <f t="shared" si="35"/>
        <v>1</v>
      </c>
      <c r="P154" s="995"/>
      <c r="Q154" s="197">
        <f t="shared" si="36"/>
        <v>1</v>
      </c>
      <c r="R154" s="991">
        <f t="shared" ca="1" si="41"/>
        <v>16413</v>
      </c>
      <c r="S154" s="552">
        <f t="shared" ca="1" si="42"/>
        <v>1777364</v>
      </c>
      <c r="T154" s="2010">
        <f t="shared" ca="1" si="43"/>
        <v>178</v>
      </c>
      <c r="U154" s="2305">
        <f t="shared" si="37"/>
        <v>0</v>
      </c>
      <c r="V154" s="2305">
        <f t="shared" si="38"/>
        <v>0</v>
      </c>
      <c r="W154" s="2300"/>
      <c r="X154" s="2305">
        <f t="shared" si="39"/>
        <v>0</v>
      </c>
      <c r="Y154" s="2305">
        <f t="shared" si="40"/>
        <v>0</v>
      </c>
      <c r="Z154" s="2300"/>
    </row>
    <row r="155" spans="1:26">
      <c r="A155" s="292" t="str">
        <f>'7.15'!B133</f>
        <v>6幢2单元1604室</v>
      </c>
      <c r="B155" s="207">
        <f>'7.17'!G133</f>
        <v>108.29</v>
      </c>
      <c r="C155" s="197">
        <f t="shared" si="29"/>
        <v>1.01</v>
      </c>
      <c r="D155" s="3204" t="s">
        <v>7608</v>
      </c>
      <c r="E155" s="197">
        <f t="shared" si="30"/>
        <v>1.02</v>
      </c>
      <c r="F155" s="995" t="str">
        <f>'7.15'!D133</f>
        <v>平层</v>
      </c>
      <c r="G155" s="197">
        <f t="shared" si="31"/>
        <v>1</v>
      </c>
      <c r="H155" s="995" t="str">
        <f>'7.15'!E133</f>
        <v>南北</v>
      </c>
      <c r="I155" s="197">
        <f t="shared" si="32"/>
        <v>1</v>
      </c>
      <c r="J155" s="995"/>
      <c r="K155" s="197">
        <f t="shared" si="33"/>
        <v>1</v>
      </c>
      <c r="L155" s="995"/>
      <c r="M155" s="197">
        <f t="shared" si="34"/>
        <v>1</v>
      </c>
      <c r="N155" s="995"/>
      <c r="O155" s="197">
        <f t="shared" si="35"/>
        <v>1</v>
      </c>
      <c r="P155" s="995"/>
      <c r="Q155" s="197">
        <f t="shared" si="36"/>
        <v>1</v>
      </c>
      <c r="R155" s="991">
        <f t="shared" ca="1" si="41"/>
        <v>16413</v>
      </c>
      <c r="S155" s="552">
        <f t="shared" ca="1" si="42"/>
        <v>1777364</v>
      </c>
      <c r="T155" s="2010">
        <f t="shared" ca="1" si="43"/>
        <v>178</v>
      </c>
      <c r="U155" s="2305">
        <f t="shared" si="37"/>
        <v>0</v>
      </c>
      <c r="V155" s="2305">
        <f t="shared" si="38"/>
        <v>0</v>
      </c>
      <c r="W155" s="2300"/>
      <c r="X155" s="2305">
        <f t="shared" si="39"/>
        <v>0</v>
      </c>
      <c r="Y155" s="2305">
        <f t="shared" si="40"/>
        <v>0</v>
      </c>
      <c r="Z155" s="2300"/>
    </row>
    <row r="156" spans="1:26">
      <c r="A156" s="292" t="str">
        <f>'7.15'!B134</f>
        <v>6幢2单元1704室</v>
      </c>
      <c r="B156" s="207">
        <f>'7.17'!G134</f>
        <v>94.02</v>
      </c>
      <c r="C156" s="197">
        <f t="shared" ref="C156:C219" si="44">IF(B156="",1,(LOOKUP(B156,$6:$6,$7:$7)-LOOKUP($B$27,$6:$6,$7:$7)+100)/100)</f>
        <v>1</v>
      </c>
      <c r="D156" s="3204" t="s">
        <v>7608</v>
      </c>
      <c r="E156" s="197">
        <f t="shared" ref="E156:E219" si="45">(SUMIF($8:$8,D156,$9:$9)-SUMIF($8:$8,$D$27,$9:$9)+100)/100</f>
        <v>1.02</v>
      </c>
      <c r="F156" s="995" t="str">
        <f>'7.15'!D134</f>
        <v>平层</v>
      </c>
      <c r="G156" s="197">
        <f t="shared" ref="G156:G219" si="46">(SUMIF($10:$10,F156,$11:$11)-SUMIF($10:$10,$F$27,$11:$11)+100)/100</f>
        <v>1</v>
      </c>
      <c r="H156" s="995" t="str">
        <f>'7.15'!E134</f>
        <v>南北</v>
      </c>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ca="1" si="41"/>
        <v>16251</v>
      </c>
      <c r="S156" s="552">
        <f t="shared" ca="1" si="42"/>
        <v>1527919</v>
      </c>
      <c r="T156" s="2010">
        <f t="shared" ca="1" si="43"/>
        <v>153</v>
      </c>
      <c r="U156" s="2305">
        <f t="shared" ref="U156:U219" si="52">ROUND(W156*B156,0)</f>
        <v>0</v>
      </c>
      <c r="V156" s="2305">
        <f t="shared" ref="V156:V219" si="53">ROUND(W156*B156/10000,0)</f>
        <v>0</v>
      </c>
      <c r="W156" s="2300"/>
      <c r="X156" s="2305">
        <f t="shared" ref="X156:X219" si="54">ROUND(Z156*B156,0)</f>
        <v>0</v>
      </c>
      <c r="Y156" s="2305">
        <f t="shared" ref="Y156:Y219" si="55">ROUND(Z156*B156/10000,0)</f>
        <v>0</v>
      </c>
      <c r="Z156" s="2300"/>
    </row>
    <row r="157" spans="1:26">
      <c r="A157" s="292" t="str">
        <f>'7.15'!B135</f>
        <v>6幢3单元201室</v>
      </c>
      <c r="B157" s="207">
        <f>'7.17'!G135</f>
        <v>108.29</v>
      </c>
      <c r="C157" s="197">
        <f t="shared" si="44"/>
        <v>1.01</v>
      </c>
      <c r="D157" s="995" t="s">
        <v>7606</v>
      </c>
      <c r="E157" s="197">
        <f t="shared" si="45"/>
        <v>1</v>
      </c>
      <c r="F157" s="995" t="str">
        <f>'7.15'!D135</f>
        <v>平层</v>
      </c>
      <c r="G157" s="197">
        <f t="shared" si="46"/>
        <v>1</v>
      </c>
      <c r="H157" s="995" t="str">
        <f>'7.15'!E135</f>
        <v>南北</v>
      </c>
      <c r="I157" s="197">
        <f t="shared" si="47"/>
        <v>1</v>
      </c>
      <c r="J157" s="995"/>
      <c r="K157" s="197">
        <f t="shared" si="48"/>
        <v>1</v>
      </c>
      <c r="L157" s="995"/>
      <c r="M157" s="197">
        <f t="shared" si="49"/>
        <v>1</v>
      </c>
      <c r="N157" s="995"/>
      <c r="O157" s="197">
        <f t="shared" si="50"/>
        <v>1</v>
      </c>
      <c r="P157" s="995"/>
      <c r="Q157" s="197">
        <f t="shared" si="51"/>
        <v>1</v>
      </c>
      <c r="R157" s="991">
        <f t="shared" ref="R157:R220" ca="1" si="56">IF(B157="",0,ROUND($R$27*C157*E157*G157*I157*K157*M157*O157*Q157,0))</f>
        <v>16091</v>
      </c>
      <c r="S157" s="552">
        <f t="shared" ref="S157:S220" ca="1" si="57">ROUND(R157*B157,0)</f>
        <v>1742494</v>
      </c>
      <c r="T157" s="2010">
        <f t="shared" ref="T157:T220" ca="1" si="58">ROUND(R157*B157/10000,0)</f>
        <v>174</v>
      </c>
      <c r="U157" s="2305">
        <f t="shared" si="52"/>
        <v>0</v>
      </c>
      <c r="V157" s="2305">
        <f t="shared" si="53"/>
        <v>0</v>
      </c>
      <c r="W157" s="2300"/>
      <c r="X157" s="2305">
        <f t="shared" si="54"/>
        <v>0</v>
      </c>
      <c r="Y157" s="2305">
        <f t="shared" si="55"/>
        <v>0</v>
      </c>
      <c r="Z157" s="2300"/>
    </row>
    <row r="158" spans="1:26">
      <c r="A158" s="292" t="str">
        <f>'7.15'!B136</f>
        <v>6幢3单元301室</v>
      </c>
      <c r="B158" s="207">
        <f>'7.17'!G136</f>
        <v>108.29</v>
      </c>
      <c r="C158" s="197">
        <f t="shared" si="44"/>
        <v>1.01</v>
      </c>
      <c r="D158" s="995" t="s">
        <v>7606</v>
      </c>
      <c r="E158" s="197">
        <f t="shared" si="45"/>
        <v>1</v>
      </c>
      <c r="F158" s="995" t="str">
        <f>'7.15'!D136</f>
        <v>平层</v>
      </c>
      <c r="G158" s="197">
        <f t="shared" si="46"/>
        <v>1</v>
      </c>
      <c r="H158" s="995" t="str">
        <f>'7.15'!E136</f>
        <v>南北</v>
      </c>
      <c r="I158" s="197">
        <f t="shared" si="47"/>
        <v>1</v>
      </c>
      <c r="J158" s="995"/>
      <c r="K158" s="197">
        <f t="shared" si="48"/>
        <v>1</v>
      </c>
      <c r="L158" s="995"/>
      <c r="M158" s="197">
        <f t="shared" si="49"/>
        <v>1</v>
      </c>
      <c r="N158" s="995"/>
      <c r="O158" s="197">
        <f t="shared" si="50"/>
        <v>1</v>
      </c>
      <c r="P158" s="995"/>
      <c r="Q158" s="197">
        <f t="shared" si="51"/>
        <v>1</v>
      </c>
      <c r="R158" s="991">
        <f t="shared" ca="1" si="56"/>
        <v>16091</v>
      </c>
      <c r="S158" s="552">
        <f t="shared" ca="1" si="57"/>
        <v>1742494</v>
      </c>
      <c r="T158" s="2010">
        <f t="shared" ca="1" si="58"/>
        <v>174</v>
      </c>
      <c r="U158" s="2305">
        <f t="shared" si="52"/>
        <v>0</v>
      </c>
      <c r="V158" s="2305">
        <f t="shared" si="53"/>
        <v>0</v>
      </c>
      <c r="W158" s="2300"/>
      <c r="X158" s="2305">
        <f t="shared" si="54"/>
        <v>0</v>
      </c>
      <c r="Y158" s="2305">
        <f t="shared" si="55"/>
        <v>0</v>
      </c>
      <c r="Z158" s="2300"/>
    </row>
    <row r="159" spans="1:26">
      <c r="A159" s="292" t="str">
        <f>'7.15'!B137</f>
        <v>6幢3单元401室</v>
      </c>
      <c r="B159" s="207">
        <f>'7.17'!G137</f>
        <v>108.29</v>
      </c>
      <c r="C159" s="197">
        <f t="shared" si="44"/>
        <v>1.01</v>
      </c>
      <c r="D159" s="995" t="s">
        <v>7606</v>
      </c>
      <c r="E159" s="197">
        <f t="shared" si="45"/>
        <v>1</v>
      </c>
      <c r="F159" s="995" t="str">
        <f>'7.15'!D137</f>
        <v>平层</v>
      </c>
      <c r="G159" s="197">
        <f t="shared" si="46"/>
        <v>1</v>
      </c>
      <c r="H159" s="995" t="str">
        <f>'7.15'!E137</f>
        <v>南北</v>
      </c>
      <c r="I159" s="197">
        <f t="shared" si="47"/>
        <v>1</v>
      </c>
      <c r="J159" s="995"/>
      <c r="K159" s="197">
        <f t="shared" si="48"/>
        <v>1</v>
      </c>
      <c r="L159" s="995"/>
      <c r="M159" s="197">
        <f t="shared" si="49"/>
        <v>1</v>
      </c>
      <c r="N159" s="995"/>
      <c r="O159" s="197">
        <f t="shared" si="50"/>
        <v>1</v>
      </c>
      <c r="P159" s="995"/>
      <c r="Q159" s="197">
        <f t="shared" si="51"/>
        <v>1</v>
      </c>
      <c r="R159" s="991">
        <f t="shared" ca="1" si="56"/>
        <v>16091</v>
      </c>
      <c r="S159" s="552">
        <f t="shared" ca="1" si="57"/>
        <v>1742494</v>
      </c>
      <c r="T159" s="2010">
        <f t="shared" ca="1" si="58"/>
        <v>174</v>
      </c>
      <c r="U159" s="2305">
        <f t="shared" si="52"/>
        <v>0</v>
      </c>
      <c r="V159" s="2305">
        <f t="shared" si="53"/>
        <v>0</v>
      </c>
      <c r="W159" s="2300"/>
      <c r="X159" s="2305">
        <f t="shared" si="54"/>
        <v>0</v>
      </c>
      <c r="Y159" s="2305">
        <f t="shared" si="55"/>
        <v>0</v>
      </c>
      <c r="Z159" s="2300"/>
    </row>
    <row r="160" spans="1:26">
      <c r="A160" s="292" t="str">
        <f>'7.15'!B138</f>
        <v>6幢3单元501室</v>
      </c>
      <c r="B160" s="207">
        <f>'7.17'!G138</f>
        <v>108.29</v>
      </c>
      <c r="C160" s="197">
        <f t="shared" si="44"/>
        <v>1.01</v>
      </c>
      <c r="D160" s="995" t="s">
        <v>7606</v>
      </c>
      <c r="E160" s="197">
        <f t="shared" si="45"/>
        <v>1</v>
      </c>
      <c r="F160" s="995" t="str">
        <f>'7.15'!D138</f>
        <v>平层</v>
      </c>
      <c r="G160" s="197">
        <f t="shared" si="46"/>
        <v>1</v>
      </c>
      <c r="H160" s="995" t="str">
        <f>'7.15'!E138</f>
        <v>南北</v>
      </c>
      <c r="I160" s="197">
        <f t="shared" si="47"/>
        <v>1</v>
      </c>
      <c r="J160" s="995"/>
      <c r="K160" s="197">
        <f t="shared" si="48"/>
        <v>1</v>
      </c>
      <c r="L160" s="995"/>
      <c r="M160" s="197">
        <f t="shared" si="49"/>
        <v>1</v>
      </c>
      <c r="N160" s="995"/>
      <c r="O160" s="197">
        <f t="shared" si="50"/>
        <v>1</v>
      </c>
      <c r="P160" s="995"/>
      <c r="Q160" s="197">
        <f t="shared" si="51"/>
        <v>1</v>
      </c>
      <c r="R160" s="991">
        <f t="shared" ca="1" si="56"/>
        <v>16091</v>
      </c>
      <c r="S160" s="552">
        <f t="shared" ca="1" si="57"/>
        <v>1742494</v>
      </c>
      <c r="T160" s="2010">
        <f t="shared" ca="1" si="58"/>
        <v>174</v>
      </c>
      <c r="U160" s="2305">
        <f t="shared" si="52"/>
        <v>0</v>
      </c>
      <c r="V160" s="2305">
        <f t="shared" si="53"/>
        <v>0</v>
      </c>
      <c r="W160" s="2300"/>
      <c r="X160" s="2305">
        <f t="shared" si="54"/>
        <v>0</v>
      </c>
      <c r="Y160" s="2305">
        <f t="shared" si="55"/>
        <v>0</v>
      </c>
      <c r="Z160" s="2300"/>
    </row>
    <row r="161" spans="1:26">
      <c r="A161" s="292" t="str">
        <f>'7.15'!B139</f>
        <v>6幢3单元601室</v>
      </c>
      <c r="B161" s="207">
        <f>'7.17'!G139</f>
        <v>108.29</v>
      </c>
      <c r="C161" s="197">
        <f t="shared" si="44"/>
        <v>1.01</v>
      </c>
      <c r="D161" s="995" t="s">
        <v>7606</v>
      </c>
      <c r="E161" s="197">
        <f t="shared" si="45"/>
        <v>1</v>
      </c>
      <c r="F161" s="995" t="str">
        <f>'7.15'!D139</f>
        <v>平层</v>
      </c>
      <c r="G161" s="197">
        <f t="shared" si="46"/>
        <v>1</v>
      </c>
      <c r="H161" s="995" t="str">
        <f>'7.15'!E139</f>
        <v>南北</v>
      </c>
      <c r="I161" s="197">
        <f t="shared" si="47"/>
        <v>1</v>
      </c>
      <c r="J161" s="995"/>
      <c r="K161" s="197">
        <f t="shared" si="48"/>
        <v>1</v>
      </c>
      <c r="L161" s="995"/>
      <c r="M161" s="197">
        <f t="shared" si="49"/>
        <v>1</v>
      </c>
      <c r="N161" s="995"/>
      <c r="O161" s="197">
        <f t="shared" si="50"/>
        <v>1</v>
      </c>
      <c r="P161" s="995"/>
      <c r="Q161" s="197">
        <f t="shared" si="51"/>
        <v>1</v>
      </c>
      <c r="R161" s="991">
        <f t="shared" ca="1" si="56"/>
        <v>16091</v>
      </c>
      <c r="S161" s="552">
        <f t="shared" ca="1" si="57"/>
        <v>1742494</v>
      </c>
      <c r="T161" s="2010">
        <f t="shared" ca="1" si="58"/>
        <v>174</v>
      </c>
      <c r="U161" s="2305">
        <f t="shared" si="52"/>
        <v>0</v>
      </c>
      <c r="V161" s="2305">
        <f t="shared" si="53"/>
        <v>0</v>
      </c>
      <c r="W161" s="2300"/>
      <c r="X161" s="2305">
        <f t="shared" si="54"/>
        <v>0</v>
      </c>
      <c r="Y161" s="2305">
        <f t="shared" si="55"/>
        <v>0</v>
      </c>
      <c r="Z161" s="2300"/>
    </row>
    <row r="162" spans="1:26">
      <c r="A162" s="292" t="str">
        <f>'7.15'!B140</f>
        <v>6幢3单元701室</v>
      </c>
      <c r="B162" s="207">
        <f>'7.17'!G140</f>
        <v>108.29</v>
      </c>
      <c r="C162" s="197">
        <f t="shared" si="44"/>
        <v>1.01</v>
      </c>
      <c r="D162" s="3204" t="s">
        <v>7609</v>
      </c>
      <c r="E162" s="197">
        <f t="shared" si="45"/>
        <v>1.04</v>
      </c>
      <c r="F162" s="995" t="str">
        <f>'7.15'!D140</f>
        <v>平层</v>
      </c>
      <c r="G162" s="197">
        <f t="shared" si="46"/>
        <v>1</v>
      </c>
      <c r="H162" s="995" t="str">
        <f>'7.15'!E140</f>
        <v>南北</v>
      </c>
      <c r="I162" s="197">
        <f t="shared" si="47"/>
        <v>1</v>
      </c>
      <c r="J162" s="995"/>
      <c r="K162" s="197">
        <f t="shared" si="48"/>
        <v>1</v>
      </c>
      <c r="L162" s="995"/>
      <c r="M162" s="197">
        <f t="shared" si="49"/>
        <v>1</v>
      </c>
      <c r="N162" s="995"/>
      <c r="O162" s="197">
        <f t="shared" si="50"/>
        <v>1</v>
      </c>
      <c r="P162" s="995"/>
      <c r="Q162" s="197">
        <f t="shared" si="51"/>
        <v>1</v>
      </c>
      <c r="R162" s="991">
        <f t="shared" ca="1" si="56"/>
        <v>16735</v>
      </c>
      <c r="S162" s="552">
        <f t="shared" ca="1" si="57"/>
        <v>1812233</v>
      </c>
      <c r="T162" s="2010">
        <f t="shared" ca="1" si="58"/>
        <v>181</v>
      </c>
      <c r="U162" s="2305">
        <f t="shared" si="52"/>
        <v>0</v>
      </c>
      <c r="V162" s="2305">
        <f t="shared" si="53"/>
        <v>0</v>
      </c>
      <c r="W162" s="2300"/>
      <c r="X162" s="2305">
        <f t="shared" si="54"/>
        <v>0</v>
      </c>
      <c r="Y162" s="2305">
        <f t="shared" si="55"/>
        <v>0</v>
      </c>
      <c r="Z162" s="2300"/>
    </row>
    <row r="163" spans="1:26">
      <c r="A163" s="292" t="str">
        <f>'7.15'!B141</f>
        <v>6幢3单元801室</v>
      </c>
      <c r="B163" s="207">
        <f>'7.17'!G141</f>
        <v>108.29</v>
      </c>
      <c r="C163" s="197">
        <f t="shared" si="44"/>
        <v>1.01</v>
      </c>
      <c r="D163" s="3204" t="s">
        <v>7609</v>
      </c>
      <c r="E163" s="197">
        <f t="shared" si="45"/>
        <v>1.04</v>
      </c>
      <c r="F163" s="995" t="str">
        <f>'7.15'!D141</f>
        <v>平层</v>
      </c>
      <c r="G163" s="197">
        <f t="shared" si="46"/>
        <v>1</v>
      </c>
      <c r="H163" s="995" t="str">
        <f>'7.15'!E141</f>
        <v>南北</v>
      </c>
      <c r="I163" s="197">
        <f t="shared" si="47"/>
        <v>1</v>
      </c>
      <c r="J163" s="995"/>
      <c r="K163" s="197">
        <f t="shared" si="48"/>
        <v>1</v>
      </c>
      <c r="L163" s="995"/>
      <c r="M163" s="197">
        <f t="shared" si="49"/>
        <v>1</v>
      </c>
      <c r="N163" s="995"/>
      <c r="O163" s="197">
        <f t="shared" si="50"/>
        <v>1</v>
      </c>
      <c r="P163" s="995"/>
      <c r="Q163" s="197">
        <f t="shared" si="51"/>
        <v>1</v>
      </c>
      <c r="R163" s="991">
        <f t="shared" ca="1" si="56"/>
        <v>16735</v>
      </c>
      <c r="S163" s="552">
        <f t="shared" ca="1" si="57"/>
        <v>1812233</v>
      </c>
      <c r="T163" s="2010">
        <f t="shared" ca="1" si="58"/>
        <v>181</v>
      </c>
      <c r="U163" s="2305">
        <f t="shared" si="52"/>
        <v>0</v>
      </c>
      <c r="V163" s="2305">
        <f t="shared" si="53"/>
        <v>0</v>
      </c>
      <c r="W163" s="2300"/>
      <c r="X163" s="2305">
        <f t="shared" si="54"/>
        <v>0</v>
      </c>
      <c r="Y163" s="2305">
        <f t="shared" si="55"/>
        <v>0</v>
      </c>
      <c r="Z163" s="2300"/>
    </row>
    <row r="164" spans="1:26">
      <c r="A164" s="292" t="str">
        <f>'7.15'!B142</f>
        <v>6幢3单元901室</v>
      </c>
      <c r="B164" s="207">
        <f>'7.17'!G142</f>
        <v>108.29</v>
      </c>
      <c r="C164" s="197">
        <f t="shared" si="44"/>
        <v>1.01</v>
      </c>
      <c r="D164" s="3204" t="s">
        <v>7609</v>
      </c>
      <c r="E164" s="197">
        <f t="shared" si="45"/>
        <v>1.04</v>
      </c>
      <c r="F164" s="995" t="str">
        <f>'7.15'!D142</f>
        <v>平层</v>
      </c>
      <c r="G164" s="197">
        <f t="shared" si="46"/>
        <v>1</v>
      </c>
      <c r="H164" s="995" t="str">
        <f>'7.15'!E142</f>
        <v>南北</v>
      </c>
      <c r="I164" s="197">
        <f t="shared" si="47"/>
        <v>1</v>
      </c>
      <c r="J164" s="995"/>
      <c r="K164" s="197">
        <f t="shared" si="48"/>
        <v>1</v>
      </c>
      <c r="L164" s="995"/>
      <c r="M164" s="197">
        <f t="shared" si="49"/>
        <v>1</v>
      </c>
      <c r="N164" s="995"/>
      <c r="O164" s="197">
        <f t="shared" si="50"/>
        <v>1</v>
      </c>
      <c r="P164" s="995"/>
      <c r="Q164" s="197">
        <f t="shared" si="51"/>
        <v>1</v>
      </c>
      <c r="R164" s="991">
        <f t="shared" ca="1" si="56"/>
        <v>16735</v>
      </c>
      <c r="S164" s="552">
        <f t="shared" ca="1" si="57"/>
        <v>1812233</v>
      </c>
      <c r="T164" s="2010">
        <f t="shared" ca="1" si="58"/>
        <v>181</v>
      </c>
      <c r="U164" s="2305">
        <f t="shared" si="52"/>
        <v>0</v>
      </c>
      <c r="V164" s="2305">
        <f t="shared" si="53"/>
        <v>0</v>
      </c>
      <c r="W164" s="2300"/>
      <c r="X164" s="2305">
        <f t="shared" si="54"/>
        <v>0</v>
      </c>
      <c r="Y164" s="2305">
        <f t="shared" si="55"/>
        <v>0</v>
      </c>
      <c r="Z164" s="2300"/>
    </row>
    <row r="165" spans="1:26">
      <c r="A165" s="292" t="str">
        <f>'7.15'!B143</f>
        <v>6幢3单元1001室</v>
      </c>
      <c r="B165" s="207">
        <f>'7.17'!G143</f>
        <v>108.29</v>
      </c>
      <c r="C165" s="197">
        <f t="shared" si="44"/>
        <v>1.01</v>
      </c>
      <c r="D165" s="3204" t="s">
        <v>7609</v>
      </c>
      <c r="E165" s="197">
        <f t="shared" si="45"/>
        <v>1.04</v>
      </c>
      <c r="F165" s="995" t="str">
        <f>'7.15'!D143</f>
        <v>平层</v>
      </c>
      <c r="G165" s="197">
        <f t="shared" si="46"/>
        <v>1</v>
      </c>
      <c r="H165" s="995" t="str">
        <f>'7.15'!E143</f>
        <v>南北</v>
      </c>
      <c r="I165" s="197">
        <f t="shared" si="47"/>
        <v>1</v>
      </c>
      <c r="J165" s="995"/>
      <c r="K165" s="197">
        <f t="shared" si="48"/>
        <v>1</v>
      </c>
      <c r="L165" s="995"/>
      <c r="M165" s="197">
        <f t="shared" si="49"/>
        <v>1</v>
      </c>
      <c r="N165" s="995"/>
      <c r="O165" s="197">
        <f t="shared" si="50"/>
        <v>1</v>
      </c>
      <c r="P165" s="995"/>
      <c r="Q165" s="197">
        <f t="shared" si="51"/>
        <v>1</v>
      </c>
      <c r="R165" s="991">
        <f t="shared" ca="1" si="56"/>
        <v>16735</v>
      </c>
      <c r="S165" s="552">
        <f t="shared" ca="1" si="57"/>
        <v>1812233</v>
      </c>
      <c r="T165" s="2010">
        <f t="shared" ca="1" si="58"/>
        <v>181</v>
      </c>
      <c r="U165" s="2305">
        <f t="shared" si="52"/>
        <v>0</v>
      </c>
      <c r="V165" s="2305">
        <f t="shared" si="53"/>
        <v>0</v>
      </c>
      <c r="W165" s="2300"/>
      <c r="X165" s="2305">
        <f t="shared" si="54"/>
        <v>0</v>
      </c>
      <c r="Y165" s="2305">
        <f t="shared" si="55"/>
        <v>0</v>
      </c>
      <c r="Z165" s="2300"/>
    </row>
    <row r="166" spans="1:26">
      <c r="A166" s="292" t="str">
        <f>'7.15'!B144</f>
        <v>6幢3单元1101室</v>
      </c>
      <c r="B166" s="207">
        <f>'7.17'!G144</f>
        <v>108.29</v>
      </c>
      <c r="C166" s="197">
        <f t="shared" si="44"/>
        <v>1.01</v>
      </c>
      <c r="D166" s="3204" t="s">
        <v>7609</v>
      </c>
      <c r="E166" s="197">
        <f t="shared" si="45"/>
        <v>1.04</v>
      </c>
      <c r="F166" s="995" t="str">
        <f>'7.15'!D144</f>
        <v>平层</v>
      </c>
      <c r="G166" s="197">
        <f t="shared" si="46"/>
        <v>1</v>
      </c>
      <c r="H166" s="995" t="str">
        <f>'7.15'!E144</f>
        <v>南北</v>
      </c>
      <c r="I166" s="197">
        <f t="shared" si="47"/>
        <v>1</v>
      </c>
      <c r="J166" s="995"/>
      <c r="K166" s="197">
        <f t="shared" si="48"/>
        <v>1</v>
      </c>
      <c r="L166" s="995"/>
      <c r="M166" s="197">
        <f t="shared" si="49"/>
        <v>1</v>
      </c>
      <c r="N166" s="995"/>
      <c r="O166" s="197">
        <f t="shared" si="50"/>
        <v>1</v>
      </c>
      <c r="P166" s="995"/>
      <c r="Q166" s="197">
        <f t="shared" si="51"/>
        <v>1</v>
      </c>
      <c r="R166" s="991">
        <f t="shared" ca="1" si="56"/>
        <v>16735</v>
      </c>
      <c r="S166" s="552">
        <f t="shared" ca="1" si="57"/>
        <v>1812233</v>
      </c>
      <c r="T166" s="2010">
        <f t="shared" ca="1" si="58"/>
        <v>181</v>
      </c>
      <c r="U166" s="2305">
        <f t="shared" si="52"/>
        <v>0</v>
      </c>
      <c r="V166" s="2305">
        <f t="shared" si="53"/>
        <v>0</v>
      </c>
      <c r="W166" s="2300"/>
      <c r="X166" s="2305">
        <f t="shared" si="54"/>
        <v>0</v>
      </c>
      <c r="Y166" s="2305">
        <f t="shared" si="55"/>
        <v>0</v>
      </c>
      <c r="Z166" s="2300"/>
    </row>
    <row r="167" spans="1:26">
      <c r="A167" s="292" t="str">
        <f>'7.15'!B145</f>
        <v>6幢3单元1201室</v>
      </c>
      <c r="B167" s="207">
        <f>'7.17'!G145</f>
        <v>108.29</v>
      </c>
      <c r="C167" s="197">
        <f t="shared" si="44"/>
        <v>1.01</v>
      </c>
      <c r="D167" s="3204" t="s">
        <v>7609</v>
      </c>
      <c r="E167" s="197">
        <f t="shared" si="45"/>
        <v>1.04</v>
      </c>
      <c r="F167" s="995" t="str">
        <f>'7.15'!D145</f>
        <v>平层</v>
      </c>
      <c r="G167" s="197">
        <f t="shared" si="46"/>
        <v>1</v>
      </c>
      <c r="H167" s="995" t="str">
        <f>'7.15'!E145</f>
        <v>南北</v>
      </c>
      <c r="I167" s="197">
        <f t="shared" si="47"/>
        <v>1</v>
      </c>
      <c r="J167" s="995"/>
      <c r="K167" s="197">
        <f t="shared" si="48"/>
        <v>1</v>
      </c>
      <c r="L167" s="995"/>
      <c r="M167" s="197">
        <f t="shared" si="49"/>
        <v>1</v>
      </c>
      <c r="N167" s="995"/>
      <c r="O167" s="197">
        <f t="shared" si="50"/>
        <v>1</v>
      </c>
      <c r="P167" s="995"/>
      <c r="Q167" s="197">
        <f t="shared" si="51"/>
        <v>1</v>
      </c>
      <c r="R167" s="991">
        <f t="shared" ca="1" si="56"/>
        <v>16735</v>
      </c>
      <c r="S167" s="552">
        <f t="shared" ca="1" si="57"/>
        <v>1812233</v>
      </c>
      <c r="T167" s="2010">
        <f t="shared" ca="1" si="58"/>
        <v>181</v>
      </c>
      <c r="U167" s="2305">
        <f t="shared" si="52"/>
        <v>0</v>
      </c>
      <c r="V167" s="2305">
        <f t="shared" si="53"/>
        <v>0</v>
      </c>
      <c r="W167" s="2300"/>
      <c r="X167" s="2305">
        <f t="shared" si="54"/>
        <v>0</v>
      </c>
      <c r="Y167" s="2305">
        <f t="shared" si="55"/>
        <v>0</v>
      </c>
      <c r="Z167" s="2300"/>
    </row>
    <row r="168" spans="1:26">
      <c r="A168" s="292" t="str">
        <f>'7.15'!B146</f>
        <v>6幢3单元1301室</v>
      </c>
      <c r="B168" s="207">
        <f>'7.17'!G146</f>
        <v>108.29</v>
      </c>
      <c r="C168" s="197">
        <f t="shared" si="44"/>
        <v>1.01</v>
      </c>
      <c r="D168" s="3204" t="s">
        <v>7608</v>
      </c>
      <c r="E168" s="197">
        <f t="shared" si="45"/>
        <v>1.02</v>
      </c>
      <c r="F168" s="995" t="str">
        <f>'7.15'!D146</f>
        <v>平层</v>
      </c>
      <c r="G168" s="197">
        <f t="shared" si="46"/>
        <v>1</v>
      </c>
      <c r="H168" s="995" t="str">
        <f>'7.15'!E146</f>
        <v>南北</v>
      </c>
      <c r="I168" s="197">
        <f t="shared" si="47"/>
        <v>1</v>
      </c>
      <c r="J168" s="995"/>
      <c r="K168" s="197">
        <f t="shared" si="48"/>
        <v>1</v>
      </c>
      <c r="L168" s="995"/>
      <c r="M168" s="197">
        <f t="shared" si="49"/>
        <v>1</v>
      </c>
      <c r="N168" s="995"/>
      <c r="O168" s="197">
        <f t="shared" si="50"/>
        <v>1</v>
      </c>
      <c r="P168" s="995"/>
      <c r="Q168" s="197">
        <f t="shared" si="51"/>
        <v>1</v>
      </c>
      <c r="R168" s="991">
        <f t="shared" ca="1" si="56"/>
        <v>16413</v>
      </c>
      <c r="S168" s="552">
        <f t="shared" ca="1" si="57"/>
        <v>1777364</v>
      </c>
      <c r="T168" s="2010">
        <f t="shared" ca="1" si="58"/>
        <v>178</v>
      </c>
      <c r="U168" s="2305">
        <f t="shared" si="52"/>
        <v>0</v>
      </c>
      <c r="V168" s="2305">
        <f t="shared" si="53"/>
        <v>0</v>
      </c>
      <c r="W168" s="2300"/>
      <c r="X168" s="2305">
        <f t="shared" si="54"/>
        <v>0</v>
      </c>
      <c r="Y168" s="2305">
        <f t="shared" si="55"/>
        <v>0</v>
      </c>
      <c r="Z168" s="2300"/>
    </row>
    <row r="169" spans="1:26">
      <c r="A169" s="292" t="str">
        <f>'7.15'!B147</f>
        <v>6幢3单元1401室</v>
      </c>
      <c r="B169" s="207">
        <f>'7.17'!G147</f>
        <v>108.29</v>
      </c>
      <c r="C169" s="197">
        <f t="shared" si="44"/>
        <v>1.01</v>
      </c>
      <c r="D169" s="3204" t="s">
        <v>7608</v>
      </c>
      <c r="E169" s="197">
        <f t="shared" si="45"/>
        <v>1.02</v>
      </c>
      <c r="F169" s="995" t="str">
        <f>'7.15'!D147</f>
        <v>平层</v>
      </c>
      <c r="G169" s="197">
        <f t="shared" si="46"/>
        <v>1</v>
      </c>
      <c r="H169" s="995" t="str">
        <f>'7.15'!E147</f>
        <v>南北</v>
      </c>
      <c r="I169" s="197">
        <f t="shared" si="47"/>
        <v>1</v>
      </c>
      <c r="J169" s="995"/>
      <c r="K169" s="197">
        <f t="shared" si="48"/>
        <v>1</v>
      </c>
      <c r="L169" s="995"/>
      <c r="M169" s="197">
        <f t="shared" si="49"/>
        <v>1</v>
      </c>
      <c r="N169" s="995"/>
      <c r="O169" s="197">
        <f t="shared" si="50"/>
        <v>1</v>
      </c>
      <c r="P169" s="995"/>
      <c r="Q169" s="197">
        <f t="shared" si="51"/>
        <v>1</v>
      </c>
      <c r="R169" s="991">
        <f t="shared" ca="1" si="56"/>
        <v>16413</v>
      </c>
      <c r="S169" s="552">
        <f t="shared" ca="1" si="57"/>
        <v>1777364</v>
      </c>
      <c r="T169" s="2010">
        <f t="shared" ca="1" si="58"/>
        <v>178</v>
      </c>
      <c r="U169" s="2305">
        <f t="shared" si="52"/>
        <v>0</v>
      </c>
      <c r="V169" s="2305">
        <f t="shared" si="53"/>
        <v>0</v>
      </c>
      <c r="W169" s="2300"/>
      <c r="X169" s="2305">
        <f t="shared" si="54"/>
        <v>0</v>
      </c>
      <c r="Y169" s="2305">
        <f t="shared" si="55"/>
        <v>0</v>
      </c>
      <c r="Z169" s="2300"/>
    </row>
    <row r="170" spans="1:26">
      <c r="A170" s="292" t="str">
        <f>'7.15'!B148</f>
        <v>6幢3单元1501室</v>
      </c>
      <c r="B170" s="207">
        <f>'7.17'!G148</f>
        <v>108.29</v>
      </c>
      <c r="C170" s="197">
        <f t="shared" si="44"/>
        <v>1.01</v>
      </c>
      <c r="D170" s="3204" t="s">
        <v>7608</v>
      </c>
      <c r="E170" s="197">
        <f t="shared" si="45"/>
        <v>1.02</v>
      </c>
      <c r="F170" s="995" t="str">
        <f>'7.15'!D148</f>
        <v>平层</v>
      </c>
      <c r="G170" s="197">
        <f t="shared" si="46"/>
        <v>1</v>
      </c>
      <c r="H170" s="995" t="str">
        <f>'7.15'!E148</f>
        <v>南北</v>
      </c>
      <c r="I170" s="197">
        <f t="shared" si="47"/>
        <v>1</v>
      </c>
      <c r="J170" s="995"/>
      <c r="K170" s="197">
        <f t="shared" si="48"/>
        <v>1</v>
      </c>
      <c r="L170" s="995"/>
      <c r="M170" s="197">
        <f t="shared" si="49"/>
        <v>1</v>
      </c>
      <c r="N170" s="995"/>
      <c r="O170" s="197">
        <f t="shared" si="50"/>
        <v>1</v>
      </c>
      <c r="P170" s="995"/>
      <c r="Q170" s="197">
        <f t="shared" si="51"/>
        <v>1</v>
      </c>
      <c r="R170" s="991">
        <f t="shared" ca="1" si="56"/>
        <v>16413</v>
      </c>
      <c r="S170" s="552">
        <f t="shared" ca="1" si="57"/>
        <v>1777364</v>
      </c>
      <c r="T170" s="2010">
        <f t="shared" ca="1" si="58"/>
        <v>178</v>
      </c>
      <c r="U170" s="2305">
        <f t="shared" si="52"/>
        <v>0</v>
      </c>
      <c r="V170" s="2305">
        <f t="shared" si="53"/>
        <v>0</v>
      </c>
      <c r="W170" s="2300"/>
      <c r="X170" s="2305">
        <f t="shared" si="54"/>
        <v>0</v>
      </c>
      <c r="Y170" s="2305">
        <f t="shared" si="55"/>
        <v>0</v>
      </c>
      <c r="Z170" s="2300"/>
    </row>
    <row r="171" spans="1:26">
      <c r="A171" s="292" t="str">
        <f>'7.15'!B149</f>
        <v>6幢3单元1601室</v>
      </c>
      <c r="B171" s="207">
        <f>'7.17'!G149</f>
        <v>108.29</v>
      </c>
      <c r="C171" s="197">
        <f t="shared" si="44"/>
        <v>1.01</v>
      </c>
      <c r="D171" s="3204" t="s">
        <v>7608</v>
      </c>
      <c r="E171" s="197">
        <f t="shared" si="45"/>
        <v>1.02</v>
      </c>
      <c r="F171" s="995" t="str">
        <f>'7.15'!D149</f>
        <v>平层</v>
      </c>
      <c r="G171" s="197">
        <f t="shared" si="46"/>
        <v>1</v>
      </c>
      <c r="H171" s="995" t="str">
        <f>'7.15'!E149</f>
        <v>南北</v>
      </c>
      <c r="I171" s="197">
        <f t="shared" si="47"/>
        <v>1</v>
      </c>
      <c r="J171" s="995"/>
      <c r="K171" s="197">
        <f t="shared" si="48"/>
        <v>1</v>
      </c>
      <c r="L171" s="995"/>
      <c r="M171" s="197">
        <f t="shared" si="49"/>
        <v>1</v>
      </c>
      <c r="N171" s="995"/>
      <c r="O171" s="197">
        <f t="shared" si="50"/>
        <v>1</v>
      </c>
      <c r="P171" s="995"/>
      <c r="Q171" s="197">
        <f t="shared" si="51"/>
        <v>1</v>
      </c>
      <c r="R171" s="991">
        <f t="shared" ca="1" si="56"/>
        <v>16413</v>
      </c>
      <c r="S171" s="552">
        <f t="shared" ca="1" si="57"/>
        <v>1777364</v>
      </c>
      <c r="T171" s="2010">
        <f t="shared" ca="1" si="58"/>
        <v>178</v>
      </c>
      <c r="U171" s="2305">
        <f t="shared" si="52"/>
        <v>0</v>
      </c>
      <c r="V171" s="2305">
        <f t="shared" si="53"/>
        <v>0</v>
      </c>
      <c r="W171" s="2300"/>
      <c r="X171" s="2305">
        <f t="shared" si="54"/>
        <v>0</v>
      </c>
      <c r="Y171" s="2305">
        <f t="shared" si="55"/>
        <v>0</v>
      </c>
      <c r="Z171" s="2300"/>
    </row>
    <row r="172" spans="1:26">
      <c r="A172" s="292" t="str">
        <f>'7.15'!B150</f>
        <v>6幢3单元1701室</v>
      </c>
      <c r="B172" s="207">
        <f>'7.17'!G150</f>
        <v>94.02</v>
      </c>
      <c r="C172" s="197">
        <f t="shared" si="44"/>
        <v>1</v>
      </c>
      <c r="D172" s="3204" t="s">
        <v>7608</v>
      </c>
      <c r="E172" s="197">
        <f t="shared" si="45"/>
        <v>1.02</v>
      </c>
      <c r="F172" s="995" t="str">
        <f>'7.15'!D150</f>
        <v>平层</v>
      </c>
      <c r="G172" s="197">
        <f t="shared" si="46"/>
        <v>1</v>
      </c>
      <c r="H172" s="995" t="str">
        <f>'7.15'!E150</f>
        <v>南北</v>
      </c>
      <c r="I172" s="197">
        <f t="shared" si="47"/>
        <v>1</v>
      </c>
      <c r="J172" s="995"/>
      <c r="K172" s="197">
        <f t="shared" si="48"/>
        <v>1</v>
      </c>
      <c r="L172" s="995"/>
      <c r="M172" s="197">
        <f t="shared" si="49"/>
        <v>1</v>
      </c>
      <c r="N172" s="995"/>
      <c r="O172" s="197">
        <f t="shared" si="50"/>
        <v>1</v>
      </c>
      <c r="P172" s="995"/>
      <c r="Q172" s="197">
        <f t="shared" si="51"/>
        <v>1</v>
      </c>
      <c r="R172" s="991">
        <f t="shared" ca="1" si="56"/>
        <v>16251</v>
      </c>
      <c r="S172" s="552">
        <f t="shared" ca="1" si="57"/>
        <v>1527919</v>
      </c>
      <c r="T172" s="2010">
        <f t="shared" ca="1" si="58"/>
        <v>153</v>
      </c>
      <c r="U172" s="2305">
        <f t="shared" si="52"/>
        <v>0</v>
      </c>
      <c r="V172" s="2305">
        <f t="shared" si="53"/>
        <v>0</v>
      </c>
      <c r="W172" s="2300"/>
      <c r="X172" s="2305">
        <f t="shared" si="54"/>
        <v>0</v>
      </c>
      <c r="Y172" s="2305">
        <f t="shared" si="55"/>
        <v>0</v>
      </c>
      <c r="Z172" s="2300"/>
    </row>
    <row r="173" spans="1:26">
      <c r="A173" s="292" t="str">
        <f>'7.15'!B151</f>
        <v>6幢3单元202室</v>
      </c>
      <c r="B173" s="207">
        <f>'7.17'!G151</f>
        <v>87.85</v>
      </c>
      <c r="C173" s="197">
        <f t="shared" si="44"/>
        <v>1</v>
      </c>
      <c r="D173" s="995" t="s">
        <v>7606</v>
      </c>
      <c r="E173" s="197">
        <f t="shared" si="45"/>
        <v>1</v>
      </c>
      <c r="F173" s="995" t="str">
        <f>'7.15'!D151</f>
        <v>平层</v>
      </c>
      <c r="G173" s="197">
        <f t="shared" si="46"/>
        <v>1</v>
      </c>
      <c r="H173" s="995" t="str">
        <f>'7.15'!E151</f>
        <v>南北</v>
      </c>
      <c r="I173" s="197">
        <f t="shared" si="47"/>
        <v>1</v>
      </c>
      <c r="J173" s="995"/>
      <c r="K173" s="197">
        <f t="shared" si="48"/>
        <v>1</v>
      </c>
      <c r="L173" s="995"/>
      <c r="M173" s="197">
        <f t="shared" si="49"/>
        <v>1</v>
      </c>
      <c r="N173" s="995"/>
      <c r="O173" s="197">
        <f t="shared" si="50"/>
        <v>1</v>
      </c>
      <c r="P173" s="995"/>
      <c r="Q173" s="197">
        <f t="shared" si="51"/>
        <v>1</v>
      </c>
      <c r="R173" s="991">
        <f t="shared" ca="1" si="56"/>
        <v>15932</v>
      </c>
      <c r="S173" s="552">
        <f t="shared" ca="1" si="57"/>
        <v>1399626</v>
      </c>
      <c r="T173" s="2010">
        <f t="shared" ca="1" si="58"/>
        <v>140</v>
      </c>
      <c r="U173" s="2305">
        <f t="shared" si="52"/>
        <v>0</v>
      </c>
      <c r="V173" s="2305">
        <f t="shared" si="53"/>
        <v>0</v>
      </c>
      <c r="W173" s="2300"/>
      <c r="X173" s="2305">
        <f t="shared" si="54"/>
        <v>0</v>
      </c>
      <c r="Y173" s="2305">
        <f t="shared" si="55"/>
        <v>0</v>
      </c>
      <c r="Z173" s="2300"/>
    </row>
    <row r="174" spans="1:26">
      <c r="A174" s="292" t="str">
        <f>'7.15'!B152</f>
        <v>6幢3单元302室</v>
      </c>
      <c r="B174" s="207">
        <f>'7.17'!G152</f>
        <v>87.85</v>
      </c>
      <c r="C174" s="197">
        <f t="shared" si="44"/>
        <v>1</v>
      </c>
      <c r="D174" s="995" t="s">
        <v>7606</v>
      </c>
      <c r="E174" s="197">
        <f t="shared" si="45"/>
        <v>1</v>
      </c>
      <c r="F174" s="995" t="str">
        <f>'7.15'!D152</f>
        <v>平层</v>
      </c>
      <c r="G174" s="197">
        <f t="shared" si="46"/>
        <v>1</v>
      </c>
      <c r="H174" s="995" t="str">
        <f>'7.15'!E152</f>
        <v>南北</v>
      </c>
      <c r="I174" s="197">
        <f t="shared" si="47"/>
        <v>1</v>
      </c>
      <c r="J174" s="995"/>
      <c r="K174" s="197">
        <f t="shared" si="48"/>
        <v>1</v>
      </c>
      <c r="L174" s="995"/>
      <c r="M174" s="197">
        <f t="shared" si="49"/>
        <v>1</v>
      </c>
      <c r="N174" s="995"/>
      <c r="O174" s="197">
        <f t="shared" si="50"/>
        <v>1</v>
      </c>
      <c r="P174" s="995"/>
      <c r="Q174" s="197">
        <f t="shared" si="51"/>
        <v>1</v>
      </c>
      <c r="R174" s="991">
        <f t="shared" ca="1" si="56"/>
        <v>15932</v>
      </c>
      <c r="S174" s="552">
        <f t="shared" ca="1" si="57"/>
        <v>1399626</v>
      </c>
      <c r="T174" s="2010">
        <f t="shared" ca="1" si="58"/>
        <v>140</v>
      </c>
      <c r="U174" s="2305">
        <f t="shared" si="52"/>
        <v>0</v>
      </c>
      <c r="V174" s="2305">
        <f t="shared" si="53"/>
        <v>0</v>
      </c>
      <c r="W174" s="2300"/>
      <c r="X174" s="2305">
        <f t="shared" si="54"/>
        <v>0</v>
      </c>
      <c r="Y174" s="2305">
        <f t="shared" si="55"/>
        <v>0</v>
      </c>
      <c r="Z174" s="2300"/>
    </row>
    <row r="175" spans="1:26">
      <c r="A175" s="292" t="str">
        <f>'7.15'!B153</f>
        <v>6幢3单元402室</v>
      </c>
      <c r="B175" s="207">
        <f>'7.17'!G153</f>
        <v>87.85</v>
      </c>
      <c r="C175" s="197">
        <f t="shared" si="44"/>
        <v>1</v>
      </c>
      <c r="D175" s="995" t="s">
        <v>7606</v>
      </c>
      <c r="E175" s="197">
        <f t="shared" si="45"/>
        <v>1</v>
      </c>
      <c r="F175" s="995" t="str">
        <f>'7.15'!D153</f>
        <v>平层</v>
      </c>
      <c r="G175" s="197">
        <f t="shared" si="46"/>
        <v>1</v>
      </c>
      <c r="H175" s="995" t="str">
        <f>'7.15'!E153</f>
        <v>南北</v>
      </c>
      <c r="I175" s="197">
        <f t="shared" si="47"/>
        <v>1</v>
      </c>
      <c r="J175" s="995"/>
      <c r="K175" s="197">
        <f t="shared" si="48"/>
        <v>1</v>
      </c>
      <c r="L175" s="995"/>
      <c r="M175" s="197">
        <f t="shared" si="49"/>
        <v>1</v>
      </c>
      <c r="N175" s="995"/>
      <c r="O175" s="197">
        <f t="shared" si="50"/>
        <v>1</v>
      </c>
      <c r="P175" s="995"/>
      <c r="Q175" s="197">
        <f t="shared" si="51"/>
        <v>1</v>
      </c>
      <c r="R175" s="991">
        <f t="shared" ca="1" si="56"/>
        <v>15932</v>
      </c>
      <c r="S175" s="552">
        <f t="shared" ca="1" si="57"/>
        <v>1399626</v>
      </c>
      <c r="T175" s="2010">
        <f t="shared" ca="1" si="58"/>
        <v>140</v>
      </c>
      <c r="U175" s="2305">
        <f t="shared" si="52"/>
        <v>0</v>
      </c>
      <c r="V175" s="2305">
        <f t="shared" si="53"/>
        <v>0</v>
      </c>
      <c r="W175" s="2300"/>
      <c r="X175" s="2305">
        <f t="shared" si="54"/>
        <v>0</v>
      </c>
      <c r="Y175" s="2305">
        <f t="shared" si="55"/>
        <v>0</v>
      </c>
      <c r="Z175" s="2300"/>
    </row>
    <row r="176" spans="1:26">
      <c r="A176" s="292" t="str">
        <f>'7.15'!B154</f>
        <v>6幢3单元502室</v>
      </c>
      <c r="B176" s="207">
        <f>'7.17'!G154</f>
        <v>87.85</v>
      </c>
      <c r="C176" s="197">
        <f t="shared" si="44"/>
        <v>1</v>
      </c>
      <c r="D176" s="995" t="s">
        <v>7606</v>
      </c>
      <c r="E176" s="197">
        <f t="shared" si="45"/>
        <v>1</v>
      </c>
      <c r="F176" s="995" t="str">
        <f>'7.15'!D154</f>
        <v>平层</v>
      </c>
      <c r="G176" s="197">
        <f t="shared" si="46"/>
        <v>1</v>
      </c>
      <c r="H176" s="995" t="str">
        <f>'7.15'!E154</f>
        <v>南北</v>
      </c>
      <c r="I176" s="197">
        <f t="shared" si="47"/>
        <v>1</v>
      </c>
      <c r="J176" s="995"/>
      <c r="K176" s="197">
        <f t="shared" si="48"/>
        <v>1</v>
      </c>
      <c r="L176" s="995"/>
      <c r="M176" s="197">
        <f t="shared" si="49"/>
        <v>1</v>
      </c>
      <c r="N176" s="995"/>
      <c r="O176" s="197">
        <f t="shared" si="50"/>
        <v>1</v>
      </c>
      <c r="P176" s="995"/>
      <c r="Q176" s="197">
        <f t="shared" si="51"/>
        <v>1</v>
      </c>
      <c r="R176" s="991">
        <f t="shared" ca="1" si="56"/>
        <v>15932</v>
      </c>
      <c r="S176" s="552">
        <f t="shared" ca="1" si="57"/>
        <v>1399626</v>
      </c>
      <c r="T176" s="2010">
        <f t="shared" ca="1" si="58"/>
        <v>140</v>
      </c>
      <c r="U176" s="2305">
        <f t="shared" si="52"/>
        <v>0</v>
      </c>
      <c r="V176" s="2305">
        <f t="shared" si="53"/>
        <v>0</v>
      </c>
      <c r="W176" s="2300"/>
      <c r="X176" s="2305">
        <f t="shared" si="54"/>
        <v>0</v>
      </c>
      <c r="Y176" s="2305">
        <f t="shared" si="55"/>
        <v>0</v>
      </c>
      <c r="Z176" s="2300"/>
    </row>
    <row r="177" spans="1:26">
      <c r="A177" s="292" t="str">
        <f>'7.15'!B155</f>
        <v>6幢3单元602室</v>
      </c>
      <c r="B177" s="207">
        <f>'7.17'!G155</f>
        <v>87.85</v>
      </c>
      <c r="C177" s="197">
        <f t="shared" si="44"/>
        <v>1</v>
      </c>
      <c r="D177" s="995" t="s">
        <v>7606</v>
      </c>
      <c r="E177" s="197">
        <f t="shared" si="45"/>
        <v>1</v>
      </c>
      <c r="F177" s="995" t="str">
        <f>'7.15'!D155</f>
        <v>平层</v>
      </c>
      <c r="G177" s="197">
        <f t="shared" si="46"/>
        <v>1</v>
      </c>
      <c r="H177" s="995" t="str">
        <f>'7.15'!E155</f>
        <v>南北</v>
      </c>
      <c r="I177" s="197">
        <f t="shared" si="47"/>
        <v>1</v>
      </c>
      <c r="J177" s="995"/>
      <c r="K177" s="197">
        <f t="shared" si="48"/>
        <v>1</v>
      </c>
      <c r="L177" s="995"/>
      <c r="M177" s="197">
        <f t="shared" si="49"/>
        <v>1</v>
      </c>
      <c r="N177" s="995"/>
      <c r="O177" s="197">
        <f t="shared" si="50"/>
        <v>1</v>
      </c>
      <c r="P177" s="995"/>
      <c r="Q177" s="197">
        <f t="shared" si="51"/>
        <v>1</v>
      </c>
      <c r="R177" s="991">
        <f t="shared" ca="1" si="56"/>
        <v>15932</v>
      </c>
      <c r="S177" s="552">
        <f t="shared" ca="1" si="57"/>
        <v>1399626</v>
      </c>
      <c r="T177" s="2010">
        <f t="shared" ca="1" si="58"/>
        <v>140</v>
      </c>
      <c r="U177" s="2305">
        <f t="shared" si="52"/>
        <v>0</v>
      </c>
      <c r="V177" s="2305">
        <f t="shared" si="53"/>
        <v>0</v>
      </c>
      <c r="W177" s="2300"/>
      <c r="X177" s="2305">
        <f t="shared" si="54"/>
        <v>0</v>
      </c>
      <c r="Y177" s="2305">
        <f t="shared" si="55"/>
        <v>0</v>
      </c>
      <c r="Z177" s="2300"/>
    </row>
    <row r="178" spans="1:26">
      <c r="A178" s="292" t="str">
        <f>'7.15'!B156</f>
        <v>6幢3单元702室</v>
      </c>
      <c r="B178" s="207">
        <f>'7.17'!G156</f>
        <v>87.85</v>
      </c>
      <c r="C178" s="197">
        <f t="shared" si="44"/>
        <v>1</v>
      </c>
      <c r="D178" s="3204" t="s">
        <v>7609</v>
      </c>
      <c r="E178" s="197">
        <f t="shared" si="45"/>
        <v>1.04</v>
      </c>
      <c r="F178" s="995" t="str">
        <f>'7.15'!D156</f>
        <v>平层</v>
      </c>
      <c r="G178" s="197">
        <f t="shared" si="46"/>
        <v>1</v>
      </c>
      <c r="H178" s="995" t="str">
        <f>'7.15'!E156</f>
        <v>南北</v>
      </c>
      <c r="I178" s="197">
        <f t="shared" si="47"/>
        <v>1</v>
      </c>
      <c r="J178" s="995"/>
      <c r="K178" s="197">
        <f t="shared" si="48"/>
        <v>1</v>
      </c>
      <c r="L178" s="995"/>
      <c r="M178" s="197">
        <f t="shared" si="49"/>
        <v>1</v>
      </c>
      <c r="N178" s="995"/>
      <c r="O178" s="197">
        <f t="shared" si="50"/>
        <v>1</v>
      </c>
      <c r="P178" s="995"/>
      <c r="Q178" s="197">
        <f t="shared" si="51"/>
        <v>1</v>
      </c>
      <c r="R178" s="991">
        <f t="shared" ca="1" si="56"/>
        <v>16569</v>
      </c>
      <c r="S178" s="552">
        <f t="shared" ca="1" si="57"/>
        <v>1455587</v>
      </c>
      <c r="T178" s="2010">
        <f t="shared" ca="1" si="58"/>
        <v>146</v>
      </c>
      <c r="U178" s="2305">
        <f t="shared" si="52"/>
        <v>0</v>
      </c>
      <c r="V178" s="2305">
        <f t="shared" si="53"/>
        <v>0</v>
      </c>
      <c r="W178" s="2300"/>
      <c r="X178" s="2305">
        <f t="shared" si="54"/>
        <v>0</v>
      </c>
      <c r="Y178" s="2305">
        <f t="shared" si="55"/>
        <v>0</v>
      </c>
      <c r="Z178" s="2300"/>
    </row>
    <row r="179" spans="1:26">
      <c r="A179" s="292" t="str">
        <f>'7.15'!B157</f>
        <v>6幢3单元802室</v>
      </c>
      <c r="B179" s="207">
        <f>'7.17'!G157</f>
        <v>87.85</v>
      </c>
      <c r="C179" s="197">
        <f t="shared" si="44"/>
        <v>1</v>
      </c>
      <c r="D179" s="3204" t="s">
        <v>7609</v>
      </c>
      <c r="E179" s="197">
        <f t="shared" si="45"/>
        <v>1.04</v>
      </c>
      <c r="F179" s="995" t="str">
        <f>'7.15'!D157</f>
        <v>平层</v>
      </c>
      <c r="G179" s="197">
        <f t="shared" si="46"/>
        <v>1</v>
      </c>
      <c r="H179" s="995" t="str">
        <f>'7.15'!E157</f>
        <v>南北</v>
      </c>
      <c r="I179" s="197">
        <f t="shared" si="47"/>
        <v>1</v>
      </c>
      <c r="J179" s="995"/>
      <c r="K179" s="197">
        <f t="shared" si="48"/>
        <v>1</v>
      </c>
      <c r="L179" s="995"/>
      <c r="M179" s="197">
        <f t="shared" si="49"/>
        <v>1</v>
      </c>
      <c r="N179" s="995"/>
      <c r="O179" s="197">
        <f t="shared" si="50"/>
        <v>1</v>
      </c>
      <c r="P179" s="995"/>
      <c r="Q179" s="197">
        <f t="shared" si="51"/>
        <v>1</v>
      </c>
      <c r="R179" s="991">
        <f t="shared" ca="1" si="56"/>
        <v>16569</v>
      </c>
      <c r="S179" s="552">
        <f t="shared" ca="1" si="57"/>
        <v>1455587</v>
      </c>
      <c r="T179" s="2010">
        <f t="shared" ca="1" si="58"/>
        <v>146</v>
      </c>
      <c r="U179" s="2305">
        <f t="shared" si="52"/>
        <v>0</v>
      </c>
      <c r="V179" s="2305">
        <f t="shared" si="53"/>
        <v>0</v>
      </c>
      <c r="W179" s="2300"/>
      <c r="X179" s="2305">
        <f t="shared" si="54"/>
        <v>0</v>
      </c>
      <c r="Y179" s="2305">
        <f t="shared" si="55"/>
        <v>0</v>
      </c>
      <c r="Z179" s="2300"/>
    </row>
    <row r="180" spans="1:26">
      <c r="A180" s="292" t="str">
        <f>'7.15'!B158</f>
        <v>6幢3单元902室</v>
      </c>
      <c r="B180" s="207">
        <f>'7.17'!G158</f>
        <v>87.85</v>
      </c>
      <c r="C180" s="197">
        <f t="shared" si="44"/>
        <v>1</v>
      </c>
      <c r="D180" s="3204" t="s">
        <v>7609</v>
      </c>
      <c r="E180" s="197">
        <f t="shared" si="45"/>
        <v>1.04</v>
      </c>
      <c r="F180" s="995" t="str">
        <f>'7.15'!D158</f>
        <v>平层</v>
      </c>
      <c r="G180" s="197">
        <f t="shared" si="46"/>
        <v>1</v>
      </c>
      <c r="H180" s="995" t="str">
        <f>'7.15'!E158</f>
        <v>南北</v>
      </c>
      <c r="I180" s="197">
        <f t="shared" si="47"/>
        <v>1</v>
      </c>
      <c r="J180" s="995"/>
      <c r="K180" s="197">
        <f t="shared" si="48"/>
        <v>1</v>
      </c>
      <c r="L180" s="995"/>
      <c r="M180" s="197">
        <f t="shared" si="49"/>
        <v>1</v>
      </c>
      <c r="N180" s="995"/>
      <c r="O180" s="197">
        <f t="shared" si="50"/>
        <v>1</v>
      </c>
      <c r="P180" s="995"/>
      <c r="Q180" s="197">
        <f t="shared" si="51"/>
        <v>1</v>
      </c>
      <c r="R180" s="991">
        <f t="shared" ca="1" si="56"/>
        <v>16569</v>
      </c>
      <c r="S180" s="552">
        <f t="shared" ca="1" si="57"/>
        <v>1455587</v>
      </c>
      <c r="T180" s="2010">
        <f t="shared" ca="1" si="58"/>
        <v>146</v>
      </c>
      <c r="U180" s="2305">
        <f t="shared" si="52"/>
        <v>0</v>
      </c>
      <c r="V180" s="2305">
        <f t="shared" si="53"/>
        <v>0</v>
      </c>
      <c r="W180" s="2300"/>
      <c r="X180" s="2305">
        <f t="shared" si="54"/>
        <v>0</v>
      </c>
      <c r="Y180" s="2305">
        <f t="shared" si="55"/>
        <v>0</v>
      </c>
      <c r="Z180" s="2300"/>
    </row>
    <row r="181" spans="1:26">
      <c r="A181" s="292" t="str">
        <f>'7.15'!B159</f>
        <v>6幢3单元1002室</v>
      </c>
      <c r="B181" s="207">
        <f>'7.17'!G159</f>
        <v>87.85</v>
      </c>
      <c r="C181" s="197">
        <f t="shared" si="44"/>
        <v>1</v>
      </c>
      <c r="D181" s="3204" t="s">
        <v>7609</v>
      </c>
      <c r="E181" s="197">
        <f t="shared" si="45"/>
        <v>1.04</v>
      </c>
      <c r="F181" s="995" t="str">
        <f>'7.15'!D159</f>
        <v>平层</v>
      </c>
      <c r="G181" s="197">
        <f t="shared" si="46"/>
        <v>1</v>
      </c>
      <c r="H181" s="995" t="str">
        <f>'7.15'!E159</f>
        <v>南北</v>
      </c>
      <c r="I181" s="197">
        <f t="shared" si="47"/>
        <v>1</v>
      </c>
      <c r="J181" s="995"/>
      <c r="K181" s="197">
        <f t="shared" si="48"/>
        <v>1</v>
      </c>
      <c r="L181" s="995"/>
      <c r="M181" s="197">
        <f t="shared" si="49"/>
        <v>1</v>
      </c>
      <c r="N181" s="995"/>
      <c r="O181" s="197">
        <f t="shared" si="50"/>
        <v>1</v>
      </c>
      <c r="P181" s="995"/>
      <c r="Q181" s="197">
        <f t="shared" si="51"/>
        <v>1</v>
      </c>
      <c r="R181" s="991">
        <f t="shared" ca="1" si="56"/>
        <v>16569</v>
      </c>
      <c r="S181" s="552">
        <f t="shared" ca="1" si="57"/>
        <v>1455587</v>
      </c>
      <c r="T181" s="2010">
        <f t="shared" ca="1" si="58"/>
        <v>146</v>
      </c>
      <c r="U181" s="2305">
        <f t="shared" si="52"/>
        <v>0</v>
      </c>
      <c r="V181" s="2305">
        <f t="shared" si="53"/>
        <v>0</v>
      </c>
      <c r="W181" s="2300"/>
      <c r="X181" s="2305">
        <f t="shared" si="54"/>
        <v>0</v>
      </c>
      <c r="Y181" s="2305">
        <f t="shared" si="55"/>
        <v>0</v>
      </c>
      <c r="Z181" s="2300"/>
    </row>
    <row r="182" spans="1:26">
      <c r="A182" s="292" t="str">
        <f>'7.15'!B160</f>
        <v>6幢3单元1102室</v>
      </c>
      <c r="B182" s="207">
        <f>'7.17'!G160</f>
        <v>87.85</v>
      </c>
      <c r="C182" s="197">
        <f t="shared" si="44"/>
        <v>1</v>
      </c>
      <c r="D182" s="3204" t="s">
        <v>7609</v>
      </c>
      <c r="E182" s="197">
        <f t="shared" si="45"/>
        <v>1.04</v>
      </c>
      <c r="F182" s="995" t="str">
        <f>'7.15'!D160</f>
        <v>平层</v>
      </c>
      <c r="G182" s="197">
        <f t="shared" si="46"/>
        <v>1</v>
      </c>
      <c r="H182" s="995" t="str">
        <f>'7.15'!E160</f>
        <v>南北</v>
      </c>
      <c r="I182" s="197">
        <f t="shared" si="47"/>
        <v>1</v>
      </c>
      <c r="J182" s="995"/>
      <c r="K182" s="197">
        <f t="shared" si="48"/>
        <v>1</v>
      </c>
      <c r="L182" s="995"/>
      <c r="M182" s="197">
        <f t="shared" si="49"/>
        <v>1</v>
      </c>
      <c r="N182" s="995"/>
      <c r="O182" s="197">
        <f t="shared" si="50"/>
        <v>1</v>
      </c>
      <c r="P182" s="995"/>
      <c r="Q182" s="197">
        <f t="shared" si="51"/>
        <v>1</v>
      </c>
      <c r="R182" s="991">
        <f t="shared" ca="1" si="56"/>
        <v>16569</v>
      </c>
      <c r="S182" s="552">
        <f t="shared" ca="1" si="57"/>
        <v>1455587</v>
      </c>
      <c r="T182" s="2010">
        <f t="shared" ca="1" si="58"/>
        <v>146</v>
      </c>
      <c r="U182" s="2305">
        <f t="shared" si="52"/>
        <v>0</v>
      </c>
      <c r="V182" s="2305">
        <f t="shared" si="53"/>
        <v>0</v>
      </c>
      <c r="W182" s="2300"/>
      <c r="X182" s="2305">
        <f t="shared" si="54"/>
        <v>0</v>
      </c>
      <c r="Y182" s="2305">
        <f t="shared" si="55"/>
        <v>0</v>
      </c>
      <c r="Z182" s="2300"/>
    </row>
    <row r="183" spans="1:26">
      <c r="A183" s="292" t="str">
        <f>'7.15'!B161</f>
        <v>6幢3单元1202室</v>
      </c>
      <c r="B183" s="207">
        <f>'7.17'!G161</f>
        <v>87.85</v>
      </c>
      <c r="C183" s="197">
        <f t="shared" si="44"/>
        <v>1</v>
      </c>
      <c r="D183" s="3204" t="s">
        <v>7609</v>
      </c>
      <c r="E183" s="197">
        <f t="shared" si="45"/>
        <v>1.04</v>
      </c>
      <c r="F183" s="995" t="str">
        <f>'7.15'!D161</f>
        <v>平层</v>
      </c>
      <c r="G183" s="197">
        <f t="shared" si="46"/>
        <v>1</v>
      </c>
      <c r="H183" s="995" t="str">
        <f>'7.15'!E161</f>
        <v>南北</v>
      </c>
      <c r="I183" s="197">
        <f t="shared" si="47"/>
        <v>1</v>
      </c>
      <c r="J183" s="995"/>
      <c r="K183" s="197">
        <f t="shared" si="48"/>
        <v>1</v>
      </c>
      <c r="L183" s="995"/>
      <c r="M183" s="197">
        <f t="shared" si="49"/>
        <v>1</v>
      </c>
      <c r="N183" s="995"/>
      <c r="O183" s="197">
        <f t="shared" si="50"/>
        <v>1</v>
      </c>
      <c r="P183" s="995"/>
      <c r="Q183" s="197">
        <f t="shared" si="51"/>
        <v>1</v>
      </c>
      <c r="R183" s="991">
        <f t="shared" ca="1" si="56"/>
        <v>16569</v>
      </c>
      <c r="S183" s="552">
        <f t="shared" ca="1" si="57"/>
        <v>1455587</v>
      </c>
      <c r="T183" s="2010">
        <f t="shared" ca="1" si="58"/>
        <v>146</v>
      </c>
      <c r="U183" s="2305">
        <f t="shared" si="52"/>
        <v>0</v>
      </c>
      <c r="V183" s="2305">
        <f t="shared" si="53"/>
        <v>0</v>
      </c>
      <c r="W183" s="2300"/>
      <c r="X183" s="2305">
        <f t="shared" si="54"/>
        <v>0</v>
      </c>
      <c r="Y183" s="2305">
        <f t="shared" si="55"/>
        <v>0</v>
      </c>
      <c r="Z183" s="2300"/>
    </row>
    <row r="184" spans="1:26">
      <c r="A184" s="292" t="str">
        <f>'7.15'!B162</f>
        <v>6幢3单元1302室</v>
      </c>
      <c r="B184" s="207">
        <f>'7.17'!G162</f>
        <v>87.85</v>
      </c>
      <c r="C184" s="197">
        <f t="shared" si="44"/>
        <v>1</v>
      </c>
      <c r="D184" s="3204" t="s">
        <v>7608</v>
      </c>
      <c r="E184" s="197">
        <f t="shared" si="45"/>
        <v>1.02</v>
      </c>
      <c r="F184" s="995" t="str">
        <f>'7.15'!D162</f>
        <v>平层</v>
      </c>
      <c r="G184" s="197">
        <f t="shared" si="46"/>
        <v>1</v>
      </c>
      <c r="H184" s="995" t="str">
        <f>'7.15'!E162</f>
        <v>南北</v>
      </c>
      <c r="I184" s="197">
        <f t="shared" si="47"/>
        <v>1</v>
      </c>
      <c r="J184" s="995"/>
      <c r="K184" s="197">
        <f t="shared" si="48"/>
        <v>1</v>
      </c>
      <c r="L184" s="995"/>
      <c r="M184" s="197">
        <f t="shared" si="49"/>
        <v>1</v>
      </c>
      <c r="N184" s="995"/>
      <c r="O184" s="197">
        <f t="shared" si="50"/>
        <v>1</v>
      </c>
      <c r="P184" s="995"/>
      <c r="Q184" s="197">
        <f t="shared" si="51"/>
        <v>1</v>
      </c>
      <c r="R184" s="991">
        <f t="shared" ca="1" si="56"/>
        <v>16251</v>
      </c>
      <c r="S184" s="552">
        <f t="shared" ca="1" si="57"/>
        <v>1427650</v>
      </c>
      <c r="T184" s="2010">
        <f t="shared" ca="1" si="58"/>
        <v>143</v>
      </c>
      <c r="U184" s="2305">
        <f t="shared" si="52"/>
        <v>0</v>
      </c>
      <c r="V184" s="2305">
        <f t="shared" si="53"/>
        <v>0</v>
      </c>
      <c r="W184" s="2300"/>
      <c r="X184" s="2305">
        <f t="shared" si="54"/>
        <v>0</v>
      </c>
      <c r="Y184" s="2305">
        <f t="shared" si="55"/>
        <v>0</v>
      </c>
      <c r="Z184" s="2300"/>
    </row>
    <row r="185" spans="1:26">
      <c r="A185" s="292" t="str">
        <f>'7.15'!B163</f>
        <v>6幢3单元1402室</v>
      </c>
      <c r="B185" s="207">
        <f>'7.17'!G163</f>
        <v>87.85</v>
      </c>
      <c r="C185" s="197">
        <f t="shared" si="44"/>
        <v>1</v>
      </c>
      <c r="D185" s="3204" t="s">
        <v>7608</v>
      </c>
      <c r="E185" s="197">
        <f t="shared" si="45"/>
        <v>1.02</v>
      </c>
      <c r="F185" s="995" t="str">
        <f>'7.15'!D163</f>
        <v>平层</v>
      </c>
      <c r="G185" s="197">
        <f t="shared" si="46"/>
        <v>1</v>
      </c>
      <c r="H185" s="995" t="str">
        <f>'7.15'!E163</f>
        <v>南北</v>
      </c>
      <c r="I185" s="197">
        <f t="shared" si="47"/>
        <v>1</v>
      </c>
      <c r="J185" s="995"/>
      <c r="K185" s="197">
        <f t="shared" si="48"/>
        <v>1</v>
      </c>
      <c r="L185" s="995"/>
      <c r="M185" s="197">
        <f t="shared" si="49"/>
        <v>1</v>
      </c>
      <c r="N185" s="995"/>
      <c r="O185" s="197">
        <f t="shared" si="50"/>
        <v>1</v>
      </c>
      <c r="P185" s="995"/>
      <c r="Q185" s="197">
        <f t="shared" si="51"/>
        <v>1</v>
      </c>
      <c r="R185" s="991">
        <f t="shared" ca="1" si="56"/>
        <v>16251</v>
      </c>
      <c r="S185" s="552">
        <f t="shared" ca="1" si="57"/>
        <v>1427650</v>
      </c>
      <c r="T185" s="2010">
        <f t="shared" ca="1" si="58"/>
        <v>143</v>
      </c>
      <c r="U185" s="2305">
        <f t="shared" si="52"/>
        <v>0</v>
      </c>
      <c r="V185" s="2305">
        <f t="shared" si="53"/>
        <v>0</v>
      </c>
      <c r="W185" s="2300"/>
      <c r="X185" s="2305">
        <f t="shared" si="54"/>
        <v>0</v>
      </c>
      <c r="Y185" s="2305">
        <f t="shared" si="55"/>
        <v>0</v>
      </c>
      <c r="Z185" s="2300"/>
    </row>
    <row r="186" spans="1:26">
      <c r="A186" s="292" t="str">
        <f>'7.15'!B164</f>
        <v>6幢3单元1502室</v>
      </c>
      <c r="B186" s="207">
        <f>'7.17'!G164</f>
        <v>87.85</v>
      </c>
      <c r="C186" s="197">
        <f t="shared" si="44"/>
        <v>1</v>
      </c>
      <c r="D186" s="3204" t="s">
        <v>7608</v>
      </c>
      <c r="E186" s="197">
        <f t="shared" si="45"/>
        <v>1.02</v>
      </c>
      <c r="F186" s="995" t="str">
        <f>'7.15'!D164</f>
        <v>平层</v>
      </c>
      <c r="G186" s="197">
        <f t="shared" si="46"/>
        <v>1</v>
      </c>
      <c r="H186" s="995" t="str">
        <f>'7.15'!E164</f>
        <v>南北</v>
      </c>
      <c r="I186" s="197">
        <f t="shared" si="47"/>
        <v>1</v>
      </c>
      <c r="J186" s="995"/>
      <c r="K186" s="197">
        <f t="shared" si="48"/>
        <v>1</v>
      </c>
      <c r="L186" s="995"/>
      <c r="M186" s="197">
        <f t="shared" si="49"/>
        <v>1</v>
      </c>
      <c r="N186" s="995"/>
      <c r="O186" s="197">
        <f t="shared" si="50"/>
        <v>1</v>
      </c>
      <c r="P186" s="995"/>
      <c r="Q186" s="197">
        <f t="shared" si="51"/>
        <v>1</v>
      </c>
      <c r="R186" s="991">
        <f t="shared" ca="1" si="56"/>
        <v>16251</v>
      </c>
      <c r="S186" s="552">
        <f t="shared" ca="1" si="57"/>
        <v>1427650</v>
      </c>
      <c r="T186" s="2010">
        <f t="shared" ca="1" si="58"/>
        <v>143</v>
      </c>
      <c r="U186" s="2305">
        <f t="shared" si="52"/>
        <v>0</v>
      </c>
      <c r="V186" s="2305">
        <f t="shared" si="53"/>
        <v>0</v>
      </c>
      <c r="W186" s="2300"/>
      <c r="X186" s="2305">
        <f t="shared" si="54"/>
        <v>0</v>
      </c>
      <c r="Y186" s="2305">
        <f t="shared" si="55"/>
        <v>0</v>
      </c>
      <c r="Z186" s="2300"/>
    </row>
    <row r="187" spans="1:26">
      <c r="A187" s="292" t="str">
        <f>'7.15'!B165</f>
        <v>6幢3单元1602室</v>
      </c>
      <c r="B187" s="207">
        <f>'7.17'!G165</f>
        <v>87.85</v>
      </c>
      <c r="C187" s="197">
        <f t="shared" si="44"/>
        <v>1</v>
      </c>
      <c r="D187" s="3204" t="s">
        <v>7608</v>
      </c>
      <c r="E187" s="197">
        <f t="shared" si="45"/>
        <v>1.02</v>
      </c>
      <c r="F187" s="995" t="str">
        <f>'7.15'!D165</f>
        <v>平层</v>
      </c>
      <c r="G187" s="197">
        <f t="shared" si="46"/>
        <v>1</v>
      </c>
      <c r="H187" s="995" t="str">
        <f>'7.15'!E165</f>
        <v>南北</v>
      </c>
      <c r="I187" s="197">
        <f t="shared" si="47"/>
        <v>1</v>
      </c>
      <c r="J187" s="995"/>
      <c r="K187" s="197">
        <f t="shared" si="48"/>
        <v>1</v>
      </c>
      <c r="L187" s="995"/>
      <c r="M187" s="197">
        <f t="shared" si="49"/>
        <v>1</v>
      </c>
      <c r="N187" s="995"/>
      <c r="O187" s="197">
        <f t="shared" si="50"/>
        <v>1</v>
      </c>
      <c r="P187" s="995"/>
      <c r="Q187" s="197">
        <f t="shared" si="51"/>
        <v>1</v>
      </c>
      <c r="R187" s="991">
        <f t="shared" ca="1" si="56"/>
        <v>16251</v>
      </c>
      <c r="S187" s="552">
        <f t="shared" ca="1" si="57"/>
        <v>1427650</v>
      </c>
      <c r="T187" s="2010">
        <f t="shared" ca="1" si="58"/>
        <v>143</v>
      </c>
      <c r="U187" s="2305">
        <f t="shared" si="52"/>
        <v>0</v>
      </c>
      <c r="V187" s="2305">
        <f t="shared" si="53"/>
        <v>0</v>
      </c>
      <c r="W187" s="2300"/>
      <c r="X187" s="2305">
        <f t="shared" si="54"/>
        <v>0</v>
      </c>
      <c r="Y187" s="2305">
        <f t="shared" si="55"/>
        <v>0</v>
      </c>
      <c r="Z187" s="2300"/>
    </row>
    <row r="188" spans="1:26">
      <c r="A188" s="292" t="str">
        <f>'7.15'!B166</f>
        <v>6幢3单元1702室</v>
      </c>
      <c r="B188" s="207">
        <f>'7.17'!G166</f>
        <v>88.05</v>
      </c>
      <c r="C188" s="197">
        <f t="shared" si="44"/>
        <v>1</v>
      </c>
      <c r="D188" s="3204" t="s">
        <v>7608</v>
      </c>
      <c r="E188" s="197">
        <f t="shared" si="45"/>
        <v>1.02</v>
      </c>
      <c r="F188" s="995" t="str">
        <f>'7.15'!D166</f>
        <v>平层</v>
      </c>
      <c r="G188" s="197">
        <f t="shared" si="46"/>
        <v>1</v>
      </c>
      <c r="H188" s="995" t="str">
        <f>'7.15'!E166</f>
        <v>南北</v>
      </c>
      <c r="I188" s="197">
        <f t="shared" si="47"/>
        <v>1</v>
      </c>
      <c r="J188" s="995"/>
      <c r="K188" s="197">
        <f t="shared" si="48"/>
        <v>1</v>
      </c>
      <c r="L188" s="995"/>
      <c r="M188" s="197">
        <f t="shared" si="49"/>
        <v>1</v>
      </c>
      <c r="N188" s="995"/>
      <c r="O188" s="197">
        <f t="shared" si="50"/>
        <v>1</v>
      </c>
      <c r="P188" s="995"/>
      <c r="Q188" s="197">
        <f t="shared" si="51"/>
        <v>1</v>
      </c>
      <c r="R188" s="991">
        <f t="shared" ca="1" si="56"/>
        <v>16251</v>
      </c>
      <c r="S188" s="552">
        <f t="shared" ca="1" si="57"/>
        <v>1430901</v>
      </c>
      <c r="T188" s="2010">
        <f t="shared" ca="1" si="58"/>
        <v>143</v>
      </c>
      <c r="U188" s="2305">
        <f t="shared" si="52"/>
        <v>0</v>
      </c>
      <c r="V188" s="2305">
        <f t="shared" si="53"/>
        <v>0</v>
      </c>
      <c r="W188" s="2300"/>
      <c r="X188" s="2305">
        <f t="shared" si="54"/>
        <v>0</v>
      </c>
      <c r="Y188" s="2305">
        <f t="shared" si="55"/>
        <v>0</v>
      </c>
      <c r="Z188" s="2300"/>
    </row>
    <row r="189" spans="1:26">
      <c r="A189" s="292" t="str">
        <f>'7.15'!B167</f>
        <v>6幢3单元203室</v>
      </c>
      <c r="B189" s="207">
        <f>'7.17'!G167</f>
        <v>110.15</v>
      </c>
      <c r="C189" s="197">
        <f t="shared" si="44"/>
        <v>1.01</v>
      </c>
      <c r="D189" s="995" t="s">
        <v>7606</v>
      </c>
      <c r="E189" s="197">
        <f t="shared" si="45"/>
        <v>1</v>
      </c>
      <c r="F189" s="995" t="str">
        <f>'7.15'!D167</f>
        <v>平层</v>
      </c>
      <c r="G189" s="197">
        <f t="shared" si="46"/>
        <v>1</v>
      </c>
      <c r="H189" s="995" t="str">
        <f>'7.15'!E167</f>
        <v>南北西</v>
      </c>
      <c r="I189" s="197">
        <f t="shared" si="47"/>
        <v>1.01</v>
      </c>
      <c r="J189" s="995"/>
      <c r="K189" s="197">
        <f t="shared" si="48"/>
        <v>1</v>
      </c>
      <c r="L189" s="995"/>
      <c r="M189" s="197">
        <f t="shared" si="49"/>
        <v>1</v>
      </c>
      <c r="N189" s="995"/>
      <c r="O189" s="197">
        <f t="shared" si="50"/>
        <v>1</v>
      </c>
      <c r="P189" s="995"/>
      <c r="Q189" s="197">
        <f t="shared" si="51"/>
        <v>1</v>
      </c>
      <c r="R189" s="991">
        <f t="shared" ca="1" si="56"/>
        <v>16252</v>
      </c>
      <c r="S189" s="552">
        <f t="shared" ca="1" si="57"/>
        <v>1790158</v>
      </c>
      <c r="T189" s="2010">
        <f t="shared" ca="1" si="58"/>
        <v>179</v>
      </c>
      <c r="U189" s="2305">
        <f t="shared" si="52"/>
        <v>0</v>
      </c>
      <c r="V189" s="2305">
        <f t="shared" si="53"/>
        <v>0</v>
      </c>
      <c r="W189" s="2300"/>
      <c r="X189" s="2305">
        <f t="shared" si="54"/>
        <v>0</v>
      </c>
      <c r="Y189" s="2305">
        <f t="shared" si="55"/>
        <v>0</v>
      </c>
      <c r="Z189" s="2300"/>
    </row>
    <row r="190" spans="1:26">
      <c r="A190" s="292" t="str">
        <f>'7.15'!B168</f>
        <v>6幢3单元303室</v>
      </c>
      <c r="B190" s="207">
        <f>'7.17'!G168</f>
        <v>110.15</v>
      </c>
      <c r="C190" s="197">
        <f t="shared" si="44"/>
        <v>1.01</v>
      </c>
      <c r="D190" s="995" t="s">
        <v>7606</v>
      </c>
      <c r="E190" s="197">
        <f t="shared" si="45"/>
        <v>1</v>
      </c>
      <c r="F190" s="995" t="str">
        <f>'7.15'!D168</f>
        <v>平层</v>
      </c>
      <c r="G190" s="197">
        <f t="shared" si="46"/>
        <v>1</v>
      </c>
      <c r="H190" s="995" t="str">
        <f>'7.15'!E168</f>
        <v>南北西</v>
      </c>
      <c r="I190" s="197">
        <f t="shared" si="47"/>
        <v>1.01</v>
      </c>
      <c r="J190" s="995"/>
      <c r="K190" s="197">
        <f t="shared" si="48"/>
        <v>1</v>
      </c>
      <c r="L190" s="995"/>
      <c r="M190" s="197">
        <f t="shared" si="49"/>
        <v>1</v>
      </c>
      <c r="N190" s="995"/>
      <c r="O190" s="197">
        <f t="shared" si="50"/>
        <v>1</v>
      </c>
      <c r="P190" s="995"/>
      <c r="Q190" s="197">
        <f t="shared" si="51"/>
        <v>1</v>
      </c>
      <c r="R190" s="991">
        <f t="shared" ca="1" si="56"/>
        <v>16252</v>
      </c>
      <c r="S190" s="552">
        <f t="shared" ca="1" si="57"/>
        <v>1790158</v>
      </c>
      <c r="T190" s="2010">
        <f t="shared" ca="1" si="58"/>
        <v>179</v>
      </c>
      <c r="U190" s="2305">
        <f t="shared" si="52"/>
        <v>0</v>
      </c>
      <c r="V190" s="2305">
        <f t="shared" si="53"/>
        <v>0</v>
      </c>
      <c r="W190" s="2300"/>
      <c r="X190" s="2305">
        <f t="shared" si="54"/>
        <v>0</v>
      </c>
      <c r="Y190" s="2305">
        <f t="shared" si="55"/>
        <v>0</v>
      </c>
      <c r="Z190" s="2300"/>
    </row>
    <row r="191" spans="1:26">
      <c r="A191" s="292" t="str">
        <f>'7.15'!B169</f>
        <v>6幢3单元403室</v>
      </c>
      <c r="B191" s="207">
        <f>'7.17'!G169</f>
        <v>110.15</v>
      </c>
      <c r="C191" s="197">
        <f t="shared" si="44"/>
        <v>1.01</v>
      </c>
      <c r="D191" s="995" t="s">
        <v>7606</v>
      </c>
      <c r="E191" s="197">
        <f t="shared" si="45"/>
        <v>1</v>
      </c>
      <c r="F191" s="995" t="str">
        <f>'7.15'!D169</f>
        <v>平层</v>
      </c>
      <c r="G191" s="197">
        <f t="shared" si="46"/>
        <v>1</v>
      </c>
      <c r="H191" s="995" t="str">
        <f>'7.15'!E169</f>
        <v>南北西</v>
      </c>
      <c r="I191" s="197">
        <f t="shared" si="47"/>
        <v>1.01</v>
      </c>
      <c r="J191" s="995"/>
      <c r="K191" s="197">
        <f t="shared" si="48"/>
        <v>1</v>
      </c>
      <c r="L191" s="995"/>
      <c r="M191" s="197">
        <f t="shared" si="49"/>
        <v>1</v>
      </c>
      <c r="N191" s="995"/>
      <c r="O191" s="197">
        <f t="shared" si="50"/>
        <v>1</v>
      </c>
      <c r="P191" s="995"/>
      <c r="Q191" s="197">
        <f t="shared" si="51"/>
        <v>1</v>
      </c>
      <c r="R191" s="991">
        <f t="shared" ca="1" si="56"/>
        <v>16252</v>
      </c>
      <c r="S191" s="552">
        <f t="shared" ca="1" si="57"/>
        <v>1790158</v>
      </c>
      <c r="T191" s="2010">
        <f t="shared" ca="1" si="58"/>
        <v>179</v>
      </c>
      <c r="U191" s="2305">
        <f t="shared" si="52"/>
        <v>0</v>
      </c>
      <c r="V191" s="2305">
        <f t="shared" si="53"/>
        <v>0</v>
      </c>
      <c r="W191" s="2300"/>
      <c r="X191" s="2305">
        <f t="shared" si="54"/>
        <v>0</v>
      </c>
      <c r="Y191" s="2305">
        <f t="shared" si="55"/>
        <v>0</v>
      </c>
      <c r="Z191" s="2300"/>
    </row>
    <row r="192" spans="1:26">
      <c r="A192" s="292" t="str">
        <f>'7.15'!B170</f>
        <v>6幢3单元503室</v>
      </c>
      <c r="B192" s="207">
        <f>'7.17'!G170</f>
        <v>110.15</v>
      </c>
      <c r="C192" s="197">
        <f t="shared" si="44"/>
        <v>1.01</v>
      </c>
      <c r="D192" s="995" t="s">
        <v>7606</v>
      </c>
      <c r="E192" s="197">
        <f t="shared" si="45"/>
        <v>1</v>
      </c>
      <c r="F192" s="995" t="str">
        <f>'7.15'!D170</f>
        <v>平层</v>
      </c>
      <c r="G192" s="197">
        <f t="shared" si="46"/>
        <v>1</v>
      </c>
      <c r="H192" s="995" t="str">
        <f>'7.15'!E170</f>
        <v>南北西</v>
      </c>
      <c r="I192" s="197">
        <f t="shared" si="47"/>
        <v>1.01</v>
      </c>
      <c r="J192" s="995"/>
      <c r="K192" s="197">
        <f t="shared" si="48"/>
        <v>1</v>
      </c>
      <c r="L192" s="995"/>
      <c r="M192" s="197">
        <f t="shared" si="49"/>
        <v>1</v>
      </c>
      <c r="N192" s="995"/>
      <c r="O192" s="197">
        <f t="shared" si="50"/>
        <v>1</v>
      </c>
      <c r="P192" s="995"/>
      <c r="Q192" s="197">
        <f t="shared" si="51"/>
        <v>1</v>
      </c>
      <c r="R192" s="991">
        <f t="shared" ca="1" si="56"/>
        <v>16252</v>
      </c>
      <c r="S192" s="552">
        <f t="shared" ca="1" si="57"/>
        <v>1790158</v>
      </c>
      <c r="T192" s="2010">
        <f t="shared" ca="1" si="58"/>
        <v>179</v>
      </c>
      <c r="U192" s="2305">
        <f t="shared" si="52"/>
        <v>0</v>
      </c>
      <c r="V192" s="2305">
        <f t="shared" si="53"/>
        <v>0</v>
      </c>
      <c r="W192" s="2300"/>
      <c r="X192" s="2305">
        <f t="shared" si="54"/>
        <v>0</v>
      </c>
      <c r="Y192" s="2305">
        <f t="shared" si="55"/>
        <v>0</v>
      </c>
      <c r="Z192" s="2300"/>
    </row>
    <row r="193" spans="1:26">
      <c r="A193" s="292" t="str">
        <f>'7.15'!B171</f>
        <v>6幢3单元603室</v>
      </c>
      <c r="B193" s="207">
        <f>'7.17'!G171</f>
        <v>110.15</v>
      </c>
      <c r="C193" s="197">
        <f t="shared" si="44"/>
        <v>1.01</v>
      </c>
      <c r="D193" s="995" t="s">
        <v>7606</v>
      </c>
      <c r="E193" s="197">
        <f t="shared" si="45"/>
        <v>1</v>
      </c>
      <c r="F193" s="995" t="str">
        <f>'7.15'!D171</f>
        <v>平层</v>
      </c>
      <c r="G193" s="197">
        <f t="shared" si="46"/>
        <v>1</v>
      </c>
      <c r="H193" s="995" t="str">
        <f>'7.15'!E171</f>
        <v>南北西</v>
      </c>
      <c r="I193" s="197">
        <f t="shared" si="47"/>
        <v>1.01</v>
      </c>
      <c r="J193" s="995"/>
      <c r="K193" s="197">
        <f t="shared" si="48"/>
        <v>1</v>
      </c>
      <c r="L193" s="995"/>
      <c r="M193" s="197">
        <f t="shared" si="49"/>
        <v>1</v>
      </c>
      <c r="N193" s="995"/>
      <c r="O193" s="197">
        <f t="shared" si="50"/>
        <v>1</v>
      </c>
      <c r="P193" s="995"/>
      <c r="Q193" s="197">
        <f t="shared" si="51"/>
        <v>1</v>
      </c>
      <c r="R193" s="991">
        <f t="shared" ca="1" si="56"/>
        <v>16252</v>
      </c>
      <c r="S193" s="552">
        <f t="shared" ca="1" si="57"/>
        <v>1790158</v>
      </c>
      <c r="T193" s="2010">
        <f t="shared" ca="1" si="58"/>
        <v>179</v>
      </c>
      <c r="U193" s="2305">
        <f t="shared" si="52"/>
        <v>0</v>
      </c>
      <c r="V193" s="2305">
        <f t="shared" si="53"/>
        <v>0</v>
      </c>
      <c r="W193" s="2300"/>
      <c r="X193" s="2305">
        <f t="shared" si="54"/>
        <v>0</v>
      </c>
      <c r="Y193" s="2305">
        <f t="shared" si="55"/>
        <v>0</v>
      </c>
      <c r="Z193" s="2300"/>
    </row>
    <row r="194" spans="1:26">
      <c r="A194" s="292" t="str">
        <f>'7.15'!B172</f>
        <v>6幢3单元703室</v>
      </c>
      <c r="B194" s="207">
        <f>'7.17'!G172</f>
        <v>110.15</v>
      </c>
      <c r="C194" s="197">
        <f t="shared" si="44"/>
        <v>1.01</v>
      </c>
      <c r="D194" s="3204" t="s">
        <v>7609</v>
      </c>
      <c r="E194" s="197">
        <f t="shared" si="45"/>
        <v>1.04</v>
      </c>
      <c r="F194" s="995" t="str">
        <f>'7.15'!D172</f>
        <v>平层</v>
      </c>
      <c r="G194" s="197">
        <f t="shared" si="46"/>
        <v>1</v>
      </c>
      <c r="H194" s="995" t="str">
        <f>'7.15'!E172</f>
        <v>南北西</v>
      </c>
      <c r="I194" s="197">
        <f t="shared" si="47"/>
        <v>1.01</v>
      </c>
      <c r="J194" s="995"/>
      <c r="K194" s="197">
        <f t="shared" si="48"/>
        <v>1</v>
      </c>
      <c r="L194" s="995"/>
      <c r="M194" s="197">
        <f t="shared" si="49"/>
        <v>1</v>
      </c>
      <c r="N194" s="995"/>
      <c r="O194" s="197">
        <f t="shared" si="50"/>
        <v>1</v>
      </c>
      <c r="P194" s="995"/>
      <c r="Q194" s="197">
        <f t="shared" si="51"/>
        <v>1</v>
      </c>
      <c r="R194" s="991">
        <f t="shared" ca="1" si="56"/>
        <v>16902</v>
      </c>
      <c r="S194" s="552">
        <f t="shared" ca="1" si="57"/>
        <v>1861755</v>
      </c>
      <c r="T194" s="2010">
        <f t="shared" ca="1" si="58"/>
        <v>186</v>
      </c>
      <c r="U194" s="2305">
        <f t="shared" si="52"/>
        <v>0</v>
      </c>
      <c r="V194" s="2305">
        <f t="shared" si="53"/>
        <v>0</v>
      </c>
      <c r="W194" s="2300"/>
      <c r="X194" s="2305">
        <f t="shared" si="54"/>
        <v>0</v>
      </c>
      <c r="Y194" s="2305">
        <f t="shared" si="55"/>
        <v>0</v>
      </c>
      <c r="Z194" s="2300"/>
    </row>
    <row r="195" spans="1:26">
      <c r="A195" s="292" t="str">
        <f>'7.15'!B173</f>
        <v>6幢3单元803室</v>
      </c>
      <c r="B195" s="207">
        <f>'7.17'!G173</f>
        <v>110.15</v>
      </c>
      <c r="C195" s="197">
        <f t="shared" si="44"/>
        <v>1.01</v>
      </c>
      <c r="D195" s="3204" t="s">
        <v>7609</v>
      </c>
      <c r="E195" s="197">
        <f t="shared" si="45"/>
        <v>1.04</v>
      </c>
      <c r="F195" s="995" t="str">
        <f>'7.15'!D173</f>
        <v>平层</v>
      </c>
      <c r="G195" s="197">
        <f t="shared" si="46"/>
        <v>1</v>
      </c>
      <c r="H195" s="995" t="str">
        <f>'7.15'!E173</f>
        <v>南北西</v>
      </c>
      <c r="I195" s="197">
        <f t="shared" si="47"/>
        <v>1.01</v>
      </c>
      <c r="J195" s="995"/>
      <c r="K195" s="197">
        <f t="shared" si="48"/>
        <v>1</v>
      </c>
      <c r="L195" s="995"/>
      <c r="M195" s="197">
        <f t="shared" si="49"/>
        <v>1</v>
      </c>
      <c r="N195" s="995"/>
      <c r="O195" s="197">
        <f t="shared" si="50"/>
        <v>1</v>
      </c>
      <c r="P195" s="995"/>
      <c r="Q195" s="197">
        <f t="shared" si="51"/>
        <v>1</v>
      </c>
      <c r="R195" s="991">
        <f t="shared" ca="1" si="56"/>
        <v>16902</v>
      </c>
      <c r="S195" s="552">
        <f t="shared" ca="1" si="57"/>
        <v>1861755</v>
      </c>
      <c r="T195" s="2010">
        <f t="shared" ca="1" si="58"/>
        <v>186</v>
      </c>
      <c r="U195" s="2305">
        <f t="shared" si="52"/>
        <v>0</v>
      </c>
      <c r="V195" s="2305">
        <f t="shared" si="53"/>
        <v>0</v>
      </c>
      <c r="W195" s="2300"/>
      <c r="X195" s="2305">
        <f t="shared" si="54"/>
        <v>0</v>
      </c>
      <c r="Y195" s="2305">
        <f t="shared" si="55"/>
        <v>0</v>
      </c>
      <c r="Z195" s="2300"/>
    </row>
    <row r="196" spans="1:26">
      <c r="A196" s="292" t="str">
        <f>'7.15'!B174</f>
        <v>6幢3单元903室</v>
      </c>
      <c r="B196" s="207">
        <f>'7.17'!G174</f>
        <v>110.15</v>
      </c>
      <c r="C196" s="197">
        <f t="shared" si="44"/>
        <v>1.01</v>
      </c>
      <c r="D196" s="3204" t="s">
        <v>7609</v>
      </c>
      <c r="E196" s="197">
        <f t="shared" si="45"/>
        <v>1.04</v>
      </c>
      <c r="F196" s="995" t="str">
        <f>'7.15'!D174</f>
        <v>平层</v>
      </c>
      <c r="G196" s="197">
        <f t="shared" si="46"/>
        <v>1</v>
      </c>
      <c r="H196" s="995" t="str">
        <f>'7.15'!E174</f>
        <v>南北西</v>
      </c>
      <c r="I196" s="197">
        <f t="shared" si="47"/>
        <v>1.01</v>
      </c>
      <c r="J196" s="995"/>
      <c r="K196" s="197">
        <f t="shared" si="48"/>
        <v>1</v>
      </c>
      <c r="L196" s="995"/>
      <c r="M196" s="197">
        <f t="shared" si="49"/>
        <v>1</v>
      </c>
      <c r="N196" s="995"/>
      <c r="O196" s="197">
        <f t="shared" si="50"/>
        <v>1</v>
      </c>
      <c r="P196" s="995"/>
      <c r="Q196" s="197">
        <f t="shared" si="51"/>
        <v>1</v>
      </c>
      <c r="R196" s="991">
        <f t="shared" ca="1" si="56"/>
        <v>16902</v>
      </c>
      <c r="S196" s="552">
        <f t="shared" ca="1" si="57"/>
        <v>1861755</v>
      </c>
      <c r="T196" s="2010">
        <f t="shared" ca="1" si="58"/>
        <v>186</v>
      </c>
      <c r="U196" s="2305">
        <f t="shared" si="52"/>
        <v>0</v>
      </c>
      <c r="V196" s="2305">
        <f t="shared" si="53"/>
        <v>0</v>
      </c>
      <c r="W196" s="2300"/>
      <c r="X196" s="2305">
        <f t="shared" si="54"/>
        <v>0</v>
      </c>
      <c r="Y196" s="2305">
        <f t="shared" si="55"/>
        <v>0</v>
      </c>
      <c r="Z196" s="2300"/>
    </row>
    <row r="197" spans="1:26">
      <c r="A197" s="292" t="str">
        <f>'7.15'!B175</f>
        <v>6幢3单元1003室</v>
      </c>
      <c r="B197" s="207">
        <f>'7.17'!G175</f>
        <v>110.15</v>
      </c>
      <c r="C197" s="197">
        <f t="shared" si="44"/>
        <v>1.01</v>
      </c>
      <c r="D197" s="3204" t="s">
        <v>7609</v>
      </c>
      <c r="E197" s="197">
        <f t="shared" si="45"/>
        <v>1.04</v>
      </c>
      <c r="F197" s="995" t="str">
        <f>'7.15'!D175</f>
        <v>平层</v>
      </c>
      <c r="G197" s="197">
        <f t="shared" si="46"/>
        <v>1</v>
      </c>
      <c r="H197" s="995" t="str">
        <f>'7.15'!E175</f>
        <v>南北西</v>
      </c>
      <c r="I197" s="197">
        <f t="shared" si="47"/>
        <v>1.01</v>
      </c>
      <c r="J197" s="995"/>
      <c r="K197" s="197">
        <f t="shared" si="48"/>
        <v>1</v>
      </c>
      <c r="L197" s="995"/>
      <c r="M197" s="197">
        <f t="shared" si="49"/>
        <v>1</v>
      </c>
      <c r="N197" s="995"/>
      <c r="O197" s="197">
        <f t="shared" si="50"/>
        <v>1</v>
      </c>
      <c r="P197" s="995"/>
      <c r="Q197" s="197">
        <f t="shared" si="51"/>
        <v>1</v>
      </c>
      <c r="R197" s="991">
        <f t="shared" ca="1" si="56"/>
        <v>16902</v>
      </c>
      <c r="S197" s="552">
        <f t="shared" ca="1" si="57"/>
        <v>1861755</v>
      </c>
      <c r="T197" s="2010">
        <f t="shared" ca="1" si="58"/>
        <v>186</v>
      </c>
      <c r="U197" s="2305">
        <f t="shared" si="52"/>
        <v>0</v>
      </c>
      <c r="V197" s="2305">
        <f t="shared" si="53"/>
        <v>0</v>
      </c>
      <c r="W197" s="2300"/>
      <c r="X197" s="2305">
        <f t="shared" si="54"/>
        <v>0</v>
      </c>
      <c r="Y197" s="2305">
        <f t="shared" si="55"/>
        <v>0</v>
      </c>
      <c r="Z197" s="2300"/>
    </row>
    <row r="198" spans="1:26">
      <c r="A198" s="292" t="str">
        <f>'7.15'!B176</f>
        <v>6幢3单元1103室</v>
      </c>
      <c r="B198" s="207">
        <f>'7.17'!G176</f>
        <v>110.15</v>
      </c>
      <c r="C198" s="197">
        <f t="shared" si="44"/>
        <v>1.01</v>
      </c>
      <c r="D198" s="3204" t="s">
        <v>7609</v>
      </c>
      <c r="E198" s="197">
        <f t="shared" si="45"/>
        <v>1.04</v>
      </c>
      <c r="F198" s="995" t="str">
        <f>'7.15'!D176</f>
        <v>平层</v>
      </c>
      <c r="G198" s="197">
        <f t="shared" si="46"/>
        <v>1</v>
      </c>
      <c r="H198" s="995" t="str">
        <f>'7.15'!E176</f>
        <v>南北西</v>
      </c>
      <c r="I198" s="197">
        <f t="shared" si="47"/>
        <v>1.01</v>
      </c>
      <c r="J198" s="995"/>
      <c r="K198" s="197">
        <f t="shared" si="48"/>
        <v>1</v>
      </c>
      <c r="L198" s="995"/>
      <c r="M198" s="197">
        <f t="shared" si="49"/>
        <v>1</v>
      </c>
      <c r="N198" s="995"/>
      <c r="O198" s="197">
        <f t="shared" si="50"/>
        <v>1</v>
      </c>
      <c r="P198" s="995"/>
      <c r="Q198" s="197">
        <f t="shared" si="51"/>
        <v>1</v>
      </c>
      <c r="R198" s="991">
        <f t="shared" ca="1" si="56"/>
        <v>16902</v>
      </c>
      <c r="S198" s="552">
        <f t="shared" ca="1" si="57"/>
        <v>1861755</v>
      </c>
      <c r="T198" s="2010">
        <f t="shared" ca="1" si="58"/>
        <v>186</v>
      </c>
      <c r="U198" s="2305">
        <f t="shared" si="52"/>
        <v>0</v>
      </c>
      <c r="V198" s="2305">
        <f t="shared" si="53"/>
        <v>0</v>
      </c>
      <c r="W198" s="2300"/>
      <c r="X198" s="2305">
        <f t="shared" si="54"/>
        <v>0</v>
      </c>
      <c r="Y198" s="2305">
        <f t="shared" si="55"/>
        <v>0</v>
      </c>
      <c r="Z198" s="2300"/>
    </row>
    <row r="199" spans="1:26">
      <c r="A199" s="292" t="str">
        <f>'7.15'!B177</f>
        <v>6幢3单元1203室</v>
      </c>
      <c r="B199" s="207">
        <f>'7.17'!G177</f>
        <v>110.15</v>
      </c>
      <c r="C199" s="197">
        <f t="shared" si="44"/>
        <v>1.01</v>
      </c>
      <c r="D199" s="3204" t="s">
        <v>7609</v>
      </c>
      <c r="E199" s="197">
        <f t="shared" si="45"/>
        <v>1.04</v>
      </c>
      <c r="F199" s="995" t="str">
        <f>'7.15'!D177</f>
        <v>平层</v>
      </c>
      <c r="G199" s="197">
        <f t="shared" si="46"/>
        <v>1</v>
      </c>
      <c r="H199" s="995" t="str">
        <f>'7.15'!E177</f>
        <v>南北西</v>
      </c>
      <c r="I199" s="197">
        <f t="shared" si="47"/>
        <v>1.01</v>
      </c>
      <c r="J199" s="995"/>
      <c r="K199" s="197">
        <f t="shared" si="48"/>
        <v>1</v>
      </c>
      <c r="L199" s="995"/>
      <c r="M199" s="197">
        <f t="shared" si="49"/>
        <v>1</v>
      </c>
      <c r="N199" s="995"/>
      <c r="O199" s="197">
        <f t="shared" si="50"/>
        <v>1</v>
      </c>
      <c r="P199" s="995"/>
      <c r="Q199" s="197">
        <f t="shared" si="51"/>
        <v>1</v>
      </c>
      <c r="R199" s="991">
        <f t="shared" ca="1" si="56"/>
        <v>16902</v>
      </c>
      <c r="S199" s="552">
        <f t="shared" ca="1" si="57"/>
        <v>1861755</v>
      </c>
      <c r="T199" s="2010">
        <f t="shared" ca="1" si="58"/>
        <v>186</v>
      </c>
      <c r="U199" s="2305">
        <f t="shared" si="52"/>
        <v>0</v>
      </c>
      <c r="V199" s="2305">
        <f t="shared" si="53"/>
        <v>0</v>
      </c>
      <c r="W199" s="2300"/>
      <c r="X199" s="2305">
        <f t="shared" si="54"/>
        <v>0</v>
      </c>
      <c r="Y199" s="2305">
        <f t="shared" si="55"/>
        <v>0</v>
      </c>
      <c r="Z199" s="2300"/>
    </row>
    <row r="200" spans="1:26">
      <c r="A200" s="292" t="str">
        <f>'7.15'!B178</f>
        <v>6幢3单元1303室</v>
      </c>
      <c r="B200" s="207">
        <f>'7.17'!G178</f>
        <v>110.15</v>
      </c>
      <c r="C200" s="197">
        <f t="shared" si="44"/>
        <v>1.01</v>
      </c>
      <c r="D200" s="3204" t="s">
        <v>7608</v>
      </c>
      <c r="E200" s="197">
        <f t="shared" si="45"/>
        <v>1.02</v>
      </c>
      <c r="F200" s="995" t="str">
        <f>'7.15'!D178</f>
        <v>平层</v>
      </c>
      <c r="G200" s="197">
        <f t="shared" si="46"/>
        <v>1</v>
      </c>
      <c r="H200" s="995" t="str">
        <f>'7.15'!E178</f>
        <v>南北西</v>
      </c>
      <c r="I200" s="197">
        <f t="shared" si="47"/>
        <v>1.01</v>
      </c>
      <c r="J200" s="995"/>
      <c r="K200" s="197">
        <f t="shared" si="48"/>
        <v>1</v>
      </c>
      <c r="L200" s="995"/>
      <c r="M200" s="197">
        <f t="shared" si="49"/>
        <v>1</v>
      </c>
      <c r="N200" s="995"/>
      <c r="O200" s="197">
        <f t="shared" si="50"/>
        <v>1</v>
      </c>
      <c r="P200" s="995"/>
      <c r="Q200" s="197">
        <f t="shared" si="51"/>
        <v>1</v>
      </c>
      <c r="R200" s="991">
        <f t="shared" ca="1" si="56"/>
        <v>16577</v>
      </c>
      <c r="S200" s="552">
        <f t="shared" ca="1" si="57"/>
        <v>1825957</v>
      </c>
      <c r="T200" s="2010">
        <f t="shared" ca="1" si="58"/>
        <v>183</v>
      </c>
      <c r="U200" s="2305">
        <f t="shared" si="52"/>
        <v>0</v>
      </c>
      <c r="V200" s="2305">
        <f t="shared" si="53"/>
        <v>0</v>
      </c>
      <c r="W200" s="2300"/>
      <c r="X200" s="2305">
        <f t="shared" si="54"/>
        <v>0</v>
      </c>
      <c r="Y200" s="2305">
        <f t="shared" si="55"/>
        <v>0</v>
      </c>
      <c r="Z200" s="2300"/>
    </row>
    <row r="201" spans="1:26">
      <c r="A201" s="292" t="str">
        <f>'7.15'!B179</f>
        <v>6幢3单元1403室</v>
      </c>
      <c r="B201" s="207">
        <f>'7.17'!G179</f>
        <v>110.15</v>
      </c>
      <c r="C201" s="197">
        <f t="shared" si="44"/>
        <v>1.01</v>
      </c>
      <c r="D201" s="3204" t="s">
        <v>7608</v>
      </c>
      <c r="E201" s="197">
        <f t="shared" si="45"/>
        <v>1.02</v>
      </c>
      <c r="F201" s="995" t="str">
        <f>'7.15'!D179</f>
        <v>平层</v>
      </c>
      <c r="G201" s="197">
        <f t="shared" si="46"/>
        <v>1</v>
      </c>
      <c r="H201" s="995" t="str">
        <f>'7.15'!E179</f>
        <v>南北西</v>
      </c>
      <c r="I201" s="197">
        <f t="shared" si="47"/>
        <v>1.01</v>
      </c>
      <c r="J201" s="995"/>
      <c r="K201" s="197">
        <f t="shared" si="48"/>
        <v>1</v>
      </c>
      <c r="L201" s="995"/>
      <c r="M201" s="197">
        <f t="shared" si="49"/>
        <v>1</v>
      </c>
      <c r="N201" s="995"/>
      <c r="O201" s="197">
        <f t="shared" si="50"/>
        <v>1</v>
      </c>
      <c r="P201" s="995"/>
      <c r="Q201" s="197">
        <f t="shared" si="51"/>
        <v>1</v>
      </c>
      <c r="R201" s="991">
        <f t="shared" ca="1" si="56"/>
        <v>16577</v>
      </c>
      <c r="S201" s="552">
        <f t="shared" ca="1" si="57"/>
        <v>1825957</v>
      </c>
      <c r="T201" s="2010">
        <f t="shared" ca="1" si="58"/>
        <v>183</v>
      </c>
      <c r="U201" s="2305">
        <f t="shared" si="52"/>
        <v>0</v>
      </c>
      <c r="V201" s="2305">
        <f t="shared" si="53"/>
        <v>0</v>
      </c>
      <c r="W201" s="2300"/>
      <c r="X201" s="2305">
        <f t="shared" si="54"/>
        <v>0</v>
      </c>
      <c r="Y201" s="2305">
        <f t="shared" si="55"/>
        <v>0</v>
      </c>
      <c r="Z201" s="2300"/>
    </row>
    <row r="202" spans="1:26">
      <c r="A202" s="292" t="str">
        <f>'7.15'!B180</f>
        <v>6幢3单元1503室</v>
      </c>
      <c r="B202" s="207">
        <f>'7.17'!G180</f>
        <v>110.15</v>
      </c>
      <c r="C202" s="197">
        <f t="shared" si="44"/>
        <v>1.01</v>
      </c>
      <c r="D202" s="3204" t="s">
        <v>7608</v>
      </c>
      <c r="E202" s="197">
        <f t="shared" si="45"/>
        <v>1.02</v>
      </c>
      <c r="F202" s="995" t="str">
        <f>'7.15'!D180</f>
        <v>平层</v>
      </c>
      <c r="G202" s="197">
        <f t="shared" si="46"/>
        <v>1</v>
      </c>
      <c r="H202" s="995" t="str">
        <f>'7.15'!E180</f>
        <v>南北西</v>
      </c>
      <c r="I202" s="197">
        <f t="shared" si="47"/>
        <v>1.01</v>
      </c>
      <c r="J202" s="995"/>
      <c r="K202" s="197">
        <f t="shared" si="48"/>
        <v>1</v>
      </c>
      <c r="L202" s="995"/>
      <c r="M202" s="197">
        <f t="shared" si="49"/>
        <v>1</v>
      </c>
      <c r="N202" s="995"/>
      <c r="O202" s="197">
        <f t="shared" si="50"/>
        <v>1</v>
      </c>
      <c r="P202" s="995"/>
      <c r="Q202" s="197">
        <f t="shared" si="51"/>
        <v>1</v>
      </c>
      <c r="R202" s="991">
        <f t="shared" ca="1" si="56"/>
        <v>16577</v>
      </c>
      <c r="S202" s="552">
        <f t="shared" ca="1" si="57"/>
        <v>1825957</v>
      </c>
      <c r="T202" s="2010">
        <f t="shared" ca="1" si="58"/>
        <v>183</v>
      </c>
      <c r="U202" s="2305">
        <f t="shared" si="52"/>
        <v>0</v>
      </c>
      <c r="V202" s="2305">
        <f t="shared" si="53"/>
        <v>0</v>
      </c>
      <c r="W202" s="2300"/>
      <c r="X202" s="2305">
        <f t="shared" si="54"/>
        <v>0</v>
      </c>
      <c r="Y202" s="2305">
        <f t="shared" si="55"/>
        <v>0</v>
      </c>
      <c r="Z202" s="2300"/>
    </row>
    <row r="203" spans="1:26">
      <c r="A203" s="292" t="str">
        <f>'7.15'!B181</f>
        <v>6幢3单元1603室</v>
      </c>
      <c r="B203" s="207">
        <f>'7.17'!G181</f>
        <v>110.15</v>
      </c>
      <c r="C203" s="197">
        <f t="shared" si="44"/>
        <v>1.01</v>
      </c>
      <c r="D203" s="3204" t="s">
        <v>7608</v>
      </c>
      <c r="E203" s="197">
        <f t="shared" si="45"/>
        <v>1.02</v>
      </c>
      <c r="F203" s="995" t="str">
        <f>'7.15'!D181</f>
        <v>平层</v>
      </c>
      <c r="G203" s="197">
        <f t="shared" si="46"/>
        <v>1</v>
      </c>
      <c r="H203" s="995" t="str">
        <f>'7.15'!E181</f>
        <v>南北西</v>
      </c>
      <c r="I203" s="197">
        <f t="shared" si="47"/>
        <v>1.01</v>
      </c>
      <c r="J203" s="995"/>
      <c r="K203" s="197">
        <f t="shared" si="48"/>
        <v>1</v>
      </c>
      <c r="L203" s="995"/>
      <c r="M203" s="197">
        <f t="shared" si="49"/>
        <v>1</v>
      </c>
      <c r="N203" s="995"/>
      <c r="O203" s="197">
        <f t="shared" si="50"/>
        <v>1</v>
      </c>
      <c r="P203" s="995"/>
      <c r="Q203" s="197">
        <f t="shared" si="51"/>
        <v>1</v>
      </c>
      <c r="R203" s="991">
        <f t="shared" ca="1" si="56"/>
        <v>16577</v>
      </c>
      <c r="S203" s="552">
        <f t="shared" ca="1" si="57"/>
        <v>1825957</v>
      </c>
      <c r="T203" s="2010">
        <f t="shared" ca="1" si="58"/>
        <v>183</v>
      </c>
      <c r="U203" s="2305">
        <f t="shared" si="52"/>
        <v>0</v>
      </c>
      <c r="V203" s="2305">
        <f t="shared" si="53"/>
        <v>0</v>
      </c>
      <c r="W203" s="2300"/>
      <c r="X203" s="2305">
        <f t="shared" si="54"/>
        <v>0</v>
      </c>
      <c r="Y203" s="2305">
        <f t="shared" si="55"/>
        <v>0</v>
      </c>
      <c r="Z203" s="2300"/>
    </row>
    <row r="204" spans="1:26">
      <c r="A204" s="292" t="str">
        <f>'7.15'!B182</f>
        <v>6幢3单元1703室</v>
      </c>
      <c r="B204" s="207">
        <f>'7.17'!G182</f>
        <v>96.21</v>
      </c>
      <c r="C204" s="197">
        <f t="shared" si="44"/>
        <v>1</v>
      </c>
      <c r="D204" s="3204" t="s">
        <v>7608</v>
      </c>
      <c r="E204" s="197">
        <f t="shared" si="45"/>
        <v>1.02</v>
      </c>
      <c r="F204" s="995" t="str">
        <f>'7.15'!D182</f>
        <v>平层</v>
      </c>
      <c r="G204" s="197">
        <f t="shared" si="46"/>
        <v>1</v>
      </c>
      <c r="H204" s="995" t="str">
        <f>'7.15'!E182</f>
        <v>南北西</v>
      </c>
      <c r="I204" s="197">
        <f t="shared" si="47"/>
        <v>1.01</v>
      </c>
      <c r="J204" s="995"/>
      <c r="K204" s="197">
        <f t="shared" si="48"/>
        <v>1</v>
      </c>
      <c r="L204" s="995"/>
      <c r="M204" s="197">
        <f t="shared" si="49"/>
        <v>1</v>
      </c>
      <c r="N204" s="995"/>
      <c r="O204" s="197">
        <f t="shared" si="50"/>
        <v>1</v>
      </c>
      <c r="P204" s="995"/>
      <c r="Q204" s="197">
        <f t="shared" si="51"/>
        <v>1</v>
      </c>
      <c r="R204" s="991">
        <f t="shared" ca="1" si="56"/>
        <v>16413</v>
      </c>
      <c r="S204" s="552">
        <f t="shared" ca="1" si="57"/>
        <v>1579095</v>
      </c>
      <c r="T204" s="2010">
        <f t="shared" ca="1" si="58"/>
        <v>158</v>
      </c>
      <c r="U204" s="2305">
        <f t="shared" si="52"/>
        <v>0</v>
      </c>
      <c r="V204" s="2305">
        <f t="shared" si="53"/>
        <v>0</v>
      </c>
      <c r="W204" s="2300"/>
      <c r="X204" s="2305">
        <f t="shared" si="54"/>
        <v>0</v>
      </c>
      <c r="Y204" s="2305">
        <f t="shared" si="55"/>
        <v>0</v>
      </c>
      <c r="Z204" s="2300"/>
    </row>
    <row r="205" spans="1:26">
      <c r="A205" s="292" t="str">
        <f>'7.15'!B183</f>
        <v>7幢1单元303室</v>
      </c>
      <c r="B205" s="207">
        <f>'7.17'!G183</f>
        <v>107.91</v>
      </c>
      <c r="C205" s="197">
        <f t="shared" si="44"/>
        <v>1.01</v>
      </c>
      <c r="D205" s="995" t="s">
        <v>7606</v>
      </c>
      <c r="E205" s="197">
        <f t="shared" si="45"/>
        <v>1</v>
      </c>
      <c r="F205" s="995" t="str">
        <f>'7.15'!D183</f>
        <v>平层</v>
      </c>
      <c r="G205" s="197">
        <f t="shared" si="46"/>
        <v>1</v>
      </c>
      <c r="H205" s="995" t="str">
        <f>'7.15'!E183</f>
        <v>南北</v>
      </c>
      <c r="I205" s="197">
        <f t="shared" si="47"/>
        <v>1</v>
      </c>
      <c r="J205" s="995"/>
      <c r="K205" s="197">
        <f t="shared" si="48"/>
        <v>1</v>
      </c>
      <c r="L205" s="995"/>
      <c r="M205" s="197">
        <f t="shared" si="49"/>
        <v>1</v>
      </c>
      <c r="N205" s="995"/>
      <c r="O205" s="197">
        <f t="shared" si="50"/>
        <v>1</v>
      </c>
      <c r="P205" s="995"/>
      <c r="Q205" s="197">
        <f t="shared" si="51"/>
        <v>1</v>
      </c>
      <c r="R205" s="991">
        <f t="shared" ca="1" si="56"/>
        <v>16091</v>
      </c>
      <c r="S205" s="552">
        <f t="shared" ca="1" si="57"/>
        <v>1736380</v>
      </c>
      <c r="T205" s="2010">
        <f t="shared" ca="1" si="58"/>
        <v>174</v>
      </c>
      <c r="U205" s="2305">
        <f t="shared" si="52"/>
        <v>0</v>
      </c>
      <c r="V205" s="2305">
        <f t="shared" si="53"/>
        <v>0</v>
      </c>
      <c r="W205" s="2300"/>
      <c r="X205" s="2305">
        <f t="shared" si="54"/>
        <v>0</v>
      </c>
      <c r="Y205" s="2305">
        <f t="shared" si="55"/>
        <v>0</v>
      </c>
      <c r="Z205" s="2300"/>
    </row>
    <row r="206" spans="1:26">
      <c r="A206" s="292" t="str">
        <f>'7.15'!B184</f>
        <v>8幢1单元201室</v>
      </c>
      <c r="B206" s="207">
        <f>'7.17'!G184</f>
        <v>127.19</v>
      </c>
      <c r="C206" s="197">
        <f t="shared" si="44"/>
        <v>0.98</v>
      </c>
      <c r="D206" s="995" t="s">
        <v>7606</v>
      </c>
      <c r="E206" s="197">
        <f t="shared" si="45"/>
        <v>1</v>
      </c>
      <c r="F206" s="995" t="str">
        <f>'7.15'!D184</f>
        <v>平层</v>
      </c>
      <c r="G206" s="197">
        <f t="shared" si="46"/>
        <v>1</v>
      </c>
      <c r="H206" s="995" t="str">
        <f>'7.15'!E184</f>
        <v>南北东</v>
      </c>
      <c r="I206" s="197">
        <f t="shared" si="47"/>
        <v>1.02</v>
      </c>
      <c r="J206" s="995"/>
      <c r="K206" s="197">
        <f t="shared" si="48"/>
        <v>1</v>
      </c>
      <c r="L206" s="995"/>
      <c r="M206" s="197">
        <f t="shared" si="49"/>
        <v>1</v>
      </c>
      <c r="N206" s="995"/>
      <c r="O206" s="197">
        <f t="shared" si="50"/>
        <v>1</v>
      </c>
      <c r="P206" s="995"/>
      <c r="Q206" s="197">
        <f t="shared" si="51"/>
        <v>1</v>
      </c>
      <c r="R206" s="991">
        <f t="shared" ca="1" si="56"/>
        <v>15926</v>
      </c>
      <c r="S206" s="552">
        <f t="shared" ca="1" si="57"/>
        <v>2025628</v>
      </c>
      <c r="T206" s="2010">
        <f t="shared" ca="1" si="58"/>
        <v>203</v>
      </c>
      <c r="U206" s="2305">
        <f t="shared" si="52"/>
        <v>0</v>
      </c>
      <c r="V206" s="2305">
        <f t="shared" si="53"/>
        <v>0</v>
      </c>
      <c r="W206" s="2300"/>
      <c r="X206" s="2305">
        <f t="shared" si="54"/>
        <v>0</v>
      </c>
      <c r="Y206" s="2305">
        <f t="shared" si="55"/>
        <v>0</v>
      </c>
      <c r="Z206" s="2300"/>
    </row>
    <row r="207" spans="1:26">
      <c r="A207" s="292" t="str">
        <f>'7.15'!B185</f>
        <v>8幢1单元301室</v>
      </c>
      <c r="B207" s="207">
        <f>'7.17'!G185</f>
        <v>127.19</v>
      </c>
      <c r="C207" s="197">
        <f t="shared" si="44"/>
        <v>0.98</v>
      </c>
      <c r="D207" s="995" t="s">
        <v>7606</v>
      </c>
      <c r="E207" s="197">
        <f t="shared" si="45"/>
        <v>1</v>
      </c>
      <c r="F207" s="995" t="str">
        <f>'7.15'!D185</f>
        <v>平层</v>
      </c>
      <c r="G207" s="197">
        <f t="shared" si="46"/>
        <v>1</v>
      </c>
      <c r="H207" s="995" t="str">
        <f>'7.15'!E185</f>
        <v>南北东</v>
      </c>
      <c r="I207" s="197">
        <f t="shared" si="47"/>
        <v>1.02</v>
      </c>
      <c r="J207" s="995"/>
      <c r="K207" s="197">
        <f t="shared" si="48"/>
        <v>1</v>
      </c>
      <c r="L207" s="995"/>
      <c r="M207" s="197">
        <f t="shared" si="49"/>
        <v>1</v>
      </c>
      <c r="N207" s="995"/>
      <c r="O207" s="197">
        <f t="shared" si="50"/>
        <v>1</v>
      </c>
      <c r="P207" s="995"/>
      <c r="Q207" s="197">
        <f t="shared" si="51"/>
        <v>1</v>
      </c>
      <c r="R207" s="991">
        <f t="shared" ca="1" si="56"/>
        <v>15926</v>
      </c>
      <c r="S207" s="552">
        <f t="shared" ca="1" si="57"/>
        <v>2025628</v>
      </c>
      <c r="T207" s="2010">
        <f t="shared" ca="1" si="58"/>
        <v>203</v>
      </c>
      <c r="U207" s="2305">
        <f t="shared" si="52"/>
        <v>0</v>
      </c>
      <c r="V207" s="2305">
        <f t="shared" si="53"/>
        <v>0</v>
      </c>
      <c r="W207" s="2300"/>
      <c r="X207" s="2305">
        <f t="shared" si="54"/>
        <v>0</v>
      </c>
      <c r="Y207" s="2305">
        <f t="shared" si="55"/>
        <v>0</v>
      </c>
      <c r="Z207" s="2300"/>
    </row>
    <row r="208" spans="1:26">
      <c r="A208" s="292" t="str">
        <f>'7.15'!B186</f>
        <v>8幢1单元401室</v>
      </c>
      <c r="B208" s="207">
        <f>'7.17'!G186</f>
        <v>127.19</v>
      </c>
      <c r="C208" s="197">
        <f t="shared" si="44"/>
        <v>0.98</v>
      </c>
      <c r="D208" s="995" t="s">
        <v>7606</v>
      </c>
      <c r="E208" s="197">
        <f t="shared" si="45"/>
        <v>1</v>
      </c>
      <c r="F208" s="995" t="str">
        <f>'7.15'!D186</f>
        <v>平层</v>
      </c>
      <c r="G208" s="197">
        <f t="shared" si="46"/>
        <v>1</v>
      </c>
      <c r="H208" s="995" t="str">
        <f>'7.15'!E186</f>
        <v>南北东</v>
      </c>
      <c r="I208" s="197">
        <f t="shared" si="47"/>
        <v>1.02</v>
      </c>
      <c r="J208" s="995"/>
      <c r="K208" s="197">
        <f t="shared" si="48"/>
        <v>1</v>
      </c>
      <c r="L208" s="995"/>
      <c r="M208" s="197">
        <f t="shared" si="49"/>
        <v>1</v>
      </c>
      <c r="N208" s="995"/>
      <c r="O208" s="197">
        <f t="shared" si="50"/>
        <v>1</v>
      </c>
      <c r="P208" s="995"/>
      <c r="Q208" s="197">
        <f t="shared" si="51"/>
        <v>1</v>
      </c>
      <c r="R208" s="991">
        <f t="shared" ca="1" si="56"/>
        <v>15926</v>
      </c>
      <c r="S208" s="552">
        <f t="shared" ca="1" si="57"/>
        <v>2025628</v>
      </c>
      <c r="T208" s="2010">
        <f t="shared" ca="1" si="58"/>
        <v>203</v>
      </c>
      <c r="U208" s="2305">
        <f t="shared" si="52"/>
        <v>0</v>
      </c>
      <c r="V208" s="2305">
        <f t="shared" si="53"/>
        <v>0</v>
      </c>
      <c r="W208" s="2300"/>
      <c r="X208" s="2305">
        <f t="shared" si="54"/>
        <v>0</v>
      </c>
      <c r="Y208" s="2305">
        <f t="shared" si="55"/>
        <v>0</v>
      </c>
      <c r="Z208" s="2300"/>
    </row>
    <row r="209" spans="1:26">
      <c r="A209" s="292" t="str">
        <f>'7.15'!B187</f>
        <v>8幢1单元501室</v>
      </c>
      <c r="B209" s="207">
        <f>'7.17'!G187</f>
        <v>127.19</v>
      </c>
      <c r="C209" s="197">
        <f t="shared" si="44"/>
        <v>0.98</v>
      </c>
      <c r="D209" s="995" t="s">
        <v>7606</v>
      </c>
      <c r="E209" s="197">
        <f t="shared" si="45"/>
        <v>1</v>
      </c>
      <c r="F209" s="995" t="str">
        <f>'7.15'!D187</f>
        <v>平层</v>
      </c>
      <c r="G209" s="197">
        <f t="shared" si="46"/>
        <v>1</v>
      </c>
      <c r="H209" s="995" t="str">
        <f>'7.15'!E187</f>
        <v>南北东</v>
      </c>
      <c r="I209" s="197">
        <f t="shared" si="47"/>
        <v>1.02</v>
      </c>
      <c r="J209" s="995"/>
      <c r="K209" s="197">
        <f t="shared" si="48"/>
        <v>1</v>
      </c>
      <c r="L209" s="995"/>
      <c r="M209" s="197">
        <f t="shared" si="49"/>
        <v>1</v>
      </c>
      <c r="N209" s="995"/>
      <c r="O209" s="197">
        <f t="shared" si="50"/>
        <v>1</v>
      </c>
      <c r="P209" s="995"/>
      <c r="Q209" s="197">
        <f t="shared" si="51"/>
        <v>1</v>
      </c>
      <c r="R209" s="991">
        <f t="shared" ca="1" si="56"/>
        <v>15926</v>
      </c>
      <c r="S209" s="552">
        <f t="shared" ca="1" si="57"/>
        <v>2025628</v>
      </c>
      <c r="T209" s="2010">
        <f t="shared" ca="1" si="58"/>
        <v>203</v>
      </c>
      <c r="U209" s="2305">
        <f t="shared" si="52"/>
        <v>0</v>
      </c>
      <c r="V209" s="2305">
        <f t="shared" si="53"/>
        <v>0</v>
      </c>
      <c r="W209" s="2300"/>
      <c r="X209" s="2305">
        <f t="shared" si="54"/>
        <v>0</v>
      </c>
      <c r="Y209" s="2305">
        <f t="shared" si="55"/>
        <v>0</v>
      </c>
      <c r="Z209" s="2300"/>
    </row>
    <row r="210" spans="1:26">
      <c r="A210" s="292" t="str">
        <f>'7.15'!B188</f>
        <v>8幢1单元601室</v>
      </c>
      <c r="B210" s="207">
        <f>'7.17'!G188</f>
        <v>127.19</v>
      </c>
      <c r="C210" s="197">
        <f t="shared" si="44"/>
        <v>0.98</v>
      </c>
      <c r="D210" s="995" t="s">
        <v>7606</v>
      </c>
      <c r="E210" s="197">
        <f t="shared" si="45"/>
        <v>1</v>
      </c>
      <c r="F210" s="995" t="str">
        <f>'7.15'!D188</f>
        <v>平层</v>
      </c>
      <c r="G210" s="197">
        <f t="shared" si="46"/>
        <v>1</v>
      </c>
      <c r="H210" s="995" t="str">
        <f>'7.15'!E188</f>
        <v>南北东</v>
      </c>
      <c r="I210" s="197">
        <f t="shared" si="47"/>
        <v>1.02</v>
      </c>
      <c r="J210" s="995"/>
      <c r="K210" s="197">
        <f t="shared" si="48"/>
        <v>1</v>
      </c>
      <c r="L210" s="995"/>
      <c r="M210" s="197">
        <f t="shared" si="49"/>
        <v>1</v>
      </c>
      <c r="N210" s="995"/>
      <c r="O210" s="197">
        <f t="shared" si="50"/>
        <v>1</v>
      </c>
      <c r="P210" s="995"/>
      <c r="Q210" s="197">
        <f t="shared" si="51"/>
        <v>1</v>
      </c>
      <c r="R210" s="991">
        <f t="shared" ca="1" si="56"/>
        <v>15926</v>
      </c>
      <c r="S210" s="552">
        <f t="shared" ca="1" si="57"/>
        <v>2025628</v>
      </c>
      <c r="T210" s="2010">
        <f t="shared" ca="1" si="58"/>
        <v>203</v>
      </c>
      <c r="U210" s="2305">
        <f t="shared" si="52"/>
        <v>0</v>
      </c>
      <c r="V210" s="2305">
        <f t="shared" si="53"/>
        <v>0</v>
      </c>
      <c r="W210" s="2300"/>
      <c r="X210" s="2305">
        <f t="shared" si="54"/>
        <v>0</v>
      </c>
      <c r="Y210" s="2305">
        <f t="shared" si="55"/>
        <v>0</v>
      </c>
      <c r="Z210" s="2300"/>
    </row>
    <row r="211" spans="1:26">
      <c r="A211" s="292" t="str">
        <f>'7.15'!B189</f>
        <v>8幢1单元701室</v>
      </c>
      <c r="B211" s="207">
        <f>'7.17'!G189</f>
        <v>127.19</v>
      </c>
      <c r="C211" s="197">
        <f t="shared" si="44"/>
        <v>0.98</v>
      </c>
      <c r="D211" s="995" t="s">
        <v>7606</v>
      </c>
      <c r="E211" s="197">
        <f t="shared" si="45"/>
        <v>1</v>
      </c>
      <c r="F211" s="995" t="str">
        <f>'7.15'!D189</f>
        <v>平层</v>
      </c>
      <c r="G211" s="197">
        <f t="shared" si="46"/>
        <v>1</v>
      </c>
      <c r="H211" s="995" t="str">
        <f>'7.15'!E189</f>
        <v>南北东</v>
      </c>
      <c r="I211" s="197">
        <f t="shared" si="47"/>
        <v>1.02</v>
      </c>
      <c r="J211" s="995"/>
      <c r="K211" s="197">
        <f t="shared" si="48"/>
        <v>1</v>
      </c>
      <c r="L211" s="995"/>
      <c r="M211" s="197">
        <f t="shared" si="49"/>
        <v>1</v>
      </c>
      <c r="N211" s="995"/>
      <c r="O211" s="197">
        <f t="shared" si="50"/>
        <v>1</v>
      </c>
      <c r="P211" s="995"/>
      <c r="Q211" s="197">
        <f t="shared" si="51"/>
        <v>1</v>
      </c>
      <c r="R211" s="991">
        <f t="shared" ca="1" si="56"/>
        <v>15926</v>
      </c>
      <c r="S211" s="552">
        <f t="shared" ca="1" si="57"/>
        <v>2025628</v>
      </c>
      <c r="T211" s="2010">
        <f t="shared" ca="1" si="58"/>
        <v>203</v>
      </c>
      <c r="U211" s="2305">
        <f t="shared" si="52"/>
        <v>0</v>
      </c>
      <c r="V211" s="2305">
        <f t="shared" si="53"/>
        <v>0</v>
      </c>
      <c r="W211" s="2300"/>
      <c r="X211" s="2305">
        <f t="shared" si="54"/>
        <v>0</v>
      </c>
      <c r="Y211" s="2305">
        <f t="shared" si="55"/>
        <v>0</v>
      </c>
      <c r="Z211" s="2300"/>
    </row>
    <row r="212" spans="1:26">
      <c r="A212" s="292" t="str">
        <f>'7.15'!B190</f>
        <v>8幢1单元801室</v>
      </c>
      <c r="B212" s="207">
        <f>'7.17'!G190</f>
        <v>127.19</v>
      </c>
      <c r="C212" s="197">
        <f t="shared" si="44"/>
        <v>0.98</v>
      </c>
      <c r="D212" s="995" t="s">
        <v>7606</v>
      </c>
      <c r="E212" s="197">
        <f t="shared" si="45"/>
        <v>1</v>
      </c>
      <c r="F212" s="995" t="str">
        <f>'7.15'!D190</f>
        <v>平层</v>
      </c>
      <c r="G212" s="197">
        <f t="shared" si="46"/>
        <v>1</v>
      </c>
      <c r="H212" s="995" t="str">
        <f>'7.15'!E190</f>
        <v>南北东</v>
      </c>
      <c r="I212" s="197">
        <f t="shared" si="47"/>
        <v>1.02</v>
      </c>
      <c r="J212" s="995"/>
      <c r="K212" s="197">
        <f t="shared" si="48"/>
        <v>1</v>
      </c>
      <c r="L212" s="995"/>
      <c r="M212" s="197">
        <f t="shared" si="49"/>
        <v>1</v>
      </c>
      <c r="N212" s="995"/>
      <c r="O212" s="197">
        <f t="shared" si="50"/>
        <v>1</v>
      </c>
      <c r="P212" s="995"/>
      <c r="Q212" s="197">
        <f t="shared" si="51"/>
        <v>1</v>
      </c>
      <c r="R212" s="991">
        <f t="shared" ca="1" si="56"/>
        <v>15926</v>
      </c>
      <c r="S212" s="552">
        <f t="shared" ca="1" si="57"/>
        <v>2025628</v>
      </c>
      <c r="T212" s="2010">
        <f t="shared" ca="1" si="58"/>
        <v>203</v>
      </c>
      <c r="U212" s="2305">
        <f t="shared" si="52"/>
        <v>0</v>
      </c>
      <c r="V212" s="2305">
        <f t="shared" si="53"/>
        <v>0</v>
      </c>
      <c r="W212" s="2300"/>
      <c r="X212" s="2305">
        <f t="shared" si="54"/>
        <v>0</v>
      </c>
      <c r="Y212" s="2305">
        <f t="shared" si="55"/>
        <v>0</v>
      </c>
      <c r="Z212" s="2300"/>
    </row>
    <row r="213" spans="1:26">
      <c r="A213" s="292" t="str">
        <f>'7.15'!B191</f>
        <v>8幢1单元901室</v>
      </c>
      <c r="B213" s="207">
        <f>'7.17'!G191</f>
        <v>127.19</v>
      </c>
      <c r="C213" s="197">
        <f t="shared" si="44"/>
        <v>0.98</v>
      </c>
      <c r="D213" s="995" t="s">
        <v>7606</v>
      </c>
      <c r="E213" s="197">
        <f t="shared" si="45"/>
        <v>1</v>
      </c>
      <c r="F213" s="995" t="str">
        <f>'7.15'!D191</f>
        <v>平层</v>
      </c>
      <c r="G213" s="197">
        <f t="shared" si="46"/>
        <v>1</v>
      </c>
      <c r="H213" s="995" t="str">
        <f>'7.15'!E191</f>
        <v>南北东</v>
      </c>
      <c r="I213" s="197">
        <f t="shared" si="47"/>
        <v>1.02</v>
      </c>
      <c r="J213" s="995"/>
      <c r="K213" s="197">
        <f t="shared" si="48"/>
        <v>1</v>
      </c>
      <c r="L213" s="995"/>
      <c r="M213" s="197">
        <f t="shared" si="49"/>
        <v>1</v>
      </c>
      <c r="N213" s="995"/>
      <c r="O213" s="197">
        <f t="shared" si="50"/>
        <v>1</v>
      </c>
      <c r="P213" s="995"/>
      <c r="Q213" s="197">
        <f t="shared" si="51"/>
        <v>1</v>
      </c>
      <c r="R213" s="991">
        <f t="shared" ca="1" si="56"/>
        <v>15926</v>
      </c>
      <c r="S213" s="552">
        <f t="shared" ca="1" si="57"/>
        <v>2025628</v>
      </c>
      <c r="T213" s="2010">
        <f t="shared" ca="1" si="58"/>
        <v>203</v>
      </c>
      <c r="U213" s="2305">
        <f t="shared" si="52"/>
        <v>0</v>
      </c>
      <c r="V213" s="2305">
        <f t="shared" si="53"/>
        <v>0</v>
      </c>
      <c r="W213" s="2300"/>
      <c r="X213" s="2305">
        <f t="shared" si="54"/>
        <v>0</v>
      </c>
      <c r="Y213" s="2305">
        <f t="shared" si="55"/>
        <v>0</v>
      </c>
      <c r="Z213" s="2300"/>
    </row>
    <row r="214" spans="1:26">
      <c r="A214" s="292" t="str">
        <f>'7.15'!B192</f>
        <v>8幢1单元1001室</v>
      </c>
      <c r="B214" s="207">
        <f>'7.17'!G192</f>
        <v>127.19</v>
      </c>
      <c r="C214" s="197">
        <f t="shared" si="44"/>
        <v>0.98</v>
      </c>
      <c r="D214" s="995" t="s">
        <v>7606</v>
      </c>
      <c r="E214" s="197">
        <f t="shared" si="45"/>
        <v>1</v>
      </c>
      <c r="F214" s="995" t="str">
        <f>'7.15'!D192</f>
        <v>平层</v>
      </c>
      <c r="G214" s="197">
        <f t="shared" si="46"/>
        <v>1</v>
      </c>
      <c r="H214" s="995" t="str">
        <f>'7.15'!E192</f>
        <v>南北东</v>
      </c>
      <c r="I214" s="197">
        <f t="shared" si="47"/>
        <v>1.02</v>
      </c>
      <c r="J214" s="995"/>
      <c r="K214" s="197">
        <f t="shared" si="48"/>
        <v>1</v>
      </c>
      <c r="L214" s="995"/>
      <c r="M214" s="197">
        <f t="shared" si="49"/>
        <v>1</v>
      </c>
      <c r="N214" s="995"/>
      <c r="O214" s="197">
        <f t="shared" si="50"/>
        <v>1</v>
      </c>
      <c r="P214" s="995"/>
      <c r="Q214" s="197">
        <f t="shared" si="51"/>
        <v>1</v>
      </c>
      <c r="R214" s="991">
        <f t="shared" ca="1" si="56"/>
        <v>15926</v>
      </c>
      <c r="S214" s="552">
        <f t="shared" ca="1" si="57"/>
        <v>2025628</v>
      </c>
      <c r="T214" s="2010">
        <f t="shared" ca="1" si="58"/>
        <v>203</v>
      </c>
      <c r="U214" s="2305">
        <f t="shared" si="52"/>
        <v>0</v>
      </c>
      <c r="V214" s="2305">
        <f t="shared" si="53"/>
        <v>0</v>
      </c>
      <c r="W214" s="2300"/>
      <c r="X214" s="2305">
        <f t="shared" si="54"/>
        <v>0</v>
      </c>
      <c r="Y214" s="2305">
        <f t="shared" si="55"/>
        <v>0</v>
      </c>
      <c r="Z214" s="2300"/>
    </row>
    <row r="215" spans="1:26">
      <c r="A215" s="292" t="str">
        <f>'7.15'!B193</f>
        <v>8幢1单元1101室</v>
      </c>
      <c r="B215" s="207">
        <f>'7.17'!G193</f>
        <v>127.19</v>
      </c>
      <c r="C215" s="197">
        <f t="shared" si="44"/>
        <v>0.98</v>
      </c>
      <c r="D215" s="995" t="s">
        <v>7609</v>
      </c>
      <c r="E215" s="197">
        <f t="shared" si="45"/>
        <v>1.04</v>
      </c>
      <c r="F215" s="995" t="str">
        <f>'7.15'!D193</f>
        <v>平层</v>
      </c>
      <c r="G215" s="197">
        <f t="shared" si="46"/>
        <v>1</v>
      </c>
      <c r="H215" s="995" t="str">
        <f>'7.15'!E193</f>
        <v>南北东</v>
      </c>
      <c r="I215" s="197">
        <f t="shared" si="47"/>
        <v>1.02</v>
      </c>
      <c r="J215" s="995"/>
      <c r="K215" s="197">
        <f t="shared" si="48"/>
        <v>1</v>
      </c>
      <c r="L215" s="995"/>
      <c r="M215" s="197">
        <f t="shared" si="49"/>
        <v>1</v>
      </c>
      <c r="N215" s="995"/>
      <c r="O215" s="197">
        <f t="shared" si="50"/>
        <v>1</v>
      </c>
      <c r="P215" s="995"/>
      <c r="Q215" s="197">
        <f t="shared" si="51"/>
        <v>1</v>
      </c>
      <c r="R215" s="991">
        <f t="shared" ca="1" si="56"/>
        <v>16563</v>
      </c>
      <c r="S215" s="552">
        <f t="shared" ca="1" si="57"/>
        <v>2106648</v>
      </c>
      <c r="T215" s="2010">
        <f t="shared" ca="1" si="58"/>
        <v>211</v>
      </c>
      <c r="U215" s="2305">
        <f t="shared" si="52"/>
        <v>0</v>
      </c>
      <c r="V215" s="2305">
        <f t="shared" si="53"/>
        <v>0</v>
      </c>
      <c r="W215" s="2300"/>
      <c r="X215" s="2305">
        <f t="shared" si="54"/>
        <v>0</v>
      </c>
      <c r="Y215" s="2305">
        <f t="shared" si="55"/>
        <v>0</v>
      </c>
      <c r="Z215" s="2300"/>
    </row>
    <row r="216" spans="1:26">
      <c r="A216" s="292" t="str">
        <f>'7.15'!B194</f>
        <v>8幢1单元1201室</v>
      </c>
      <c r="B216" s="207">
        <f>'7.17'!G194</f>
        <v>127.19</v>
      </c>
      <c r="C216" s="197">
        <f t="shared" si="44"/>
        <v>0.98</v>
      </c>
      <c r="D216" s="995" t="s">
        <v>7609</v>
      </c>
      <c r="E216" s="197">
        <f t="shared" si="45"/>
        <v>1.04</v>
      </c>
      <c r="F216" s="995" t="str">
        <f>'7.15'!D194</f>
        <v>平层</v>
      </c>
      <c r="G216" s="197">
        <f t="shared" si="46"/>
        <v>1</v>
      </c>
      <c r="H216" s="995" t="str">
        <f>'7.15'!E194</f>
        <v>南北东</v>
      </c>
      <c r="I216" s="197">
        <f t="shared" si="47"/>
        <v>1.02</v>
      </c>
      <c r="J216" s="995"/>
      <c r="K216" s="197">
        <f t="shared" si="48"/>
        <v>1</v>
      </c>
      <c r="L216" s="995"/>
      <c r="M216" s="197">
        <f t="shared" si="49"/>
        <v>1</v>
      </c>
      <c r="N216" s="995"/>
      <c r="O216" s="197">
        <f t="shared" si="50"/>
        <v>1</v>
      </c>
      <c r="P216" s="995"/>
      <c r="Q216" s="197">
        <f t="shared" si="51"/>
        <v>1</v>
      </c>
      <c r="R216" s="991">
        <f t="shared" ca="1" si="56"/>
        <v>16563</v>
      </c>
      <c r="S216" s="552">
        <f t="shared" ca="1" si="57"/>
        <v>2106648</v>
      </c>
      <c r="T216" s="2010">
        <f t="shared" ca="1" si="58"/>
        <v>211</v>
      </c>
      <c r="U216" s="2305">
        <f t="shared" si="52"/>
        <v>0</v>
      </c>
      <c r="V216" s="2305">
        <f t="shared" si="53"/>
        <v>0</v>
      </c>
      <c r="W216" s="2300"/>
      <c r="X216" s="2305">
        <f t="shared" si="54"/>
        <v>0</v>
      </c>
      <c r="Y216" s="2305">
        <f t="shared" si="55"/>
        <v>0</v>
      </c>
      <c r="Z216" s="2300"/>
    </row>
    <row r="217" spans="1:26">
      <c r="A217" s="292" t="str">
        <f>'7.15'!B195</f>
        <v>8幢1单元1301室</v>
      </c>
      <c r="B217" s="207">
        <f>'7.17'!G195</f>
        <v>127.19</v>
      </c>
      <c r="C217" s="197">
        <f t="shared" si="44"/>
        <v>0.98</v>
      </c>
      <c r="D217" s="995" t="s">
        <v>7609</v>
      </c>
      <c r="E217" s="197">
        <f t="shared" si="45"/>
        <v>1.04</v>
      </c>
      <c r="F217" s="995" t="str">
        <f>'7.15'!D195</f>
        <v>平层</v>
      </c>
      <c r="G217" s="197">
        <f t="shared" si="46"/>
        <v>1</v>
      </c>
      <c r="H217" s="995" t="str">
        <f>'7.15'!E195</f>
        <v>南北东</v>
      </c>
      <c r="I217" s="197">
        <f t="shared" si="47"/>
        <v>1.02</v>
      </c>
      <c r="J217" s="995"/>
      <c r="K217" s="197">
        <f t="shared" si="48"/>
        <v>1</v>
      </c>
      <c r="L217" s="995"/>
      <c r="M217" s="197">
        <f t="shared" si="49"/>
        <v>1</v>
      </c>
      <c r="N217" s="995"/>
      <c r="O217" s="197">
        <f t="shared" si="50"/>
        <v>1</v>
      </c>
      <c r="P217" s="995"/>
      <c r="Q217" s="197">
        <f t="shared" si="51"/>
        <v>1</v>
      </c>
      <c r="R217" s="991">
        <f t="shared" ca="1" si="56"/>
        <v>16563</v>
      </c>
      <c r="S217" s="552">
        <f t="shared" ca="1" si="57"/>
        <v>2106648</v>
      </c>
      <c r="T217" s="2010">
        <f t="shared" ca="1" si="58"/>
        <v>211</v>
      </c>
      <c r="U217" s="2305">
        <f t="shared" si="52"/>
        <v>0</v>
      </c>
      <c r="V217" s="2305">
        <f t="shared" si="53"/>
        <v>0</v>
      </c>
      <c r="W217" s="2300"/>
      <c r="X217" s="2305">
        <f t="shared" si="54"/>
        <v>0</v>
      </c>
      <c r="Y217" s="2305">
        <f t="shared" si="55"/>
        <v>0</v>
      </c>
      <c r="Z217" s="2300"/>
    </row>
    <row r="218" spans="1:26">
      <c r="A218" s="292" t="str">
        <f>'7.15'!B196</f>
        <v>8幢1单元1401室</v>
      </c>
      <c r="B218" s="207">
        <f>'7.17'!G196</f>
        <v>127.19</v>
      </c>
      <c r="C218" s="197">
        <f t="shared" si="44"/>
        <v>0.98</v>
      </c>
      <c r="D218" s="995" t="s">
        <v>7609</v>
      </c>
      <c r="E218" s="197">
        <f t="shared" si="45"/>
        <v>1.04</v>
      </c>
      <c r="F218" s="995" t="str">
        <f>'7.15'!D196</f>
        <v>平层</v>
      </c>
      <c r="G218" s="197">
        <f t="shared" si="46"/>
        <v>1</v>
      </c>
      <c r="H218" s="995" t="str">
        <f>'7.15'!E196</f>
        <v>南北东</v>
      </c>
      <c r="I218" s="197">
        <f t="shared" si="47"/>
        <v>1.02</v>
      </c>
      <c r="J218" s="995"/>
      <c r="K218" s="197">
        <f t="shared" si="48"/>
        <v>1</v>
      </c>
      <c r="L218" s="995"/>
      <c r="M218" s="197">
        <f t="shared" si="49"/>
        <v>1</v>
      </c>
      <c r="N218" s="995"/>
      <c r="O218" s="197">
        <f t="shared" si="50"/>
        <v>1</v>
      </c>
      <c r="P218" s="995"/>
      <c r="Q218" s="197">
        <f t="shared" si="51"/>
        <v>1</v>
      </c>
      <c r="R218" s="991">
        <f t="shared" ca="1" si="56"/>
        <v>16563</v>
      </c>
      <c r="S218" s="552">
        <f t="shared" ca="1" si="57"/>
        <v>2106648</v>
      </c>
      <c r="T218" s="2010">
        <f t="shared" ca="1" si="58"/>
        <v>211</v>
      </c>
      <c r="U218" s="2305">
        <f t="shared" si="52"/>
        <v>0</v>
      </c>
      <c r="V218" s="2305">
        <f t="shared" si="53"/>
        <v>0</v>
      </c>
      <c r="W218" s="2300"/>
      <c r="X218" s="2305">
        <f t="shared" si="54"/>
        <v>0</v>
      </c>
      <c r="Y218" s="2305">
        <f t="shared" si="55"/>
        <v>0</v>
      </c>
      <c r="Z218" s="2300"/>
    </row>
    <row r="219" spans="1:26">
      <c r="A219" s="292" t="str">
        <f>'7.15'!B197</f>
        <v>8幢1单元1501室</v>
      </c>
      <c r="B219" s="207">
        <f>'7.17'!G197</f>
        <v>127.19</v>
      </c>
      <c r="C219" s="197">
        <f t="shared" si="44"/>
        <v>0.98</v>
      </c>
      <c r="D219" s="995" t="s">
        <v>7609</v>
      </c>
      <c r="E219" s="197">
        <f t="shared" si="45"/>
        <v>1.04</v>
      </c>
      <c r="F219" s="995" t="str">
        <f>'7.15'!D197</f>
        <v>平层</v>
      </c>
      <c r="G219" s="197">
        <f t="shared" si="46"/>
        <v>1</v>
      </c>
      <c r="H219" s="995" t="str">
        <f>'7.15'!E197</f>
        <v>南北东</v>
      </c>
      <c r="I219" s="197">
        <f t="shared" si="47"/>
        <v>1.02</v>
      </c>
      <c r="J219" s="995"/>
      <c r="K219" s="197">
        <f t="shared" si="48"/>
        <v>1</v>
      </c>
      <c r="L219" s="995"/>
      <c r="M219" s="197">
        <f t="shared" si="49"/>
        <v>1</v>
      </c>
      <c r="N219" s="995"/>
      <c r="O219" s="197">
        <f t="shared" si="50"/>
        <v>1</v>
      </c>
      <c r="P219" s="995"/>
      <c r="Q219" s="197">
        <f t="shared" si="51"/>
        <v>1</v>
      </c>
      <c r="R219" s="991">
        <f t="shared" ca="1" si="56"/>
        <v>16563</v>
      </c>
      <c r="S219" s="552">
        <f t="shared" ca="1" si="57"/>
        <v>2106648</v>
      </c>
      <c r="T219" s="2010">
        <f t="shared" ca="1" si="58"/>
        <v>211</v>
      </c>
      <c r="U219" s="2305">
        <f t="shared" si="52"/>
        <v>0</v>
      </c>
      <c r="V219" s="2305">
        <f t="shared" si="53"/>
        <v>0</v>
      </c>
      <c r="W219" s="2300"/>
      <c r="X219" s="2305">
        <f t="shared" si="54"/>
        <v>0</v>
      </c>
      <c r="Y219" s="2305">
        <f t="shared" si="55"/>
        <v>0</v>
      </c>
      <c r="Z219" s="2300"/>
    </row>
    <row r="220" spans="1:26">
      <c r="A220" s="292" t="str">
        <f>'7.15'!B198</f>
        <v>8幢1单元1601室</v>
      </c>
      <c r="B220" s="207">
        <f>'7.17'!G198</f>
        <v>127.19</v>
      </c>
      <c r="C220" s="197">
        <f t="shared" ref="C220:C283" si="59">IF(B220="",1,(LOOKUP(B220,$6:$6,$7:$7)-LOOKUP($B$27,$6:$6,$7:$7)+100)/100)</f>
        <v>0.98</v>
      </c>
      <c r="D220" s="995" t="s">
        <v>7609</v>
      </c>
      <c r="E220" s="197">
        <f t="shared" ref="E220:E283" si="60">(SUMIF($8:$8,D220,$9:$9)-SUMIF($8:$8,$D$27,$9:$9)+100)/100</f>
        <v>1.04</v>
      </c>
      <c r="F220" s="995" t="str">
        <f>'7.15'!D198</f>
        <v>平层</v>
      </c>
      <c r="G220" s="197">
        <f t="shared" ref="G220:G283" si="61">(SUMIF($10:$10,F220,$11:$11)-SUMIF($10:$10,$F$27,$11:$11)+100)/100</f>
        <v>1</v>
      </c>
      <c r="H220" s="995" t="str">
        <f>'7.15'!E198</f>
        <v>南北东</v>
      </c>
      <c r="I220" s="197">
        <f t="shared" ref="I220:I283" si="62">(SUMIF($12:$12,H220,$13:$13)-SUMIF($12:$12,$H$27,$13:$13)+100)/100</f>
        <v>1.02</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ca="1" si="56"/>
        <v>16563</v>
      </c>
      <c r="S220" s="552">
        <f t="shared" ca="1" si="57"/>
        <v>2106648</v>
      </c>
      <c r="T220" s="2010">
        <f t="shared" ca="1" si="58"/>
        <v>211</v>
      </c>
      <c r="U220" s="2305">
        <f t="shared" ref="U220:U283" si="67">ROUND(W220*B220,0)</f>
        <v>0</v>
      </c>
      <c r="V220" s="2305">
        <f t="shared" ref="V220:V283" si="68">ROUND(W220*B220/10000,0)</f>
        <v>0</v>
      </c>
      <c r="W220" s="2300"/>
      <c r="X220" s="2305">
        <f t="shared" ref="X220:X283" si="69">ROUND(Z220*B220,0)</f>
        <v>0</v>
      </c>
      <c r="Y220" s="2305">
        <f t="shared" ref="Y220:Y283" si="70">ROUND(Z220*B220/10000,0)</f>
        <v>0</v>
      </c>
      <c r="Z220" s="2300"/>
    </row>
    <row r="221" spans="1:26">
      <c r="A221" s="292" t="str">
        <f>'7.15'!B199</f>
        <v>8幢1单元1701室</v>
      </c>
      <c r="B221" s="207">
        <f>'7.17'!G199</f>
        <v>127.19</v>
      </c>
      <c r="C221" s="197">
        <f t="shared" si="59"/>
        <v>0.98</v>
      </c>
      <c r="D221" s="995" t="s">
        <v>7609</v>
      </c>
      <c r="E221" s="197">
        <f t="shared" si="60"/>
        <v>1.04</v>
      </c>
      <c r="F221" s="995" t="str">
        <f>'7.15'!D199</f>
        <v>平层</v>
      </c>
      <c r="G221" s="197">
        <f t="shared" si="61"/>
        <v>1</v>
      </c>
      <c r="H221" s="995" t="str">
        <f>'7.15'!E199</f>
        <v>南北东</v>
      </c>
      <c r="I221" s="197">
        <f t="shared" si="62"/>
        <v>1.02</v>
      </c>
      <c r="J221" s="995"/>
      <c r="K221" s="197">
        <f t="shared" si="63"/>
        <v>1</v>
      </c>
      <c r="L221" s="995"/>
      <c r="M221" s="197">
        <f t="shared" si="64"/>
        <v>1</v>
      </c>
      <c r="N221" s="995"/>
      <c r="O221" s="197">
        <f t="shared" si="65"/>
        <v>1</v>
      </c>
      <c r="P221" s="995"/>
      <c r="Q221" s="197">
        <f t="shared" si="66"/>
        <v>1</v>
      </c>
      <c r="R221" s="991">
        <f t="shared" ref="R221:R284" ca="1" si="71">IF(B221="",0,ROUND($R$27*C221*E221*G221*I221*K221*M221*O221*Q221,0))</f>
        <v>16563</v>
      </c>
      <c r="S221" s="552">
        <f t="shared" ref="S221:S284" ca="1" si="72">ROUND(R221*B221,0)</f>
        <v>2106648</v>
      </c>
      <c r="T221" s="2010">
        <f t="shared" ref="T221:T284" ca="1" si="73">ROUND(R221*B221/10000,0)</f>
        <v>211</v>
      </c>
      <c r="U221" s="2305">
        <f t="shared" si="67"/>
        <v>0</v>
      </c>
      <c r="V221" s="2305">
        <f t="shared" si="68"/>
        <v>0</v>
      </c>
      <c r="W221" s="2300"/>
      <c r="X221" s="2305">
        <f t="shared" si="69"/>
        <v>0</v>
      </c>
      <c r="Y221" s="2305">
        <f t="shared" si="70"/>
        <v>0</v>
      </c>
      <c r="Z221" s="2300"/>
    </row>
    <row r="222" spans="1:26">
      <c r="A222" s="292" t="str">
        <f>'7.15'!B200</f>
        <v>8幢1单元1801室</v>
      </c>
      <c r="B222" s="207">
        <f>'7.17'!G200</f>
        <v>127.19</v>
      </c>
      <c r="C222" s="197">
        <f t="shared" si="59"/>
        <v>0.98</v>
      </c>
      <c r="D222" s="995" t="s">
        <v>7609</v>
      </c>
      <c r="E222" s="197">
        <f t="shared" si="60"/>
        <v>1.04</v>
      </c>
      <c r="F222" s="995" t="str">
        <f>'7.15'!D200</f>
        <v>平层</v>
      </c>
      <c r="G222" s="197">
        <f t="shared" si="61"/>
        <v>1</v>
      </c>
      <c r="H222" s="995" t="str">
        <f>'7.15'!E200</f>
        <v>南北东</v>
      </c>
      <c r="I222" s="197">
        <f t="shared" si="62"/>
        <v>1.02</v>
      </c>
      <c r="J222" s="995"/>
      <c r="K222" s="197">
        <f t="shared" si="63"/>
        <v>1</v>
      </c>
      <c r="L222" s="995"/>
      <c r="M222" s="197">
        <f t="shared" si="64"/>
        <v>1</v>
      </c>
      <c r="N222" s="995"/>
      <c r="O222" s="197">
        <f t="shared" si="65"/>
        <v>1</v>
      </c>
      <c r="P222" s="995"/>
      <c r="Q222" s="197">
        <f t="shared" si="66"/>
        <v>1</v>
      </c>
      <c r="R222" s="991">
        <f t="shared" ca="1" si="71"/>
        <v>16563</v>
      </c>
      <c r="S222" s="552">
        <f t="shared" ca="1" si="72"/>
        <v>2106648</v>
      </c>
      <c r="T222" s="2010">
        <f t="shared" ca="1" si="73"/>
        <v>211</v>
      </c>
      <c r="U222" s="2305">
        <f t="shared" si="67"/>
        <v>0</v>
      </c>
      <c r="V222" s="2305">
        <f t="shared" si="68"/>
        <v>0</v>
      </c>
      <c r="W222" s="2300"/>
      <c r="X222" s="2305">
        <f t="shared" si="69"/>
        <v>0</v>
      </c>
      <c r="Y222" s="2305">
        <f t="shared" si="70"/>
        <v>0</v>
      </c>
      <c r="Z222" s="2300"/>
    </row>
    <row r="223" spans="1:26">
      <c r="A223" s="292" t="str">
        <f>'7.15'!B201</f>
        <v>8幢1单元1901室</v>
      </c>
      <c r="B223" s="207">
        <f>'7.17'!G201</f>
        <v>127.19</v>
      </c>
      <c r="C223" s="197">
        <f t="shared" si="59"/>
        <v>0.98</v>
      </c>
      <c r="D223" s="995" t="s">
        <v>7609</v>
      </c>
      <c r="E223" s="197">
        <f t="shared" si="60"/>
        <v>1.04</v>
      </c>
      <c r="F223" s="995" t="str">
        <f>'7.15'!D201</f>
        <v>平层</v>
      </c>
      <c r="G223" s="197">
        <f t="shared" si="61"/>
        <v>1</v>
      </c>
      <c r="H223" s="995" t="str">
        <f>'7.15'!E201</f>
        <v>南北东</v>
      </c>
      <c r="I223" s="197">
        <f t="shared" si="62"/>
        <v>1.02</v>
      </c>
      <c r="J223" s="995"/>
      <c r="K223" s="197">
        <f t="shared" si="63"/>
        <v>1</v>
      </c>
      <c r="L223" s="995"/>
      <c r="M223" s="197">
        <f t="shared" si="64"/>
        <v>1</v>
      </c>
      <c r="N223" s="995"/>
      <c r="O223" s="197">
        <f t="shared" si="65"/>
        <v>1</v>
      </c>
      <c r="P223" s="995"/>
      <c r="Q223" s="197">
        <f t="shared" si="66"/>
        <v>1</v>
      </c>
      <c r="R223" s="991">
        <f t="shared" ca="1" si="71"/>
        <v>16563</v>
      </c>
      <c r="S223" s="552">
        <f t="shared" ca="1" si="72"/>
        <v>2106648</v>
      </c>
      <c r="T223" s="2010">
        <f t="shared" ca="1" si="73"/>
        <v>211</v>
      </c>
      <c r="U223" s="2305">
        <f t="shared" si="67"/>
        <v>0</v>
      </c>
      <c r="V223" s="2305">
        <f t="shared" si="68"/>
        <v>0</v>
      </c>
      <c r="W223" s="2300"/>
      <c r="X223" s="2305">
        <f t="shared" si="69"/>
        <v>0</v>
      </c>
      <c r="Y223" s="2305">
        <f t="shared" si="70"/>
        <v>0</v>
      </c>
      <c r="Z223" s="2300"/>
    </row>
    <row r="224" spans="1:26">
      <c r="A224" s="292" t="str">
        <f>'7.15'!B202</f>
        <v>8幢1单元2001室</v>
      </c>
      <c r="B224" s="207">
        <f>'7.17'!G202</f>
        <v>127.19</v>
      </c>
      <c r="C224" s="197">
        <f t="shared" si="59"/>
        <v>0.98</v>
      </c>
      <c r="D224" s="995" t="s">
        <v>7609</v>
      </c>
      <c r="E224" s="197">
        <f t="shared" si="60"/>
        <v>1.04</v>
      </c>
      <c r="F224" s="995" t="str">
        <f>'7.15'!D202</f>
        <v>平层</v>
      </c>
      <c r="G224" s="197">
        <f t="shared" si="61"/>
        <v>1</v>
      </c>
      <c r="H224" s="995" t="str">
        <f>'7.15'!E202</f>
        <v>南北东</v>
      </c>
      <c r="I224" s="197">
        <f t="shared" si="62"/>
        <v>1.02</v>
      </c>
      <c r="J224" s="995"/>
      <c r="K224" s="197">
        <f t="shared" si="63"/>
        <v>1</v>
      </c>
      <c r="L224" s="995"/>
      <c r="M224" s="197">
        <f t="shared" si="64"/>
        <v>1</v>
      </c>
      <c r="N224" s="995"/>
      <c r="O224" s="197">
        <f t="shared" si="65"/>
        <v>1</v>
      </c>
      <c r="P224" s="995"/>
      <c r="Q224" s="197">
        <f t="shared" si="66"/>
        <v>1</v>
      </c>
      <c r="R224" s="991">
        <f t="shared" ca="1" si="71"/>
        <v>16563</v>
      </c>
      <c r="S224" s="552">
        <f t="shared" ca="1" si="72"/>
        <v>2106648</v>
      </c>
      <c r="T224" s="2010">
        <f t="shared" ca="1" si="73"/>
        <v>211</v>
      </c>
      <c r="U224" s="2305">
        <f t="shared" si="67"/>
        <v>0</v>
      </c>
      <c r="V224" s="2305">
        <f t="shared" si="68"/>
        <v>0</v>
      </c>
      <c r="W224" s="2300"/>
      <c r="X224" s="2305">
        <f t="shared" si="69"/>
        <v>0</v>
      </c>
      <c r="Y224" s="2305">
        <f t="shared" si="70"/>
        <v>0</v>
      </c>
      <c r="Z224" s="2300"/>
    </row>
    <row r="225" spans="1:26">
      <c r="A225" s="292" t="str">
        <f>'7.15'!B203</f>
        <v>8幢1单元2101室</v>
      </c>
      <c r="B225" s="207">
        <f>'7.17'!G203</f>
        <v>127.19</v>
      </c>
      <c r="C225" s="197">
        <f t="shared" si="59"/>
        <v>0.98</v>
      </c>
      <c r="D225" s="995" t="s">
        <v>7608</v>
      </c>
      <c r="E225" s="197">
        <f t="shared" si="60"/>
        <v>1.02</v>
      </c>
      <c r="F225" s="995" t="str">
        <f>'7.15'!D203</f>
        <v>平层</v>
      </c>
      <c r="G225" s="197">
        <f t="shared" si="61"/>
        <v>1</v>
      </c>
      <c r="H225" s="995" t="str">
        <f>'7.15'!E203</f>
        <v>南北东</v>
      </c>
      <c r="I225" s="197">
        <f t="shared" si="62"/>
        <v>1.02</v>
      </c>
      <c r="J225" s="995"/>
      <c r="K225" s="197">
        <f t="shared" si="63"/>
        <v>1</v>
      </c>
      <c r="L225" s="995"/>
      <c r="M225" s="197">
        <f t="shared" si="64"/>
        <v>1</v>
      </c>
      <c r="N225" s="995"/>
      <c r="O225" s="197">
        <f t="shared" si="65"/>
        <v>1</v>
      </c>
      <c r="P225" s="995"/>
      <c r="Q225" s="197">
        <f t="shared" si="66"/>
        <v>1</v>
      </c>
      <c r="R225" s="991">
        <f t="shared" ca="1" si="71"/>
        <v>16244</v>
      </c>
      <c r="S225" s="552">
        <f t="shared" ca="1" si="72"/>
        <v>2066074</v>
      </c>
      <c r="T225" s="2010">
        <f t="shared" ca="1" si="73"/>
        <v>207</v>
      </c>
      <c r="U225" s="2305">
        <f t="shared" si="67"/>
        <v>0</v>
      </c>
      <c r="V225" s="2305">
        <f t="shared" si="68"/>
        <v>0</v>
      </c>
      <c r="W225" s="2300"/>
      <c r="X225" s="2305">
        <f t="shared" si="69"/>
        <v>0</v>
      </c>
      <c r="Y225" s="2305">
        <f t="shared" si="70"/>
        <v>0</v>
      </c>
      <c r="Z225" s="2300"/>
    </row>
    <row r="226" spans="1:26">
      <c r="A226" s="292" t="str">
        <f>'7.15'!B204</f>
        <v>8幢1单元2201室</v>
      </c>
      <c r="B226" s="207">
        <f>'7.17'!G204</f>
        <v>127.19</v>
      </c>
      <c r="C226" s="197">
        <f t="shared" si="59"/>
        <v>0.98</v>
      </c>
      <c r="D226" s="995" t="s">
        <v>7608</v>
      </c>
      <c r="E226" s="197">
        <f t="shared" si="60"/>
        <v>1.02</v>
      </c>
      <c r="F226" s="995" t="str">
        <f>'7.15'!D204</f>
        <v>平层</v>
      </c>
      <c r="G226" s="197">
        <f t="shared" si="61"/>
        <v>1</v>
      </c>
      <c r="H226" s="995" t="str">
        <f>'7.15'!E204</f>
        <v>南北东</v>
      </c>
      <c r="I226" s="197">
        <f t="shared" si="62"/>
        <v>1.02</v>
      </c>
      <c r="J226" s="995"/>
      <c r="K226" s="197">
        <f t="shared" si="63"/>
        <v>1</v>
      </c>
      <c r="L226" s="995"/>
      <c r="M226" s="197">
        <f t="shared" si="64"/>
        <v>1</v>
      </c>
      <c r="N226" s="995"/>
      <c r="O226" s="197">
        <f t="shared" si="65"/>
        <v>1</v>
      </c>
      <c r="P226" s="995"/>
      <c r="Q226" s="197">
        <f t="shared" si="66"/>
        <v>1</v>
      </c>
      <c r="R226" s="991">
        <f t="shared" ca="1" si="71"/>
        <v>16244</v>
      </c>
      <c r="S226" s="552">
        <f t="shared" ca="1" si="72"/>
        <v>2066074</v>
      </c>
      <c r="T226" s="2010">
        <f t="shared" ca="1" si="73"/>
        <v>207</v>
      </c>
      <c r="U226" s="2305">
        <f t="shared" si="67"/>
        <v>0</v>
      </c>
      <c r="V226" s="2305">
        <f t="shared" si="68"/>
        <v>0</v>
      </c>
      <c r="W226" s="2300"/>
      <c r="X226" s="2305">
        <f t="shared" si="69"/>
        <v>0</v>
      </c>
      <c r="Y226" s="2305">
        <f t="shared" si="70"/>
        <v>0</v>
      </c>
      <c r="Z226" s="2300"/>
    </row>
    <row r="227" spans="1:26">
      <c r="A227" s="292" t="str">
        <f>'7.15'!B205</f>
        <v>8幢1单元2301室</v>
      </c>
      <c r="B227" s="207">
        <f>'7.17'!G205</f>
        <v>127.19</v>
      </c>
      <c r="C227" s="197">
        <f t="shared" si="59"/>
        <v>0.98</v>
      </c>
      <c r="D227" s="995" t="s">
        <v>7608</v>
      </c>
      <c r="E227" s="197">
        <f t="shared" si="60"/>
        <v>1.02</v>
      </c>
      <c r="F227" s="995" t="str">
        <f>'7.15'!D205</f>
        <v>平层</v>
      </c>
      <c r="G227" s="197">
        <f t="shared" si="61"/>
        <v>1</v>
      </c>
      <c r="H227" s="995" t="str">
        <f>'7.15'!E205</f>
        <v>南北东</v>
      </c>
      <c r="I227" s="197">
        <f t="shared" si="62"/>
        <v>1.02</v>
      </c>
      <c r="J227" s="995"/>
      <c r="K227" s="197">
        <f t="shared" si="63"/>
        <v>1</v>
      </c>
      <c r="L227" s="995"/>
      <c r="M227" s="197">
        <f t="shared" si="64"/>
        <v>1</v>
      </c>
      <c r="N227" s="995"/>
      <c r="O227" s="197">
        <f t="shared" si="65"/>
        <v>1</v>
      </c>
      <c r="P227" s="995"/>
      <c r="Q227" s="197">
        <f t="shared" si="66"/>
        <v>1</v>
      </c>
      <c r="R227" s="991">
        <f t="shared" ca="1" si="71"/>
        <v>16244</v>
      </c>
      <c r="S227" s="552">
        <f t="shared" ca="1" si="72"/>
        <v>2066074</v>
      </c>
      <c r="T227" s="2010">
        <f t="shared" ca="1" si="73"/>
        <v>207</v>
      </c>
      <c r="U227" s="2305">
        <f t="shared" si="67"/>
        <v>0</v>
      </c>
      <c r="V227" s="2305">
        <f t="shared" si="68"/>
        <v>0</v>
      </c>
      <c r="W227" s="2300"/>
      <c r="X227" s="2305">
        <f t="shared" si="69"/>
        <v>0</v>
      </c>
      <c r="Y227" s="2305">
        <f t="shared" si="70"/>
        <v>0</v>
      </c>
      <c r="Z227" s="2300"/>
    </row>
    <row r="228" spans="1:26">
      <c r="A228" s="292" t="str">
        <f>'7.15'!B206</f>
        <v>8幢1单元2401室</v>
      </c>
      <c r="B228" s="207">
        <f>'7.17'!G206</f>
        <v>127.19</v>
      </c>
      <c r="C228" s="197">
        <f t="shared" si="59"/>
        <v>0.98</v>
      </c>
      <c r="D228" s="995" t="s">
        <v>7608</v>
      </c>
      <c r="E228" s="197">
        <f t="shared" si="60"/>
        <v>1.02</v>
      </c>
      <c r="F228" s="995" t="str">
        <f>'7.15'!D206</f>
        <v>平层</v>
      </c>
      <c r="G228" s="197">
        <f t="shared" si="61"/>
        <v>1</v>
      </c>
      <c r="H228" s="995" t="str">
        <f>'7.15'!E206</f>
        <v>南北东</v>
      </c>
      <c r="I228" s="197">
        <f t="shared" si="62"/>
        <v>1.02</v>
      </c>
      <c r="J228" s="995"/>
      <c r="K228" s="197">
        <f t="shared" si="63"/>
        <v>1</v>
      </c>
      <c r="L228" s="995"/>
      <c r="M228" s="197">
        <f t="shared" si="64"/>
        <v>1</v>
      </c>
      <c r="N228" s="995"/>
      <c r="O228" s="197">
        <f t="shared" si="65"/>
        <v>1</v>
      </c>
      <c r="P228" s="995"/>
      <c r="Q228" s="197">
        <f t="shared" si="66"/>
        <v>1</v>
      </c>
      <c r="R228" s="991">
        <f t="shared" ca="1" si="71"/>
        <v>16244</v>
      </c>
      <c r="S228" s="552">
        <f t="shared" ca="1" si="72"/>
        <v>2066074</v>
      </c>
      <c r="T228" s="2010">
        <f t="shared" ca="1" si="73"/>
        <v>207</v>
      </c>
      <c r="U228" s="2305">
        <f t="shared" si="67"/>
        <v>0</v>
      </c>
      <c r="V228" s="2305">
        <f t="shared" si="68"/>
        <v>0</v>
      </c>
      <c r="W228" s="2300"/>
      <c r="X228" s="2305">
        <f t="shared" si="69"/>
        <v>0</v>
      </c>
      <c r="Y228" s="2305">
        <f t="shared" si="70"/>
        <v>0</v>
      </c>
      <c r="Z228" s="2300"/>
    </row>
    <row r="229" spans="1:26">
      <c r="A229" s="292" t="str">
        <f>'7.15'!B207</f>
        <v>8幢1单元2501室</v>
      </c>
      <c r="B229" s="207">
        <f>'7.17'!G207</f>
        <v>127.19</v>
      </c>
      <c r="C229" s="197">
        <f t="shared" si="59"/>
        <v>0.98</v>
      </c>
      <c r="D229" s="995" t="s">
        <v>7608</v>
      </c>
      <c r="E229" s="197">
        <f t="shared" si="60"/>
        <v>1.02</v>
      </c>
      <c r="F229" s="995" t="str">
        <f>'7.15'!D207</f>
        <v>平层</v>
      </c>
      <c r="G229" s="197">
        <f t="shared" si="61"/>
        <v>1</v>
      </c>
      <c r="H229" s="995" t="str">
        <f>'7.15'!E207</f>
        <v>南北东</v>
      </c>
      <c r="I229" s="197">
        <f t="shared" si="62"/>
        <v>1.02</v>
      </c>
      <c r="J229" s="995"/>
      <c r="K229" s="197">
        <f t="shared" si="63"/>
        <v>1</v>
      </c>
      <c r="L229" s="995"/>
      <c r="M229" s="197">
        <f t="shared" si="64"/>
        <v>1</v>
      </c>
      <c r="N229" s="995"/>
      <c r="O229" s="197">
        <f t="shared" si="65"/>
        <v>1</v>
      </c>
      <c r="P229" s="995"/>
      <c r="Q229" s="197">
        <f t="shared" si="66"/>
        <v>1</v>
      </c>
      <c r="R229" s="991">
        <f t="shared" ca="1" si="71"/>
        <v>16244</v>
      </c>
      <c r="S229" s="552">
        <f t="shared" ca="1" si="72"/>
        <v>2066074</v>
      </c>
      <c r="T229" s="2010">
        <f t="shared" ca="1" si="73"/>
        <v>207</v>
      </c>
      <c r="U229" s="2305">
        <f t="shared" si="67"/>
        <v>0</v>
      </c>
      <c r="V229" s="2305">
        <f t="shared" si="68"/>
        <v>0</v>
      </c>
      <c r="W229" s="2300"/>
      <c r="X229" s="2305">
        <f t="shared" si="69"/>
        <v>0</v>
      </c>
      <c r="Y229" s="2305">
        <f t="shared" si="70"/>
        <v>0</v>
      </c>
      <c r="Z229" s="2300"/>
    </row>
    <row r="230" spans="1:26">
      <c r="A230" s="292" t="str">
        <f>'7.15'!B208</f>
        <v>8幢1单元2601室</v>
      </c>
      <c r="B230" s="207">
        <f>'7.17'!G208</f>
        <v>127.19</v>
      </c>
      <c r="C230" s="197">
        <f t="shared" si="59"/>
        <v>0.98</v>
      </c>
      <c r="D230" s="995" t="s">
        <v>7608</v>
      </c>
      <c r="E230" s="197">
        <f t="shared" si="60"/>
        <v>1.02</v>
      </c>
      <c r="F230" s="995" t="str">
        <f>'7.15'!D208</f>
        <v>平层</v>
      </c>
      <c r="G230" s="197">
        <f t="shared" si="61"/>
        <v>1</v>
      </c>
      <c r="H230" s="995" t="str">
        <f>'7.15'!E208</f>
        <v>南北东</v>
      </c>
      <c r="I230" s="197">
        <f t="shared" si="62"/>
        <v>1.02</v>
      </c>
      <c r="J230" s="995"/>
      <c r="K230" s="197">
        <f t="shared" si="63"/>
        <v>1</v>
      </c>
      <c r="L230" s="995"/>
      <c r="M230" s="197">
        <f t="shared" si="64"/>
        <v>1</v>
      </c>
      <c r="N230" s="995"/>
      <c r="O230" s="197">
        <f t="shared" si="65"/>
        <v>1</v>
      </c>
      <c r="P230" s="995"/>
      <c r="Q230" s="197">
        <f t="shared" si="66"/>
        <v>1</v>
      </c>
      <c r="R230" s="991">
        <f t="shared" ca="1" si="71"/>
        <v>16244</v>
      </c>
      <c r="S230" s="552">
        <f t="shared" ca="1" si="72"/>
        <v>2066074</v>
      </c>
      <c r="T230" s="2010">
        <f t="shared" ca="1" si="73"/>
        <v>207</v>
      </c>
      <c r="U230" s="2305">
        <f t="shared" si="67"/>
        <v>0</v>
      </c>
      <c r="V230" s="2305">
        <f t="shared" si="68"/>
        <v>0</v>
      </c>
      <c r="W230" s="2300"/>
      <c r="X230" s="2305">
        <f t="shared" si="69"/>
        <v>0</v>
      </c>
      <c r="Y230" s="2305">
        <f t="shared" si="70"/>
        <v>0</v>
      </c>
      <c r="Z230" s="2300"/>
    </row>
    <row r="231" spans="1:26">
      <c r="A231" s="292" t="str">
        <f>'7.15'!B209</f>
        <v>8幢1单元2701室</v>
      </c>
      <c r="B231" s="207">
        <f>'7.17'!G209</f>
        <v>127.19</v>
      </c>
      <c r="C231" s="197">
        <f t="shared" si="59"/>
        <v>0.98</v>
      </c>
      <c r="D231" s="995" t="s">
        <v>7608</v>
      </c>
      <c r="E231" s="197">
        <f t="shared" si="60"/>
        <v>1.02</v>
      </c>
      <c r="F231" s="995" t="str">
        <f>'7.15'!D209</f>
        <v>平层</v>
      </c>
      <c r="G231" s="197">
        <f t="shared" si="61"/>
        <v>1</v>
      </c>
      <c r="H231" s="995" t="str">
        <f>'7.15'!E209</f>
        <v>南北东</v>
      </c>
      <c r="I231" s="197">
        <f t="shared" si="62"/>
        <v>1.02</v>
      </c>
      <c r="J231" s="995"/>
      <c r="K231" s="197">
        <f t="shared" si="63"/>
        <v>1</v>
      </c>
      <c r="L231" s="995"/>
      <c r="M231" s="197">
        <f t="shared" si="64"/>
        <v>1</v>
      </c>
      <c r="N231" s="995"/>
      <c r="O231" s="197">
        <f t="shared" si="65"/>
        <v>1</v>
      </c>
      <c r="P231" s="995"/>
      <c r="Q231" s="197">
        <f t="shared" si="66"/>
        <v>1</v>
      </c>
      <c r="R231" s="991">
        <f t="shared" ca="1" si="71"/>
        <v>16244</v>
      </c>
      <c r="S231" s="552">
        <f t="shared" ca="1" si="72"/>
        <v>2066074</v>
      </c>
      <c r="T231" s="2010">
        <f t="shared" ca="1" si="73"/>
        <v>207</v>
      </c>
      <c r="U231" s="2305">
        <f t="shared" si="67"/>
        <v>0</v>
      </c>
      <c r="V231" s="2305">
        <f t="shared" si="68"/>
        <v>0</v>
      </c>
      <c r="W231" s="2300"/>
      <c r="X231" s="2305">
        <f t="shared" si="69"/>
        <v>0</v>
      </c>
      <c r="Y231" s="2305">
        <f t="shared" si="70"/>
        <v>0</v>
      </c>
      <c r="Z231" s="2300"/>
    </row>
    <row r="232" spans="1:26">
      <c r="A232" s="292" t="str">
        <f>'7.15'!B210</f>
        <v>8幢1单元2801室</v>
      </c>
      <c r="B232" s="207">
        <f>'7.17'!G210</f>
        <v>127.19</v>
      </c>
      <c r="C232" s="197">
        <f t="shared" si="59"/>
        <v>0.98</v>
      </c>
      <c r="D232" s="995" t="s">
        <v>7608</v>
      </c>
      <c r="E232" s="197">
        <f t="shared" si="60"/>
        <v>1.02</v>
      </c>
      <c r="F232" s="995" t="str">
        <f>'7.15'!D210</f>
        <v>平层</v>
      </c>
      <c r="G232" s="197">
        <f t="shared" si="61"/>
        <v>1</v>
      </c>
      <c r="H232" s="995" t="str">
        <f>'7.15'!E210</f>
        <v>南北东</v>
      </c>
      <c r="I232" s="197">
        <f t="shared" si="62"/>
        <v>1.02</v>
      </c>
      <c r="J232" s="995"/>
      <c r="K232" s="197">
        <f t="shared" si="63"/>
        <v>1</v>
      </c>
      <c r="L232" s="995"/>
      <c r="M232" s="197">
        <f t="shared" si="64"/>
        <v>1</v>
      </c>
      <c r="N232" s="995"/>
      <c r="O232" s="197">
        <f t="shared" si="65"/>
        <v>1</v>
      </c>
      <c r="P232" s="995"/>
      <c r="Q232" s="197">
        <f t="shared" si="66"/>
        <v>1</v>
      </c>
      <c r="R232" s="991">
        <f t="shared" ca="1" si="71"/>
        <v>16244</v>
      </c>
      <c r="S232" s="552">
        <f t="shared" ca="1" si="72"/>
        <v>2066074</v>
      </c>
      <c r="T232" s="2010">
        <f t="shared" ca="1" si="73"/>
        <v>207</v>
      </c>
      <c r="U232" s="2305">
        <f t="shared" si="67"/>
        <v>0</v>
      </c>
      <c r="V232" s="2305">
        <f t="shared" si="68"/>
        <v>0</v>
      </c>
      <c r="W232" s="2300"/>
      <c r="X232" s="2305">
        <f t="shared" si="69"/>
        <v>0</v>
      </c>
      <c r="Y232" s="2305">
        <f t="shared" si="70"/>
        <v>0</v>
      </c>
      <c r="Z232" s="2300"/>
    </row>
    <row r="233" spans="1:26">
      <c r="A233" s="292" t="str">
        <f>'7.15'!B211</f>
        <v>8幢1单元2901室</v>
      </c>
      <c r="B233" s="207">
        <f>'7.17'!G211</f>
        <v>127.19</v>
      </c>
      <c r="C233" s="197">
        <f t="shared" si="59"/>
        <v>0.98</v>
      </c>
      <c r="D233" s="995" t="s">
        <v>7608</v>
      </c>
      <c r="E233" s="197">
        <f t="shared" si="60"/>
        <v>1.02</v>
      </c>
      <c r="F233" s="995" t="str">
        <f>'7.15'!D211</f>
        <v>平层</v>
      </c>
      <c r="G233" s="197">
        <f t="shared" si="61"/>
        <v>1</v>
      </c>
      <c r="H233" s="995" t="str">
        <f>'7.15'!E211</f>
        <v>南北东</v>
      </c>
      <c r="I233" s="197">
        <f t="shared" si="62"/>
        <v>1.02</v>
      </c>
      <c r="J233" s="995"/>
      <c r="K233" s="197">
        <f t="shared" si="63"/>
        <v>1</v>
      </c>
      <c r="L233" s="995"/>
      <c r="M233" s="197">
        <f t="shared" si="64"/>
        <v>1</v>
      </c>
      <c r="N233" s="995"/>
      <c r="O233" s="197">
        <f t="shared" si="65"/>
        <v>1</v>
      </c>
      <c r="P233" s="995"/>
      <c r="Q233" s="197">
        <f t="shared" si="66"/>
        <v>1</v>
      </c>
      <c r="R233" s="991">
        <f t="shared" ca="1" si="71"/>
        <v>16244</v>
      </c>
      <c r="S233" s="552">
        <f t="shared" ca="1" si="72"/>
        <v>2066074</v>
      </c>
      <c r="T233" s="2010">
        <f t="shared" ca="1" si="73"/>
        <v>207</v>
      </c>
      <c r="U233" s="2305">
        <f t="shared" si="67"/>
        <v>0</v>
      </c>
      <c r="V233" s="2305">
        <f t="shared" si="68"/>
        <v>0</v>
      </c>
      <c r="W233" s="2300"/>
      <c r="X233" s="2305">
        <f t="shared" si="69"/>
        <v>0</v>
      </c>
      <c r="Y233" s="2305">
        <f t="shared" si="70"/>
        <v>0</v>
      </c>
      <c r="Z233" s="2300"/>
    </row>
    <row r="234" spans="1:26">
      <c r="A234" s="292" t="str">
        <f>'7.15'!B212</f>
        <v>8幢1单元3001室</v>
      </c>
      <c r="B234" s="207">
        <f>'7.17'!G212</f>
        <v>114.04</v>
      </c>
      <c r="C234" s="197">
        <f t="shared" si="59"/>
        <v>1.01</v>
      </c>
      <c r="D234" s="995" t="s">
        <v>7608</v>
      </c>
      <c r="E234" s="197">
        <f t="shared" si="60"/>
        <v>1.02</v>
      </c>
      <c r="F234" s="995" t="str">
        <f>'7.15'!D212</f>
        <v>平层</v>
      </c>
      <c r="G234" s="197">
        <f t="shared" si="61"/>
        <v>1</v>
      </c>
      <c r="H234" s="995" t="str">
        <f>'7.15'!E212</f>
        <v>南北东</v>
      </c>
      <c r="I234" s="197">
        <f t="shared" si="62"/>
        <v>1.02</v>
      </c>
      <c r="J234" s="995"/>
      <c r="K234" s="197">
        <f t="shared" si="63"/>
        <v>1</v>
      </c>
      <c r="L234" s="995"/>
      <c r="M234" s="197">
        <f t="shared" si="64"/>
        <v>1</v>
      </c>
      <c r="N234" s="995"/>
      <c r="O234" s="197">
        <f t="shared" si="65"/>
        <v>1</v>
      </c>
      <c r="P234" s="995"/>
      <c r="Q234" s="197">
        <f t="shared" si="66"/>
        <v>1</v>
      </c>
      <c r="R234" s="991">
        <f t="shared" ca="1" si="71"/>
        <v>16741</v>
      </c>
      <c r="S234" s="552">
        <f t="shared" ca="1" si="72"/>
        <v>1909144</v>
      </c>
      <c r="T234" s="2010">
        <f t="shared" ca="1" si="73"/>
        <v>191</v>
      </c>
      <c r="U234" s="2305">
        <f t="shared" si="67"/>
        <v>0</v>
      </c>
      <c r="V234" s="2305">
        <f t="shared" si="68"/>
        <v>0</v>
      </c>
      <c r="W234" s="2300"/>
      <c r="X234" s="2305">
        <f t="shared" si="69"/>
        <v>0</v>
      </c>
      <c r="Y234" s="2305">
        <f t="shared" si="70"/>
        <v>0</v>
      </c>
      <c r="Z234" s="2300"/>
    </row>
    <row r="235" spans="1:26">
      <c r="A235" s="292" t="str">
        <f>'7.15'!B213</f>
        <v>8幢1单元202室</v>
      </c>
      <c r="B235" s="207">
        <f>'7.17'!G213</f>
        <v>87.98</v>
      </c>
      <c r="C235" s="197">
        <f t="shared" si="59"/>
        <v>1</v>
      </c>
      <c r="D235" s="995" t="s">
        <v>7606</v>
      </c>
      <c r="E235" s="197">
        <f t="shared" si="60"/>
        <v>1</v>
      </c>
      <c r="F235" s="995" t="str">
        <f>'7.15'!D213</f>
        <v>平层</v>
      </c>
      <c r="G235" s="197">
        <f t="shared" si="61"/>
        <v>1</v>
      </c>
      <c r="H235" s="995" t="str">
        <f>'7.15'!E213</f>
        <v>南北</v>
      </c>
      <c r="I235" s="197">
        <f t="shared" si="62"/>
        <v>1</v>
      </c>
      <c r="J235" s="995"/>
      <c r="K235" s="197">
        <f t="shared" si="63"/>
        <v>1</v>
      </c>
      <c r="L235" s="995"/>
      <c r="M235" s="197">
        <f t="shared" si="64"/>
        <v>1</v>
      </c>
      <c r="N235" s="995"/>
      <c r="O235" s="197">
        <f t="shared" si="65"/>
        <v>1</v>
      </c>
      <c r="P235" s="995"/>
      <c r="Q235" s="197">
        <f t="shared" si="66"/>
        <v>1</v>
      </c>
      <c r="R235" s="991">
        <f t="shared" ca="1" si="71"/>
        <v>15932</v>
      </c>
      <c r="S235" s="552">
        <f t="shared" ca="1" si="72"/>
        <v>1401697</v>
      </c>
      <c r="T235" s="2010">
        <f t="shared" ca="1" si="73"/>
        <v>140</v>
      </c>
      <c r="U235" s="2305">
        <f t="shared" si="67"/>
        <v>0</v>
      </c>
      <c r="V235" s="2305">
        <f t="shared" si="68"/>
        <v>0</v>
      </c>
      <c r="W235" s="2300"/>
      <c r="X235" s="2305">
        <f t="shared" si="69"/>
        <v>0</v>
      </c>
      <c r="Y235" s="2305">
        <f t="shared" si="70"/>
        <v>0</v>
      </c>
      <c r="Z235" s="2300"/>
    </row>
    <row r="236" spans="1:26">
      <c r="A236" s="292" t="str">
        <f>'7.15'!B214</f>
        <v>8幢1单元302室</v>
      </c>
      <c r="B236" s="207">
        <f>'7.17'!G214</f>
        <v>87.98</v>
      </c>
      <c r="C236" s="197">
        <f t="shared" si="59"/>
        <v>1</v>
      </c>
      <c r="D236" s="995" t="s">
        <v>7606</v>
      </c>
      <c r="E236" s="197">
        <f t="shared" si="60"/>
        <v>1</v>
      </c>
      <c r="F236" s="995" t="str">
        <f>'7.15'!D214</f>
        <v>平层</v>
      </c>
      <c r="G236" s="197">
        <f t="shared" si="61"/>
        <v>1</v>
      </c>
      <c r="H236" s="995" t="str">
        <f>'7.15'!E214</f>
        <v>南北</v>
      </c>
      <c r="I236" s="197">
        <f t="shared" si="62"/>
        <v>1</v>
      </c>
      <c r="J236" s="995"/>
      <c r="K236" s="197">
        <f t="shared" si="63"/>
        <v>1</v>
      </c>
      <c r="L236" s="995"/>
      <c r="M236" s="197">
        <f t="shared" si="64"/>
        <v>1</v>
      </c>
      <c r="N236" s="995"/>
      <c r="O236" s="197">
        <f t="shared" si="65"/>
        <v>1</v>
      </c>
      <c r="P236" s="995"/>
      <c r="Q236" s="197">
        <f t="shared" si="66"/>
        <v>1</v>
      </c>
      <c r="R236" s="991">
        <f t="shared" ca="1" si="71"/>
        <v>15932</v>
      </c>
      <c r="S236" s="552">
        <f t="shared" ca="1" si="72"/>
        <v>1401697</v>
      </c>
      <c r="T236" s="2010">
        <f t="shared" ca="1" si="73"/>
        <v>140</v>
      </c>
      <c r="U236" s="2305">
        <f t="shared" si="67"/>
        <v>0</v>
      </c>
      <c r="V236" s="2305">
        <f t="shared" si="68"/>
        <v>0</v>
      </c>
      <c r="W236" s="2300"/>
      <c r="X236" s="2305">
        <f t="shared" si="69"/>
        <v>0</v>
      </c>
      <c r="Y236" s="2305">
        <f t="shared" si="70"/>
        <v>0</v>
      </c>
      <c r="Z236" s="2300"/>
    </row>
    <row r="237" spans="1:26">
      <c r="A237" s="292" t="str">
        <f>'7.15'!B215</f>
        <v>8幢1单元402室</v>
      </c>
      <c r="B237" s="207">
        <f>'7.17'!G215</f>
        <v>87.98</v>
      </c>
      <c r="C237" s="197">
        <f t="shared" si="59"/>
        <v>1</v>
      </c>
      <c r="D237" s="995" t="s">
        <v>7606</v>
      </c>
      <c r="E237" s="197">
        <f t="shared" si="60"/>
        <v>1</v>
      </c>
      <c r="F237" s="995" t="str">
        <f>'7.15'!D215</f>
        <v>平层</v>
      </c>
      <c r="G237" s="197">
        <f t="shared" si="61"/>
        <v>1</v>
      </c>
      <c r="H237" s="995" t="str">
        <f>'7.15'!E215</f>
        <v>南北</v>
      </c>
      <c r="I237" s="197">
        <f t="shared" si="62"/>
        <v>1</v>
      </c>
      <c r="J237" s="995"/>
      <c r="K237" s="197">
        <f t="shared" si="63"/>
        <v>1</v>
      </c>
      <c r="L237" s="995"/>
      <c r="M237" s="197">
        <f t="shared" si="64"/>
        <v>1</v>
      </c>
      <c r="N237" s="995"/>
      <c r="O237" s="197">
        <f t="shared" si="65"/>
        <v>1</v>
      </c>
      <c r="P237" s="995"/>
      <c r="Q237" s="197">
        <f t="shared" si="66"/>
        <v>1</v>
      </c>
      <c r="R237" s="991">
        <f t="shared" ca="1" si="71"/>
        <v>15932</v>
      </c>
      <c r="S237" s="552">
        <f t="shared" ca="1" si="72"/>
        <v>1401697</v>
      </c>
      <c r="T237" s="2010">
        <f t="shared" ca="1" si="73"/>
        <v>140</v>
      </c>
      <c r="U237" s="2305">
        <f t="shared" si="67"/>
        <v>0</v>
      </c>
      <c r="V237" s="2305">
        <f t="shared" si="68"/>
        <v>0</v>
      </c>
      <c r="W237" s="2300"/>
      <c r="X237" s="2305">
        <f t="shared" si="69"/>
        <v>0</v>
      </c>
      <c r="Y237" s="2305">
        <f t="shared" si="70"/>
        <v>0</v>
      </c>
      <c r="Z237" s="2300"/>
    </row>
    <row r="238" spans="1:26">
      <c r="A238" s="292" t="str">
        <f>'7.15'!B216</f>
        <v>8幢1单元502室</v>
      </c>
      <c r="B238" s="207">
        <f>'7.17'!G216</f>
        <v>87.98</v>
      </c>
      <c r="C238" s="197">
        <f t="shared" si="59"/>
        <v>1</v>
      </c>
      <c r="D238" s="995" t="s">
        <v>7606</v>
      </c>
      <c r="E238" s="197">
        <f t="shared" si="60"/>
        <v>1</v>
      </c>
      <c r="F238" s="995" t="str">
        <f>'7.15'!D216</f>
        <v>平层</v>
      </c>
      <c r="G238" s="197">
        <f t="shared" si="61"/>
        <v>1</v>
      </c>
      <c r="H238" s="995" t="str">
        <f>'7.15'!E216</f>
        <v>南北</v>
      </c>
      <c r="I238" s="197">
        <f t="shared" si="62"/>
        <v>1</v>
      </c>
      <c r="J238" s="995"/>
      <c r="K238" s="197">
        <f t="shared" si="63"/>
        <v>1</v>
      </c>
      <c r="L238" s="995"/>
      <c r="M238" s="197">
        <f t="shared" si="64"/>
        <v>1</v>
      </c>
      <c r="N238" s="995"/>
      <c r="O238" s="197">
        <f t="shared" si="65"/>
        <v>1</v>
      </c>
      <c r="P238" s="995"/>
      <c r="Q238" s="197">
        <f t="shared" si="66"/>
        <v>1</v>
      </c>
      <c r="R238" s="991">
        <f t="shared" ca="1" si="71"/>
        <v>15932</v>
      </c>
      <c r="S238" s="552">
        <f t="shared" ca="1" si="72"/>
        <v>1401697</v>
      </c>
      <c r="T238" s="2010">
        <f t="shared" ca="1" si="73"/>
        <v>140</v>
      </c>
      <c r="U238" s="2305">
        <f t="shared" si="67"/>
        <v>0</v>
      </c>
      <c r="V238" s="2305">
        <f t="shared" si="68"/>
        <v>0</v>
      </c>
      <c r="W238" s="2300"/>
      <c r="X238" s="2305">
        <f t="shared" si="69"/>
        <v>0</v>
      </c>
      <c r="Y238" s="2305">
        <f t="shared" si="70"/>
        <v>0</v>
      </c>
      <c r="Z238" s="2300"/>
    </row>
    <row r="239" spans="1:26">
      <c r="A239" s="292" t="str">
        <f>'7.15'!B217</f>
        <v>8幢1单元602室</v>
      </c>
      <c r="B239" s="207">
        <f>'7.17'!G217</f>
        <v>87.98</v>
      </c>
      <c r="C239" s="197">
        <f t="shared" si="59"/>
        <v>1</v>
      </c>
      <c r="D239" s="995" t="s">
        <v>7606</v>
      </c>
      <c r="E239" s="197">
        <f t="shared" si="60"/>
        <v>1</v>
      </c>
      <c r="F239" s="995" t="str">
        <f>'7.15'!D217</f>
        <v>平层</v>
      </c>
      <c r="G239" s="197">
        <f t="shared" si="61"/>
        <v>1</v>
      </c>
      <c r="H239" s="995" t="str">
        <f>'7.15'!E217</f>
        <v>南北</v>
      </c>
      <c r="I239" s="197">
        <f t="shared" si="62"/>
        <v>1</v>
      </c>
      <c r="J239" s="995"/>
      <c r="K239" s="197">
        <f t="shared" si="63"/>
        <v>1</v>
      </c>
      <c r="L239" s="995"/>
      <c r="M239" s="197">
        <f t="shared" si="64"/>
        <v>1</v>
      </c>
      <c r="N239" s="995"/>
      <c r="O239" s="197">
        <f t="shared" si="65"/>
        <v>1</v>
      </c>
      <c r="P239" s="995"/>
      <c r="Q239" s="197">
        <f t="shared" si="66"/>
        <v>1</v>
      </c>
      <c r="R239" s="991">
        <f t="shared" ca="1" si="71"/>
        <v>15932</v>
      </c>
      <c r="S239" s="552">
        <f t="shared" ca="1" si="72"/>
        <v>1401697</v>
      </c>
      <c r="T239" s="2010">
        <f t="shared" ca="1" si="73"/>
        <v>140</v>
      </c>
      <c r="U239" s="2305">
        <f t="shared" si="67"/>
        <v>0</v>
      </c>
      <c r="V239" s="2305">
        <f t="shared" si="68"/>
        <v>0</v>
      </c>
      <c r="W239" s="2300"/>
      <c r="X239" s="2305">
        <f t="shared" si="69"/>
        <v>0</v>
      </c>
      <c r="Y239" s="2305">
        <f t="shared" si="70"/>
        <v>0</v>
      </c>
      <c r="Z239" s="2300"/>
    </row>
    <row r="240" spans="1:26">
      <c r="A240" s="292" t="str">
        <f>'7.15'!B218</f>
        <v>8幢1单元702室</v>
      </c>
      <c r="B240" s="207">
        <f>'7.17'!G218</f>
        <v>87.98</v>
      </c>
      <c r="C240" s="197">
        <f t="shared" si="59"/>
        <v>1</v>
      </c>
      <c r="D240" s="995" t="s">
        <v>7606</v>
      </c>
      <c r="E240" s="197">
        <f t="shared" si="60"/>
        <v>1</v>
      </c>
      <c r="F240" s="995" t="str">
        <f>'7.15'!D218</f>
        <v>平层</v>
      </c>
      <c r="G240" s="197">
        <f t="shared" si="61"/>
        <v>1</v>
      </c>
      <c r="H240" s="995" t="str">
        <f>'7.15'!E218</f>
        <v>南北</v>
      </c>
      <c r="I240" s="197">
        <f t="shared" si="62"/>
        <v>1</v>
      </c>
      <c r="J240" s="995"/>
      <c r="K240" s="197">
        <f t="shared" si="63"/>
        <v>1</v>
      </c>
      <c r="L240" s="995"/>
      <c r="M240" s="197">
        <f t="shared" si="64"/>
        <v>1</v>
      </c>
      <c r="N240" s="995"/>
      <c r="O240" s="197">
        <f t="shared" si="65"/>
        <v>1</v>
      </c>
      <c r="P240" s="995"/>
      <c r="Q240" s="197">
        <f t="shared" si="66"/>
        <v>1</v>
      </c>
      <c r="R240" s="991">
        <f t="shared" ca="1" si="71"/>
        <v>15932</v>
      </c>
      <c r="S240" s="552">
        <f t="shared" ca="1" si="72"/>
        <v>1401697</v>
      </c>
      <c r="T240" s="2010">
        <f t="shared" ca="1" si="73"/>
        <v>140</v>
      </c>
      <c r="U240" s="2305">
        <f t="shared" si="67"/>
        <v>0</v>
      </c>
      <c r="V240" s="2305">
        <f t="shared" si="68"/>
        <v>0</v>
      </c>
      <c r="W240" s="2300"/>
      <c r="X240" s="2305">
        <f t="shared" si="69"/>
        <v>0</v>
      </c>
      <c r="Y240" s="2305">
        <f t="shared" si="70"/>
        <v>0</v>
      </c>
      <c r="Z240" s="2300"/>
    </row>
    <row r="241" spans="1:26">
      <c r="A241" s="292" t="str">
        <f>'7.15'!B219</f>
        <v>8幢1单元802室</v>
      </c>
      <c r="B241" s="207">
        <f>'7.17'!G219</f>
        <v>87.98</v>
      </c>
      <c r="C241" s="197">
        <f t="shared" si="59"/>
        <v>1</v>
      </c>
      <c r="D241" s="995" t="s">
        <v>7606</v>
      </c>
      <c r="E241" s="197">
        <f t="shared" si="60"/>
        <v>1</v>
      </c>
      <c r="F241" s="995" t="str">
        <f>'7.15'!D219</f>
        <v>平层</v>
      </c>
      <c r="G241" s="197">
        <f t="shared" si="61"/>
        <v>1</v>
      </c>
      <c r="H241" s="995" t="str">
        <f>'7.15'!E219</f>
        <v>南北</v>
      </c>
      <c r="I241" s="197">
        <f t="shared" si="62"/>
        <v>1</v>
      </c>
      <c r="J241" s="995"/>
      <c r="K241" s="197">
        <f t="shared" si="63"/>
        <v>1</v>
      </c>
      <c r="L241" s="995"/>
      <c r="M241" s="197">
        <f t="shared" si="64"/>
        <v>1</v>
      </c>
      <c r="N241" s="995"/>
      <c r="O241" s="197">
        <f t="shared" si="65"/>
        <v>1</v>
      </c>
      <c r="P241" s="995"/>
      <c r="Q241" s="197">
        <f t="shared" si="66"/>
        <v>1</v>
      </c>
      <c r="R241" s="991">
        <f t="shared" ca="1" si="71"/>
        <v>15932</v>
      </c>
      <c r="S241" s="552">
        <f t="shared" ca="1" si="72"/>
        <v>1401697</v>
      </c>
      <c r="T241" s="2010">
        <f t="shared" ca="1" si="73"/>
        <v>140</v>
      </c>
      <c r="U241" s="2305">
        <f t="shared" si="67"/>
        <v>0</v>
      </c>
      <c r="V241" s="2305">
        <f t="shared" si="68"/>
        <v>0</v>
      </c>
      <c r="W241" s="2300"/>
      <c r="X241" s="2305">
        <f t="shared" si="69"/>
        <v>0</v>
      </c>
      <c r="Y241" s="2305">
        <f t="shared" si="70"/>
        <v>0</v>
      </c>
      <c r="Z241" s="2300"/>
    </row>
    <row r="242" spans="1:26">
      <c r="A242" s="292" t="str">
        <f>'7.15'!B220</f>
        <v>8幢1单元902室</v>
      </c>
      <c r="B242" s="207">
        <f>'7.17'!G220</f>
        <v>87.98</v>
      </c>
      <c r="C242" s="197">
        <f t="shared" si="59"/>
        <v>1</v>
      </c>
      <c r="D242" s="995" t="s">
        <v>7606</v>
      </c>
      <c r="E242" s="197">
        <f t="shared" si="60"/>
        <v>1</v>
      </c>
      <c r="F242" s="995" t="str">
        <f>'7.15'!D220</f>
        <v>平层</v>
      </c>
      <c r="G242" s="197">
        <f t="shared" si="61"/>
        <v>1</v>
      </c>
      <c r="H242" s="995" t="str">
        <f>'7.15'!E220</f>
        <v>南北</v>
      </c>
      <c r="I242" s="197">
        <f t="shared" si="62"/>
        <v>1</v>
      </c>
      <c r="J242" s="995"/>
      <c r="K242" s="197">
        <f t="shared" si="63"/>
        <v>1</v>
      </c>
      <c r="L242" s="995"/>
      <c r="M242" s="197">
        <f t="shared" si="64"/>
        <v>1</v>
      </c>
      <c r="N242" s="995"/>
      <c r="O242" s="197">
        <f t="shared" si="65"/>
        <v>1</v>
      </c>
      <c r="P242" s="995"/>
      <c r="Q242" s="197">
        <f t="shared" si="66"/>
        <v>1</v>
      </c>
      <c r="R242" s="991">
        <f t="shared" ca="1" si="71"/>
        <v>15932</v>
      </c>
      <c r="S242" s="552">
        <f t="shared" ca="1" si="72"/>
        <v>1401697</v>
      </c>
      <c r="T242" s="2010">
        <f t="shared" ca="1" si="73"/>
        <v>140</v>
      </c>
      <c r="U242" s="2305">
        <f t="shared" si="67"/>
        <v>0</v>
      </c>
      <c r="V242" s="2305">
        <f t="shared" si="68"/>
        <v>0</v>
      </c>
      <c r="W242" s="2300"/>
      <c r="X242" s="2305">
        <f t="shared" si="69"/>
        <v>0</v>
      </c>
      <c r="Y242" s="2305">
        <f t="shared" si="70"/>
        <v>0</v>
      </c>
      <c r="Z242" s="2300"/>
    </row>
    <row r="243" spans="1:26">
      <c r="A243" s="292" t="str">
        <f>'7.15'!B221</f>
        <v>8幢1单元1002室</v>
      </c>
      <c r="B243" s="207">
        <f>'7.17'!G221</f>
        <v>87.98</v>
      </c>
      <c r="C243" s="197">
        <f t="shared" si="59"/>
        <v>1</v>
      </c>
      <c r="D243" s="995" t="s">
        <v>7606</v>
      </c>
      <c r="E243" s="197">
        <f t="shared" si="60"/>
        <v>1</v>
      </c>
      <c r="F243" s="995" t="str">
        <f>'7.15'!D221</f>
        <v>平层</v>
      </c>
      <c r="G243" s="197">
        <f t="shared" si="61"/>
        <v>1</v>
      </c>
      <c r="H243" s="995" t="str">
        <f>'7.15'!E221</f>
        <v>南北</v>
      </c>
      <c r="I243" s="197">
        <f t="shared" si="62"/>
        <v>1</v>
      </c>
      <c r="J243" s="995"/>
      <c r="K243" s="197">
        <f t="shared" si="63"/>
        <v>1</v>
      </c>
      <c r="L243" s="995"/>
      <c r="M243" s="197">
        <f t="shared" si="64"/>
        <v>1</v>
      </c>
      <c r="N243" s="995"/>
      <c r="O243" s="197">
        <f t="shared" si="65"/>
        <v>1</v>
      </c>
      <c r="P243" s="995"/>
      <c r="Q243" s="197">
        <f t="shared" si="66"/>
        <v>1</v>
      </c>
      <c r="R243" s="991">
        <f t="shared" ca="1" si="71"/>
        <v>15932</v>
      </c>
      <c r="S243" s="552">
        <f t="shared" ca="1" si="72"/>
        <v>1401697</v>
      </c>
      <c r="T243" s="2010">
        <f t="shared" ca="1" si="73"/>
        <v>140</v>
      </c>
      <c r="U243" s="2305">
        <f t="shared" si="67"/>
        <v>0</v>
      </c>
      <c r="V243" s="2305">
        <f t="shared" si="68"/>
        <v>0</v>
      </c>
      <c r="W243" s="2300"/>
      <c r="X243" s="2305">
        <f t="shared" si="69"/>
        <v>0</v>
      </c>
      <c r="Y243" s="2305">
        <f t="shared" si="70"/>
        <v>0</v>
      </c>
      <c r="Z243" s="2300"/>
    </row>
    <row r="244" spans="1:26">
      <c r="A244" s="292" t="str">
        <f>'7.15'!B222</f>
        <v>8幢1单元1102室</v>
      </c>
      <c r="B244" s="207">
        <f>'7.17'!G222</f>
        <v>87.98</v>
      </c>
      <c r="C244" s="197">
        <f t="shared" si="59"/>
        <v>1</v>
      </c>
      <c r="D244" s="995" t="s">
        <v>7609</v>
      </c>
      <c r="E244" s="197">
        <f t="shared" si="60"/>
        <v>1.04</v>
      </c>
      <c r="F244" s="995" t="str">
        <f>'7.15'!D222</f>
        <v>平层</v>
      </c>
      <c r="G244" s="197">
        <f t="shared" si="61"/>
        <v>1</v>
      </c>
      <c r="H244" s="995" t="str">
        <f>'7.15'!E222</f>
        <v>南北</v>
      </c>
      <c r="I244" s="197">
        <f t="shared" si="62"/>
        <v>1</v>
      </c>
      <c r="J244" s="995"/>
      <c r="K244" s="197">
        <f t="shared" si="63"/>
        <v>1</v>
      </c>
      <c r="L244" s="995"/>
      <c r="M244" s="197">
        <f t="shared" si="64"/>
        <v>1</v>
      </c>
      <c r="N244" s="995"/>
      <c r="O244" s="197">
        <f t="shared" si="65"/>
        <v>1</v>
      </c>
      <c r="P244" s="995"/>
      <c r="Q244" s="197">
        <f t="shared" si="66"/>
        <v>1</v>
      </c>
      <c r="R244" s="991">
        <f t="shared" ca="1" si="71"/>
        <v>16569</v>
      </c>
      <c r="S244" s="552">
        <f t="shared" ca="1" si="72"/>
        <v>1457741</v>
      </c>
      <c r="T244" s="2010">
        <f t="shared" ca="1" si="73"/>
        <v>146</v>
      </c>
      <c r="U244" s="2305">
        <f t="shared" si="67"/>
        <v>0</v>
      </c>
      <c r="V244" s="2305">
        <f t="shared" si="68"/>
        <v>0</v>
      </c>
      <c r="W244" s="2300"/>
      <c r="X244" s="2305">
        <f t="shared" si="69"/>
        <v>0</v>
      </c>
      <c r="Y244" s="2305">
        <f t="shared" si="70"/>
        <v>0</v>
      </c>
      <c r="Z244" s="2300"/>
    </row>
    <row r="245" spans="1:26">
      <c r="A245" s="292" t="str">
        <f>'7.15'!B223</f>
        <v>8幢1单元1202室</v>
      </c>
      <c r="B245" s="207">
        <f>'7.17'!G223</f>
        <v>87.98</v>
      </c>
      <c r="C245" s="197">
        <f t="shared" si="59"/>
        <v>1</v>
      </c>
      <c r="D245" s="995" t="s">
        <v>7609</v>
      </c>
      <c r="E245" s="197">
        <f t="shared" si="60"/>
        <v>1.04</v>
      </c>
      <c r="F245" s="995" t="str">
        <f>'7.15'!D223</f>
        <v>平层</v>
      </c>
      <c r="G245" s="197">
        <f t="shared" si="61"/>
        <v>1</v>
      </c>
      <c r="H245" s="995" t="str">
        <f>'7.15'!E223</f>
        <v>南北</v>
      </c>
      <c r="I245" s="197">
        <f t="shared" si="62"/>
        <v>1</v>
      </c>
      <c r="J245" s="995"/>
      <c r="K245" s="197">
        <f t="shared" si="63"/>
        <v>1</v>
      </c>
      <c r="L245" s="995"/>
      <c r="M245" s="197">
        <f t="shared" si="64"/>
        <v>1</v>
      </c>
      <c r="N245" s="995"/>
      <c r="O245" s="197">
        <f t="shared" si="65"/>
        <v>1</v>
      </c>
      <c r="P245" s="995"/>
      <c r="Q245" s="197">
        <f t="shared" si="66"/>
        <v>1</v>
      </c>
      <c r="R245" s="991">
        <f t="shared" ca="1" si="71"/>
        <v>16569</v>
      </c>
      <c r="S245" s="552">
        <f t="shared" ca="1" si="72"/>
        <v>1457741</v>
      </c>
      <c r="T245" s="2010">
        <f t="shared" ca="1" si="73"/>
        <v>146</v>
      </c>
      <c r="U245" s="2305">
        <f t="shared" si="67"/>
        <v>0</v>
      </c>
      <c r="V245" s="2305">
        <f t="shared" si="68"/>
        <v>0</v>
      </c>
      <c r="W245" s="2300"/>
      <c r="X245" s="2305">
        <f t="shared" si="69"/>
        <v>0</v>
      </c>
      <c r="Y245" s="2305">
        <f t="shared" si="70"/>
        <v>0</v>
      </c>
      <c r="Z245" s="2300"/>
    </row>
    <row r="246" spans="1:26">
      <c r="A246" s="292" t="str">
        <f>'7.15'!B224</f>
        <v>8幢1单元1302室</v>
      </c>
      <c r="B246" s="207">
        <f>'7.17'!G224</f>
        <v>87.98</v>
      </c>
      <c r="C246" s="197">
        <f t="shared" si="59"/>
        <v>1</v>
      </c>
      <c r="D246" s="995" t="s">
        <v>7609</v>
      </c>
      <c r="E246" s="197">
        <f t="shared" si="60"/>
        <v>1.04</v>
      </c>
      <c r="F246" s="995" t="str">
        <f>'7.15'!D224</f>
        <v>平层</v>
      </c>
      <c r="G246" s="197">
        <f t="shared" si="61"/>
        <v>1</v>
      </c>
      <c r="H246" s="995" t="str">
        <f>'7.15'!E224</f>
        <v>南北</v>
      </c>
      <c r="I246" s="197">
        <f t="shared" si="62"/>
        <v>1</v>
      </c>
      <c r="J246" s="995"/>
      <c r="K246" s="197">
        <f t="shared" si="63"/>
        <v>1</v>
      </c>
      <c r="L246" s="995"/>
      <c r="M246" s="197">
        <f t="shared" si="64"/>
        <v>1</v>
      </c>
      <c r="N246" s="995"/>
      <c r="O246" s="197">
        <f t="shared" si="65"/>
        <v>1</v>
      </c>
      <c r="P246" s="995"/>
      <c r="Q246" s="197">
        <f t="shared" si="66"/>
        <v>1</v>
      </c>
      <c r="R246" s="991">
        <f t="shared" ca="1" si="71"/>
        <v>16569</v>
      </c>
      <c r="S246" s="552">
        <f t="shared" ca="1" si="72"/>
        <v>1457741</v>
      </c>
      <c r="T246" s="2010">
        <f t="shared" ca="1" si="73"/>
        <v>146</v>
      </c>
      <c r="U246" s="2305">
        <f t="shared" si="67"/>
        <v>0</v>
      </c>
      <c r="V246" s="2305">
        <f t="shared" si="68"/>
        <v>0</v>
      </c>
      <c r="W246" s="2300"/>
      <c r="X246" s="2305">
        <f t="shared" si="69"/>
        <v>0</v>
      </c>
      <c r="Y246" s="2305">
        <f t="shared" si="70"/>
        <v>0</v>
      </c>
      <c r="Z246" s="2300"/>
    </row>
    <row r="247" spans="1:26">
      <c r="A247" s="292" t="str">
        <f>'7.15'!B225</f>
        <v>8幢1单元1402室</v>
      </c>
      <c r="B247" s="207">
        <f>'7.17'!G225</f>
        <v>87.98</v>
      </c>
      <c r="C247" s="197">
        <f t="shared" si="59"/>
        <v>1</v>
      </c>
      <c r="D247" s="995" t="s">
        <v>7609</v>
      </c>
      <c r="E247" s="197">
        <f t="shared" si="60"/>
        <v>1.04</v>
      </c>
      <c r="F247" s="995" t="str">
        <f>'7.15'!D225</f>
        <v>平层</v>
      </c>
      <c r="G247" s="197">
        <f t="shared" si="61"/>
        <v>1</v>
      </c>
      <c r="H247" s="995" t="str">
        <f>'7.15'!E225</f>
        <v>南北</v>
      </c>
      <c r="I247" s="197">
        <f t="shared" si="62"/>
        <v>1</v>
      </c>
      <c r="J247" s="995"/>
      <c r="K247" s="197">
        <f t="shared" si="63"/>
        <v>1</v>
      </c>
      <c r="L247" s="995"/>
      <c r="M247" s="197">
        <f t="shared" si="64"/>
        <v>1</v>
      </c>
      <c r="N247" s="995"/>
      <c r="O247" s="197">
        <f t="shared" si="65"/>
        <v>1</v>
      </c>
      <c r="P247" s="995"/>
      <c r="Q247" s="197">
        <f t="shared" si="66"/>
        <v>1</v>
      </c>
      <c r="R247" s="991">
        <f t="shared" ca="1" si="71"/>
        <v>16569</v>
      </c>
      <c r="S247" s="552">
        <f t="shared" ca="1" si="72"/>
        <v>1457741</v>
      </c>
      <c r="T247" s="2010">
        <f t="shared" ca="1" si="73"/>
        <v>146</v>
      </c>
      <c r="U247" s="2305">
        <f t="shared" si="67"/>
        <v>0</v>
      </c>
      <c r="V247" s="2305">
        <f t="shared" si="68"/>
        <v>0</v>
      </c>
      <c r="W247" s="2300"/>
      <c r="X247" s="2305">
        <f t="shared" si="69"/>
        <v>0</v>
      </c>
      <c r="Y247" s="2305">
        <f t="shared" si="70"/>
        <v>0</v>
      </c>
      <c r="Z247" s="2300"/>
    </row>
    <row r="248" spans="1:26">
      <c r="A248" s="292" t="str">
        <f>'7.15'!B226</f>
        <v>8幢1单元1502室</v>
      </c>
      <c r="B248" s="207">
        <f>'7.17'!G226</f>
        <v>87.98</v>
      </c>
      <c r="C248" s="197">
        <f t="shared" si="59"/>
        <v>1</v>
      </c>
      <c r="D248" s="995" t="s">
        <v>7609</v>
      </c>
      <c r="E248" s="197">
        <f t="shared" si="60"/>
        <v>1.04</v>
      </c>
      <c r="F248" s="995" t="str">
        <f>'7.15'!D226</f>
        <v>平层</v>
      </c>
      <c r="G248" s="197">
        <f t="shared" si="61"/>
        <v>1</v>
      </c>
      <c r="H248" s="995" t="str">
        <f>'7.15'!E226</f>
        <v>南北</v>
      </c>
      <c r="I248" s="197">
        <f t="shared" si="62"/>
        <v>1</v>
      </c>
      <c r="J248" s="995"/>
      <c r="K248" s="197">
        <f t="shared" si="63"/>
        <v>1</v>
      </c>
      <c r="L248" s="995"/>
      <c r="M248" s="197">
        <f t="shared" si="64"/>
        <v>1</v>
      </c>
      <c r="N248" s="995"/>
      <c r="O248" s="197">
        <f t="shared" si="65"/>
        <v>1</v>
      </c>
      <c r="P248" s="995"/>
      <c r="Q248" s="197">
        <f t="shared" si="66"/>
        <v>1</v>
      </c>
      <c r="R248" s="991">
        <f t="shared" ca="1" si="71"/>
        <v>16569</v>
      </c>
      <c r="S248" s="552">
        <f t="shared" ca="1" si="72"/>
        <v>1457741</v>
      </c>
      <c r="T248" s="2010">
        <f t="shared" ca="1" si="73"/>
        <v>146</v>
      </c>
      <c r="U248" s="2305">
        <f t="shared" si="67"/>
        <v>0</v>
      </c>
      <c r="V248" s="2305">
        <f t="shared" si="68"/>
        <v>0</v>
      </c>
      <c r="W248" s="2300"/>
      <c r="X248" s="2305">
        <f t="shared" si="69"/>
        <v>0</v>
      </c>
      <c r="Y248" s="2305">
        <f t="shared" si="70"/>
        <v>0</v>
      </c>
      <c r="Z248" s="2300"/>
    </row>
    <row r="249" spans="1:26">
      <c r="A249" s="292" t="str">
        <f>'7.15'!B227</f>
        <v>8幢1单元1602室</v>
      </c>
      <c r="B249" s="207">
        <f>'7.17'!G227</f>
        <v>87.98</v>
      </c>
      <c r="C249" s="197">
        <f t="shared" si="59"/>
        <v>1</v>
      </c>
      <c r="D249" s="995" t="s">
        <v>7609</v>
      </c>
      <c r="E249" s="197">
        <f t="shared" si="60"/>
        <v>1.04</v>
      </c>
      <c r="F249" s="995" t="str">
        <f>'7.15'!D227</f>
        <v>平层</v>
      </c>
      <c r="G249" s="197">
        <f t="shared" si="61"/>
        <v>1</v>
      </c>
      <c r="H249" s="995" t="str">
        <f>'7.15'!E227</f>
        <v>南北</v>
      </c>
      <c r="I249" s="197">
        <f t="shared" si="62"/>
        <v>1</v>
      </c>
      <c r="J249" s="995"/>
      <c r="K249" s="197">
        <f t="shared" si="63"/>
        <v>1</v>
      </c>
      <c r="L249" s="995"/>
      <c r="M249" s="197">
        <f t="shared" si="64"/>
        <v>1</v>
      </c>
      <c r="N249" s="995"/>
      <c r="O249" s="197">
        <f t="shared" si="65"/>
        <v>1</v>
      </c>
      <c r="P249" s="995"/>
      <c r="Q249" s="197">
        <f t="shared" si="66"/>
        <v>1</v>
      </c>
      <c r="R249" s="991">
        <f t="shared" ca="1" si="71"/>
        <v>16569</v>
      </c>
      <c r="S249" s="552">
        <f t="shared" ca="1" si="72"/>
        <v>1457741</v>
      </c>
      <c r="T249" s="2010">
        <f t="shared" ca="1" si="73"/>
        <v>146</v>
      </c>
      <c r="U249" s="2305">
        <f t="shared" si="67"/>
        <v>0</v>
      </c>
      <c r="V249" s="2305">
        <f t="shared" si="68"/>
        <v>0</v>
      </c>
      <c r="W249" s="2300"/>
      <c r="X249" s="2305">
        <f t="shared" si="69"/>
        <v>0</v>
      </c>
      <c r="Y249" s="2305">
        <f t="shared" si="70"/>
        <v>0</v>
      </c>
      <c r="Z249" s="2300"/>
    </row>
    <row r="250" spans="1:26">
      <c r="A250" s="292" t="str">
        <f>'7.15'!B228</f>
        <v>8幢1单元1702室</v>
      </c>
      <c r="B250" s="207">
        <f>'7.17'!G228</f>
        <v>87.98</v>
      </c>
      <c r="C250" s="197">
        <f t="shared" si="59"/>
        <v>1</v>
      </c>
      <c r="D250" s="995" t="s">
        <v>7609</v>
      </c>
      <c r="E250" s="197">
        <f t="shared" si="60"/>
        <v>1.04</v>
      </c>
      <c r="F250" s="995" t="str">
        <f>'7.15'!D228</f>
        <v>平层</v>
      </c>
      <c r="G250" s="197">
        <f t="shared" si="61"/>
        <v>1</v>
      </c>
      <c r="H250" s="995" t="str">
        <f>'7.15'!E228</f>
        <v>南北</v>
      </c>
      <c r="I250" s="197">
        <f t="shared" si="62"/>
        <v>1</v>
      </c>
      <c r="J250" s="995"/>
      <c r="K250" s="197">
        <f t="shared" si="63"/>
        <v>1</v>
      </c>
      <c r="L250" s="995"/>
      <c r="M250" s="197">
        <f t="shared" si="64"/>
        <v>1</v>
      </c>
      <c r="N250" s="995"/>
      <c r="O250" s="197">
        <f t="shared" si="65"/>
        <v>1</v>
      </c>
      <c r="P250" s="995"/>
      <c r="Q250" s="197">
        <f t="shared" si="66"/>
        <v>1</v>
      </c>
      <c r="R250" s="991">
        <f t="shared" ca="1" si="71"/>
        <v>16569</v>
      </c>
      <c r="S250" s="552">
        <f t="shared" ca="1" si="72"/>
        <v>1457741</v>
      </c>
      <c r="T250" s="2010">
        <f t="shared" ca="1" si="73"/>
        <v>146</v>
      </c>
      <c r="U250" s="2305">
        <f t="shared" si="67"/>
        <v>0</v>
      </c>
      <c r="V250" s="2305">
        <f t="shared" si="68"/>
        <v>0</v>
      </c>
      <c r="W250" s="2300"/>
      <c r="X250" s="2305">
        <f t="shared" si="69"/>
        <v>0</v>
      </c>
      <c r="Y250" s="2305">
        <f t="shared" si="70"/>
        <v>0</v>
      </c>
      <c r="Z250" s="2300"/>
    </row>
    <row r="251" spans="1:26">
      <c r="A251" s="292" t="str">
        <f>'7.15'!B229</f>
        <v>8幢1单元1802室</v>
      </c>
      <c r="B251" s="207">
        <f>'7.17'!G229</f>
        <v>87.98</v>
      </c>
      <c r="C251" s="197">
        <f t="shared" si="59"/>
        <v>1</v>
      </c>
      <c r="D251" s="995" t="s">
        <v>7609</v>
      </c>
      <c r="E251" s="197">
        <f t="shared" si="60"/>
        <v>1.04</v>
      </c>
      <c r="F251" s="995" t="str">
        <f>'7.15'!D229</f>
        <v>平层</v>
      </c>
      <c r="G251" s="197">
        <f t="shared" si="61"/>
        <v>1</v>
      </c>
      <c r="H251" s="995" t="str">
        <f>'7.15'!E229</f>
        <v>南北</v>
      </c>
      <c r="I251" s="197">
        <f t="shared" si="62"/>
        <v>1</v>
      </c>
      <c r="J251" s="995"/>
      <c r="K251" s="197">
        <f t="shared" si="63"/>
        <v>1</v>
      </c>
      <c r="L251" s="995"/>
      <c r="M251" s="197">
        <f t="shared" si="64"/>
        <v>1</v>
      </c>
      <c r="N251" s="995"/>
      <c r="O251" s="197">
        <f t="shared" si="65"/>
        <v>1</v>
      </c>
      <c r="P251" s="995"/>
      <c r="Q251" s="197">
        <f t="shared" si="66"/>
        <v>1</v>
      </c>
      <c r="R251" s="991">
        <f t="shared" ca="1" si="71"/>
        <v>16569</v>
      </c>
      <c r="S251" s="552">
        <f t="shared" ca="1" si="72"/>
        <v>1457741</v>
      </c>
      <c r="T251" s="2010">
        <f t="shared" ca="1" si="73"/>
        <v>146</v>
      </c>
      <c r="U251" s="2305">
        <f t="shared" si="67"/>
        <v>0</v>
      </c>
      <c r="V251" s="2305">
        <f t="shared" si="68"/>
        <v>0</v>
      </c>
      <c r="W251" s="2300"/>
      <c r="X251" s="2305">
        <f t="shared" si="69"/>
        <v>0</v>
      </c>
      <c r="Y251" s="2305">
        <f t="shared" si="70"/>
        <v>0</v>
      </c>
      <c r="Z251" s="2300"/>
    </row>
    <row r="252" spans="1:26">
      <c r="A252" s="292" t="str">
        <f>'7.15'!B230</f>
        <v>8幢1单元1902室</v>
      </c>
      <c r="B252" s="207">
        <f>'7.17'!G230</f>
        <v>87.98</v>
      </c>
      <c r="C252" s="197">
        <f t="shared" si="59"/>
        <v>1</v>
      </c>
      <c r="D252" s="995" t="s">
        <v>7609</v>
      </c>
      <c r="E252" s="197">
        <f t="shared" si="60"/>
        <v>1.04</v>
      </c>
      <c r="F252" s="995" t="str">
        <f>'7.15'!D230</f>
        <v>平层</v>
      </c>
      <c r="G252" s="197">
        <f t="shared" si="61"/>
        <v>1</v>
      </c>
      <c r="H252" s="995" t="str">
        <f>'7.15'!E230</f>
        <v>南北</v>
      </c>
      <c r="I252" s="197">
        <f t="shared" si="62"/>
        <v>1</v>
      </c>
      <c r="J252" s="995"/>
      <c r="K252" s="197">
        <f t="shared" si="63"/>
        <v>1</v>
      </c>
      <c r="L252" s="995"/>
      <c r="M252" s="197">
        <f t="shared" si="64"/>
        <v>1</v>
      </c>
      <c r="N252" s="995"/>
      <c r="O252" s="197">
        <f t="shared" si="65"/>
        <v>1</v>
      </c>
      <c r="P252" s="995"/>
      <c r="Q252" s="197">
        <f t="shared" si="66"/>
        <v>1</v>
      </c>
      <c r="R252" s="991">
        <f t="shared" ca="1" si="71"/>
        <v>16569</v>
      </c>
      <c r="S252" s="552">
        <f t="shared" ca="1" si="72"/>
        <v>1457741</v>
      </c>
      <c r="T252" s="2010">
        <f t="shared" ca="1" si="73"/>
        <v>146</v>
      </c>
      <c r="U252" s="2305">
        <f t="shared" si="67"/>
        <v>0</v>
      </c>
      <c r="V252" s="2305">
        <f t="shared" si="68"/>
        <v>0</v>
      </c>
      <c r="W252" s="2300"/>
      <c r="X252" s="2305">
        <f t="shared" si="69"/>
        <v>0</v>
      </c>
      <c r="Y252" s="2305">
        <f t="shared" si="70"/>
        <v>0</v>
      </c>
      <c r="Z252" s="2300"/>
    </row>
    <row r="253" spans="1:26">
      <c r="A253" s="292" t="str">
        <f>'7.15'!B231</f>
        <v>8幢1单元2002室</v>
      </c>
      <c r="B253" s="207">
        <f>'7.17'!G231</f>
        <v>87.98</v>
      </c>
      <c r="C253" s="197">
        <f t="shared" si="59"/>
        <v>1</v>
      </c>
      <c r="D253" s="995" t="s">
        <v>7609</v>
      </c>
      <c r="E253" s="197">
        <f t="shared" si="60"/>
        <v>1.04</v>
      </c>
      <c r="F253" s="995" t="str">
        <f>'7.15'!D231</f>
        <v>平层</v>
      </c>
      <c r="G253" s="197">
        <f t="shared" si="61"/>
        <v>1</v>
      </c>
      <c r="H253" s="995" t="str">
        <f>'7.15'!E231</f>
        <v>南北</v>
      </c>
      <c r="I253" s="197">
        <f t="shared" si="62"/>
        <v>1</v>
      </c>
      <c r="J253" s="995"/>
      <c r="K253" s="197">
        <f t="shared" si="63"/>
        <v>1</v>
      </c>
      <c r="L253" s="995"/>
      <c r="M253" s="197">
        <f t="shared" si="64"/>
        <v>1</v>
      </c>
      <c r="N253" s="995"/>
      <c r="O253" s="197">
        <f t="shared" si="65"/>
        <v>1</v>
      </c>
      <c r="P253" s="995"/>
      <c r="Q253" s="197">
        <f t="shared" si="66"/>
        <v>1</v>
      </c>
      <c r="R253" s="991">
        <f t="shared" ca="1" si="71"/>
        <v>16569</v>
      </c>
      <c r="S253" s="552">
        <f t="shared" ca="1" si="72"/>
        <v>1457741</v>
      </c>
      <c r="T253" s="2010">
        <f t="shared" ca="1" si="73"/>
        <v>146</v>
      </c>
      <c r="U253" s="2305">
        <f t="shared" si="67"/>
        <v>0</v>
      </c>
      <c r="V253" s="2305">
        <f t="shared" si="68"/>
        <v>0</v>
      </c>
      <c r="W253" s="2300"/>
      <c r="X253" s="2305">
        <f t="shared" si="69"/>
        <v>0</v>
      </c>
      <c r="Y253" s="2305">
        <f t="shared" si="70"/>
        <v>0</v>
      </c>
      <c r="Z253" s="2300"/>
    </row>
    <row r="254" spans="1:26">
      <c r="A254" s="292" t="str">
        <f>'7.15'!B232</f>
        <v>8幢1单元2102室</v>
      </c>
      <c r="B254" s="207">
        <f>'7.17'!G232</f>
        <v>87.98</v>
      </c>
      <c r="C254" s="197">
        <f t="shared" si="59"/>
        <v>1</v>
      </c>
      <c r="D254" s="995" t="s">
        <v>7608</v>
      </c>
      <c r="E254" s="197">
        <f t="shared" si="60"/>
        <v>1.02</v>
      </c>
      <c r="F254" s="995" t="str">
        <f>'7.15'!D232</f>
        <v>平层</v>
      </c>
      <c r="G254" s="197">
        <f t="shared" si="61"/>
        <v>1</v>
      </c>
      <c r="H254" s="995" t="str">
        <f>'7.15'!E232</f>
        <v>南北</v>
      </c>
      <c r="I254" s="197">
        <f t="shared" si="62"/>
        <v>1</v>
      </c>
      <c r="J254" s="995"/>
      <c r="K254" s="197">
        <f t="shared" si="63"/>
        <v>1</v>
      </c>
      <c r="L254" s="995"/>
      <c r="M254" s="197">
        <f t="shared" si="64"/>
        <v>1</v>
      </c>
      <c r="N254" s="995"/>
      <c r="O254" s="197">
        <f t="shared" si="65"/>
        <v>1</v>
      </c>
      <c r="P254" s="995"/>
      <c r="Q254" s="197">
        <f t="shared" si="66"/>
        <v>1</v>
      </c>
      <c r="R254" s="991">
        <f t="shared" ca="1" si="71"/>
        <v>16251</v>
      </c>
      <c r="S254" s="552">
        <f t="shared" ca="1" si="72"/>
        <v>1429763</v>
      </c>
      <c r="T254" s="2010">
        <f t="shared" ca="1" si="73"/>
        <v>143</v>
      </c>
      <c r="U254" s="2305">
        <f t="shared" si="67"/>
        <v>0</v>
      </c>
      <c r="V254" s="2305">
        <f t="shared" si="68"/>
        <v>0</v>
      </c>
      <c r="W254" s="2300"/>
      <c r="X254" s="2305">
        <f t="shared" si="69"/>
        <v>0</v>
      </c>
      <c r="Y254" s="2305">
        <f t="shared" si="70"/>
        <v>0</v>
      </c>
      <c r="Z254" s="2300"/>
    </row>
    <row r="255" spans="1:26">
      <c r="A255" s="292" t="str">
        <f>'7.15'!B233</f>
        <v>8幢1单元2202室</v>
      </c>
      <c r="B255" s="207">
        <f>'7.17'!G233</f>
        <v>87.98</v>
      </c>
      <c r="C255" s="197">
        <f t="shared" si="59"/>
        <v>1</v>
      </c>
      <c r="D255" s="995" t="s">
        <v>7608</v>
      </c>
      <c r="E255" s="197">
        <f t="shared" si="60"/>
        <v>1.02</v>
      </c>
      <c r="F255" s="995" t="str">
        <f>'7.15'!D233</f>
        <v>平层</v>
      </c>
      <c r="G255" s="197">
        <f t="shared" si="61"/>
        <v>1</v>
      </c>
      <c r="H255" s="995" t="str">
        <f>'7.15'!E233</f>
        <v>南北</v>
      </c>
      <c r="I255" s="197">
        <f t="shared" si="62"/>
        <v>1</v>
      </c>
      <c r="J255" s="995"/>
      <c r="K255" s="197">
        <f t="shared" si="63"/>
        <v>1</v>
      </c>
      <c r="L255" s="995"/>
      <c r="M255" s="197">
        <f t="shared" si="64"/>
        <v>1</v>
      </c>
      <c r="N255" s="995"/>
      <c r="O255" s="197">
        <f t="shared" si="65"/>
        <v>1</v>
      </c>
      <c r="P255" s="995"/>
      <c r="Q255" s="197">
        <f t="shared" si="66"/>
        <v>1</v>
      </c>
      <c r="R255" s="991">
        <f t="shared" ca="1" si="71"/>
        <v>16251</v>
      </c>
      <c r="S255" s="552">
        <f t="shared" ca="1" si="72"/>
        <v>1429763</v>
      </c>
      <c r="T255" s="2010">
        <f t="shared" ca="1" si="73"/>
        <v>143</v>
      </c>
      <c r="U255" s="2305">
        <f t="shared" si="67"/>
        <v>0</v>
      </c>
      <c r="V255" s="2305">
        <f t="shared" si="68"/>
        <v>0</v>
      </c>
      <c r="W255" s="2300"/>
      <c r="X255" s="2305">
        <f t="shared" si="69"/>
        <v>0</v>
      </c>
      <c r="Y255" s="2305">
        <f t="shared" si="70"/>
        <v>0</v>
      </c>
      <c r="Z255" s="2300"/>
    </row>
    <row r="256" spans="1:26">
      <c r="A256" s="292" t="str">
        <f>'7.15'!B234</f>
        <v>8幢1单元2302室</v>
      </c>
      <c r="B256" s="207">
        <f>'7.17'!G234</f>
        <v>87.98</v>
      </c>
      <c r="C256" s="197">
        <f t="shared" si="59"/>
        <v>1</v>
      </c>
      <c r="D256" s="995" t="s">
        <v>7608</v>
      </c>
      <c r="E256" s="197">
        <f t="shared" si="60"/>
        <v>1.02</v>
      </c>
      <c r="F256" s="995" t="str">
        <f>'7.15'!D234</f>
        <v>平层</v>
      </c>
      <c r="G256" s="197">
        <f t="shared" si="61"/>
        <v>1</v>
      </c>
      <c r="H256" s="995" t="str">
        <f>'7.15'!E234</f>
        <v>南北</v>
      </c>
      <c r="I256" s="197">
        <f t="shared" si="62"/>
        <v>1</v>
      </c>
      <c r="J256" s="995"/>
      <c r="K256" s="197">
        <f t="shared" si="63"/>
        <v>1</v>
      </c>
      <c r="L256" s="995"/>
      <c r="M256" s="197">
        <f t="shared" si="64"/>
        <v>1</v>
      </c>
      <c r="N256" s="995"/>
      <c r="O256" s="197">
        <f t="shared" si="65"/>
        <v>1</v>
      </c>
      <c r="P256" s="995"/>
      <c r="Q256" s="197">
        <f t="shared" si="66"/>
        <v>1</v>
      </c>
      <c r="R256" s="991">
        <f t="shared" ca="1" si="71"/>
        <v>16251</v>
      </c>
      <c r="S256" s="552">
        <f t="shared" ca="1" si="72"/>
        <v>1429763</v>
      </c>
      <c r="T256" s="2010">
        <f t="shared" ca="1" si="73"/>
        <v>143</v>
      </c>
      <c r="U256" s="2305">
        <f t="shared" si="67"/>
        <v>0</v>
      </c>
      <c r="V256" s="2305">
        <f t="shared" si="68"/>
        <v>0</v>
      </c>
      <c r="W256" s="2300"/>
      <c r="X256" s="2305">
        <f t="shared" si="69"/>
        <v>0</v>
      </c>
      <c r="Y256" s="2305">
        <f t="shared" si="70"/>
        <v>0</v>
      </c>
      <c r="Z256" s="2300"/>
    </row>
    <row r="257" spans="1:26">
      <c r="A257" s="292" t="str">
        <f>'7.15'!B235</f>
        <v>8幢1单元2402室</v>
      </c>
      <c r="B257" s="207">
        <f>'7.17'!G235</f>
        <v>87.98</v>
      </c>
      <c r="C257" s="197">
        <f t="shared" si="59"/>
        <v>1</v>
      </c>
      <c r="D257" s="995" t="s">
        <v>7608</v>
      </c>
      <c r="E257" s="197">
        <f t="shared" si="60"/>
        <v>1.02</v>
      </c>
      <c r="F257" s="995" t="str">
        <f>'7.15'!D235</f>
        <v>平层</v>
      </c>
      <c r="G257" s="197">
        <f t="shared" si="61"/>
        <v>1</v>
      </c>
      <c r="H257" s="995" t="str">
        <f>'7.15'!E235</f>
        <v>南北</v>
      </c>
      <c r="I257" s="197">
        <f t="shared" si="62"/>
        <v>1</v>
      </c>
      <c r="J257" s="995"/>
      <c r="K257" s="197">
        <f t="shared" si="63"/>
        <v>1</v>
      </c>
      <c r="L257" s="995"/>
      <c r="M257" s="197">
        <f t="shared" si="64"/>
        <v>1</v>
      </c>
      <c r="N257" s="995"/>
      <c r="O257" s="197">
        <f t="shared" si="65"/>
        <v>1</v>
      </c>
      <c r="P257" s="995"/>
      <c r="Q257" s="197">
        <f t="shared" si="66"/>
        <v>1</v>
      </c>
      <c r="R257" s="991">
        <f t="shared" ca="1" si="71"/>
        <v>16251</v>
      </c>
      <c r="S257" s="552">
        <f t="shared" ca="1" si="72"/>
        <v>1429763</v>
      </c>
      <c r="T257" s="2010">
        <f t="shared" ca="1" si="73"/>
        <v>143</v>
      </c>
      <c r="U257" s="2305">
        <f t="shared" si="67"/>
        <v>0</v>
      </c>
      <c r="V257" s="2305">
        <f t="shared" si="68"/>
        <v>0</v>
      </c>
      <c r="W257" s="2300"/>
      <c r="X257" s="2305">
        <f t="shared" si="69"/>
        <v>0</v>
      </c>
      <c r="Y257" s="2305">
        <f t="shared" si="70"/>
        <v>0</v>
      </c>
      <c r="Z257" s="2300"/>
    </row>
    <row r="258" spans="1:26">
      <c r="A258" s="292" t="str">
        <f>'7.15'!B236</f>
        <v>8幢1单元2502室</v>
      </c>
      <c r="B258" s="207">
        <f>'7.17'!G236</f>
        <v>87.98</v>
      </c>
      <c r="C258" s="197">
        <f t="shared" si="59"/>
        <v>1</v>
      </c>
      <c r="D258" s="995" t="s">
        <v>7608</v>
      </c>
      <c r="E258" s="197">
        <f t="shared" si="60"/>
        <v>1.02</v>
      </c>
      <c r="F258" s="995" t="str">
        <f>'7.15'!D236</f>
        <v>平层</v>
      </c>
      <c r="G258" s="197">
        <f t="shared" si="61"/>
        <v>1</v>
      </c>
      <c r="H258" s="995" t="str">
        <f>'7.15'!E236</f>
        <v>南北</v>
      </c>
      <c r="I258" s="197">
        <f t="shared" si="62"/>
        <v>1</v>
      </c>
      <c r="J258" s="995"/>
      <c r="K258" s="197">
        <f t="shared" si="63"/>
        <v>1</v>
      </c>
      <c r="L258" s="995"/>
      <c r="M258" s="197">
        <f t="shared" si="64"/>
        <v>1</v>
      </c>
      <c r="N258" s="995"/>
      <c r="O258" s="197">
        <f t="shared" si="65"/>
        <v>1</v>
      </c>
      <c r="P258" s="995"/>
      <c r="Q258" s="197">
        <f t="shared" si="66"/>
        <v>1</v>
      </c>
      <c r="R258" s="991">
        <f t="shared" ca="1" si="71"/>
        <v>16251</v>
      </c>
      <c r="S258" s="552">
        <f t="shared" ca="1" si="72"/>
        <v>1429763</v>
      </c>
      <c r="T258" s="2010">
        <f t="shared" ca="1" si="73"/>
        <v>143</v>
      </c>
      <c r="U258" s="2305">
        <f t="shared" si="67"/>
        <v>0</v>
      </c>
      <c r="V258" s="2305">
        <f t="shared" si="68"/>
        <v>0</v>
      </c>
      <c r="W258" s="2300"/>
      <c r="X258" s="2305">
        <f t="shared" si="69"/>
        <v>0</v>
      </c>
      <c r="Y258" s="2305">
        <f t="shared" si="70"/>
        <v>0</v>
      </c>
      <c r="Z258" s="2300"/>
    </row>
    <row r="259" spans="1:26">
      <c r="A259" s="292" t="str">
        <f>'7.15'!B237</f>
        <v>8幢1单元2602室</v>
      </c>
      <c r="B259" s="207">
        <f>'7.17'!G237</f>
        <v>87.98</v>
      </c>
      <c r="C259" s="197">
        <f t="shared" si="59"/>
        <v>1</v>
      </c>
      <c r="D259" s="995" t="s">
        <v>7608</v>
      </c>
      <c r="E259" s="197">
        <f t="shared" si="60"/>
        <v>1.02</v>
      </c>
      <c r="F259" s="995" t="str">
        <f>'7.15'!D237</f>
        <v>平层</v>
      </c>
      <c r="G259" s="197">
        <f t="shared" si="61"/>
        <v>1</v>
      </c>
      <c r="H259" s="995" t="str">
        <f>'7.15'!E237</f>
        <v>南北</v>
      </c>
      <c r="I259" s="197">
        <f t="shared" si="62"/>
        <v>1</v>
      </c>
      <c r="J259" s="995"/>
      <c r="K259" s="197">
        <f t="shared" si="63"/>
        <v>1</v>
      </c>
      <c r="L259" s="995"/>
      <c r="M259" s="197">
        <f t="shared" si="64"/>
        <v>1</v>
      </c>
      <c r="N259" s="995"/>
      <c r="O259" s="197">
        <f t="shared" si="65"/>
        <v>1</v>
      </c>
      <c r="P259" s="995"/>
      <c r="Q259" s="197">
        <f t="shared" si="66"/>
        <v>1</v>
      </c>
      <c r="R259" s="991">
        <f t="shared" ca="1" si="71"/>
        <v>16251</v>
      </c>
      <c r="S259" s="552">
        <f t="shared" ca="1" si="72"/>
        <v>1429763</v>
      </c>
      <c r="T259" s="2010">
        <f t="shared" ca="1" si="73"/>
        <v>143</v>
      </c>
      <c r="U259" s="2305">
        <f t="shared" si="67"/>
        <v>0</v>
      </c>
      <c r="V259" s="2305">
        <f t="shared" si="68"/>
        <v>0</v>
      </c>
      <c r="W259" s="2300"/>
      <c r="X259" s="2305">
        <f t="shared" si="69"/>
        <v>0</v>
      </c>
      <c r="Y259" s="2305">
        <f t="shared" si="70"/>
        <v>0</v>
      </c>
      <c r="Z259" s="2300"/>
    </row>
    <row r="260" spans="1:26">
      <c r="A260" s="292" t="str">
        <f>'7.15'!B238</f>
        <v>8幢1单元2702室</v>
      </c>
      <c r="B260" s="207">
        <f>'7.17'!G238</f>
        <v>87.98</v>
      </c>
      <c r="C260" s="197">
        <f t="shared" si="59"/>
        <v>1</v>
      </c>
      <c r="D260" s="995" t="s">
        <v>7608</v>
      </c>
      <c r="E260" s="197">
        <f t="shared" si="60"/>
        <v>1.02</v>
      </c>
      <c r="F260" s="995" t="str">
        <f>'7.15'!D238</f>
        <v>平层</v>
      </c>
      <c r="G260" s="197">
        <f t="shared" si="61"/>
        <v>1</v>
      </c>
      <c r="H260" s="995" t="str">
        <f>'7.15'!E238</f>
        <v>南北</v>
      </c>
      <c r="I260" s="197">
        <f t="shared" si="62"/>
        <v>1</v>
      </c>
      <c r="J260" s="995"/>
      <c r="K260" s="197">
        <f t="shared" si="63"/>
        <v>1</v>
      </c>
      <c r="L260" s="995"/>
      <c r="M260" s="197">
        <f t="shared" si="64"/>
        <v>1</v>
      </c>
      <c r="N260" s="995"/>
      <c r="O260" s="197">
        <f t="shared" si="65"/>
        <v>1</v>
      </c>
      <c r="P260" s="995"/>
      <c r="Q260" s="197">
        <f t="shared" si="66"/>
        <v>1</v>
      </c>
      <c r="R260" s="991">
        <f t="shared" ca="1" si="71"/>
        <v>16251</v>
      </c>
      <c r="S260" s="552">
        <f t="shared" ca="1" si="72"/>
        <v>1429763</v>
      </c>
      <c r="T260" s="2010">
        <f t="shared" ca="1" si="73"/>
        <v>143</v>
      </c>
      <c r="U260" s="2305">
        <f t="shared" si="67"/>
        <v>0</v>
      </c>
      <c r="V260" s="2305">
        <f t="shared" si="68"/>
        <v>0</v>
      </c>
      <c r="W260" s="2300"/>
      <c r="X260" s="2305">
        <f t="shared" si="69"/>
        <v>0</v>
      </c>
      <c r="Y260" s="2305">
        <f t="shared" si="70"/>
        <v>0</v>
      </c>
      <c r="Z260" s="2300"/>
    </row>
    <row r="261" spans="1:26">
      <c r="A261" s="292" t="str">
        <f>'7.15'!B239</f>
        <v>8幢1单元2802室</v>
      </c>
      <c r="B261" s="207">
        <f>'7.17'!G239</f>
        <v>87.98</v>
      </c>
      <c r="C261" s="197">
        <f t="shared" si="59"/>
        <v>1</v>
      </c>
      <c r="D261" s="995" t="s">
        <v>7608</v>
      </c>
      <c r="E261" s="197">
        <f t="shared" si="60"/>
        <v>1.02</v>
      </c>
      <c r="F261" s="995" t="str">
        <f>'7.15'!D239</f>
        <v>平层</v>
      </c>
      <c r="G261" s="197">
        <f t="shared" si="61"/>
        <v>1</v>
      </c>
      <c r="H261" s="995" t="str">
        <f>'7.15'!E239</f>
        <v>南北</v>
      </c>
      <c r="I261" s="197">
        <f t="shared" si="62"/>
        <v>1</v>
      </c>
      <c r="J261" s="995"/>
      <c r="K261" s="197">
        <f t="shared" si="63"/>
        <v>1</v>
      </c>
      <c r="L261" s="995"/>
      <c r="M261" s="197">
        <f t="shared" si="64"/>
        <v>1</v>
      </c>
      <c r="N261" s="995"/>
      <c r="O261" s="197">
        <f t="shared" si="65"/>
        <v>1</v>
      </c>
      <c r="P261" s="995"/>
      <c r="Q261" s="197">
        <f t="shared" si="66"/>
        <v>1</v>
      </c>
      <c r="R261" s="991">
        <f t="shared" ca="1" si="71"/>
        <v>16251</v>
      </c>
      <c r="S261" s="552">
        <f t="shared" ca="1" si="72"/>
        <v>1429763</v>
      </c>
      <c r="T261" s="2010">
        <f t="shared" ca="1" si="73"/>
        <v>143</v>
      </c>
      <c r="U261" s="2305">
        <f t="shared" si="67"/>
        <v>0</v>
      </c>
      <c r="V261" s="2305">
        <f t="shared" si="68"/>
        <v>0</v>
      </c>
      <c r="W261" s="2300"/>
      <c r="X261" s="2305">
        <f t="shared" si="69"/>
        <v>0</v>
      </c>
      <c r="Y261" s="2305">
        <f t="shared" si="70"/>
        <v>0</v>
      </c>
      <c r="Z261" s="2300"/>
    </row>
    <row r="262" spans="1:26">
      <c r="A262" s="292" t="str">
        <f>'7.15'!B240</f>
        <v>8幢1单元2902室</v>
      </c>
      <c r="B262" s="207">
        <f>'7.17'!G240</f>
        <v>87.98</v>
      </c>
      <c r="C262" s="197">
        <f t="shared" si="59"/>
        <v>1</v>
      </c>
      <c r="D262" s="995" t="s">
        <v>7608</v>
      </c>
      <c r="E262" s="197">
        <f t="shared" si="60"/>
        <v>1.02</v>
      </c>
      <c r="F262" s="995" t="str">
        <f>'7.15'!D240</f>
        <v>平层</v>
      </c>
      <c r="G262" s="197">
        <f t="shared" si="61"/>
        <v>1</v>
      </c>
      <c r="H262" s="995" t="str">
        <f>'7.15'!E240</f>
        <v>南北</v>
      </c>
      <c r="I262" s="197">
        <f t="shared" si="62"/>
        <v>1</v>
      </c>
      <c r="J262" s="995"/>
      <c r="K262" s="197">
        <f t="shared" si="63"/>
        <v>1</v>
      </c>
      <c r="L262" s="995"/>
      <c r="M262" s="197">
        <f t="shared" si="64"/>
        <v>1</v>
      </c>
      <c r="N262" s="995"/>
      <c r="O262" s="197">
        <f t="shared" si="65"/>
        <v>1</v>
      </c>
      <c r="P262" s="995"/>
      <c r="Q262" s="197">
        <f t="shared" si="66"/>
        <v>1</v>
      </c>
      <c r="R262" s="991">
        <f t="shared" ca="1" si="71"/>
        <v>16251</v>
      </c>
      <c r="S262" s="552">
        <f t="shared" ca="1" si="72"/>
        <v>1429763</v>
      </c>
      <c r="T262" s="2010">
        <f t="shared" ca="1" si="73"/>
        <v>143</v>
      </c>
      <c r="U262" s="2305">
        <f t="shared" si="67"/>
        <v>0</v>
      </c>
      <c r="V262" s="2305">
        <f t="shared" si="68"/>
        <v>0</v>
      </c>
      <c r="W262" s="2300"/>
      <c r="X262" s="2305">
        <f t="shared" si="69"/>
        <v>0</v>
      </c>
      <c r="Y262" s="2305">
        <f t="shared" si="70"/>
        <v>0</v>
      </c>
      <c r="Z262" s="2300"/>
    </row>
    <row r="263" spans="1:26">
      <c r="A263" s="292" t="str">
        <f>'7.15'!B241</f>
        <v>8幢1单元3002室</v>
      </c>
      <c r="B263" s="207">
        <f>'7.17'!G241</f>
        <v>87.98</v>
      </c>
      <c r="C263" s="197">
        <f t="shared" si="59"/>
        <v>1</v>
      </c>
      <c r="D263" s="995" t="s">
        <v>7608</v>
      </c>
      <c r="E263" s="197">
        <f t="shared" si="60"/>
        <v>1.02</v>
      </c>
      <c r="F263" s="995" t="str">
        <f>'7.15'!D241</f>
        <v>平层</v>
      </c>
      <c r="G263" s="197">
        <f t="shared" si="61"/>
        <v>1</v>
      </c>
      <c r="H263" s="995" t="str">
        <f>'7.15'!E241</f>
        <v>南北</v>
      </c>
      <c r="I263" s="197">
        <f t="shared" si="62"/>
        <v>1</v>
      </c>
      <c r="J263" s="995"/>
      <c r="K263" s="197">
        <f t="shared" si="63"/>
        <v>1</v>
      </c>
      <c r="L263" s="995"/>
      <c r="M263" s="197">
        <f t="shared" si="64"/>
        <v>1</v>
      </c>
      <c r="N263" s="995"/>
      <c r="O263" s="197">
        <f t="shared" si="65"/>
        <v>1</v>
      </c>
      <c r="P263" s="995"/>
      <c r="Q263" s="197">
        <f t="shared" si="66"/>
        <v>1</v>
      </c>
      <c r="R263" s="991">
        <f t="shared" ca="1" si="71"/>
        <v>16251</v>
      </c>
      <c r="S263" s="552">
        <f t="shared" ca="1" si="72"/>
        <v>1429763</v>
      </c>
      <c r="T263" s="2010">
        <f t="shared" ca="1" si="73"/>
        <v>143</v>
      </c>
      <c r="U263" s="2305">
        <f t="shared" si="67"/>
        <v>0</v>
      </c>
      <c r="V263" s="2305">
        <f t="shared" si="68"/>
        <v>0</v>
      </c>
      <c r="W263" s="2300"/>
      <c r="X263" s="2305">
        <f t="shared" si="69"/>
        <v>0</v>
      </c>
      <c r="Y263" s="2305">
        <f t="shared" si="70"/>
        <v>0</v>
      </c>
      <c r="Z263" s="2300"/>
    </row>
    <row r="264" spans="1:26">
      <c r="A264" s="292" t="str">
        <f>'7.15'!B242</f>
        <v>8幢1单元203室</v>
      </c>
      <c r="B264" s="207">
        <f>'7.17'!G242</f>
        <v>88</v>
      </c>
      <c r="C264" s="197">
        <f t="shared" si="59"/>
        <v>1</v>
      </c>
      <c r="D264" s="995" t="s">
        <v>7606</v>
      </c>
      <c r="E264" s="197">
        <f t="shared" si="60"/>
        <v>1</v>
      </c>
      <c r="F264" s="995" t="str">
        <f>'7.15'!D242</f>
        <v>平层</v>
      </c>
      <c r="G264" s="197">
        <f t="shared" si="61"/>
        <v>1</v>
      </c>
      <c r="H264" s="995" t="str">
        <f>'7.15'!E242</f>
        <v>南北</v>
      </c>
      <c r="I264" s="197">
        <f t="shared" si="62"/>
        <v>1</v>
      </c>
      <c r="J264" s="995"/>
      <c r="K264" s="197">
        <f t="shared" si="63"/>
        <v>1</v>
      </c>
      <c r="L264" s="995"/>
      <c r="M264" s="197">
        <f t="shared" si="64"/>
        <v>1</v>
      </c>
      <c r="N264" s="995"/>
      <c r="O264" s="197">
        <f t="shared" si="65"/>
        <v>1</v>
      </c>
      <c r="P264" s="995"/>
      <c r="Q264" s="197">
        <f t="shared" si="66"/>
        <v>1</v>
      </c>
      <c r="R264" s="991">
        <f t="shared" ca="1" si="71"/>
        <v>15932</v>
      </c>
      <c r="S264" s="552">
        <f t="shared" ca="1" si="72"/>
        <v>1402016</v>
      </c>
      <c r="T264" s="2010">
        <f t="shared" ca="1" si="73"/>
        <v>140</v>
      </c>
      <c r="U264" s="2305">
        <f t="shared" si="67"/>
        <v>0</v>
      </c>
      <c r="V264" s="2305">
        <f t="shared" si="68"/>
        <v>0</v>
      </c>
      <c r="W264" s="2300"/>
      <c r="X264" s="2305">
        <f t="shared" si="69"/>
        <v>0</v>
      </c>
      <c r="Y264" s="2305">
        <f t="shared" si="70"/>
        <v>0</v>
      </c>
      <c r="Z264" s="2300"/>
    </row>
    <row r="265" spans="1:26">
      <c r="A265" s="292" t="str">
        <f>'7.15'!B243</f>
        <v>8幢1单元303室</v>
      </c>
      <c r="B265" s="207">
        <f>'7.17'!G243</f>
        <v>88</v>
      </c>
      <c r="C265" s="197">
        <f t="shared" si="59"/>
        <v>1</v>
      </c>
      <c r="D265" s="995" t="s">
        <v>7606</v>
      </c>
      <c r="E265" s="197">
        <f t="shared" si="60"/>
        <v>1</v>
      </c>
      <c r="F265" s="995" t="str">
        <f>'7.15'!D243</f>
        <v>平层</v>
      </c>
      <c r="G265" s="197">
        <f t="shared" si="61"/>
        <v>1</v>
      </c>
      <c r="H265" s="995" t="str">
        <f>'7.15'!E243</f>
        <v>南北</v>
      </c>
      <c r="I265" s="197">
        <f t="shared" si="62"/>
        <v>1</v>
      </c>
      <c r="J265" s="995"/>
      <c r="K265" s="197">
        <f t="shared" si="63"/>
        <v>1</v>
      </c>
      <c r="L265" s="995"/>
      <c r="M265" s="197">
        <f t="shared" si="64"/>
        <v>1</v>
      </c>
      <c r="N265" s="995"/>
      <c r="O265" s="197">
        <f t="shared" si="65"/>
        <v>1</v>
      </c>
      <c r="P265" s="995"/>
      <c r="Q265" s="197">
        <f t="shared" si="66"/>
        <v>1</v>
      </c>
      <c r="R265" s="991">
        <f t="shared" ca="1" si="71"/>
        <v>15932</v>
      </c>
      <c r="S265" s="552">
        <f t="shared" ca="1" si="72"/>
        <v>1402016</v>
      </c>
      <c r="T265" s="2010">
        <f t="shared" ca="1" si="73"/>
        <v>140</v>
      </c>
      <c r="U265" s="2305">
        <f t="shared" si="67"/>
        <v>0</v>
      </c>
      <c r="V265" s="2305">
        <f t="shared" si="68"/>
        <v>0</v>
      </c>
      <c r="W265" s="2300"/>
      <c r="X265" s="2305">
        <f t="shared" si="69"/>
        <v>0</v>
      </c>
      <c r="Y265" s="2305">
        <f t="shared" si="70"/>
        <v>0</v>
      </c>
      <c r="Z265" s="2300"/>
    </row>
    <row r="266" spans="1:26">
      <c r="A266" s="292" t="str">
        <f>'7.15'!B244</f>
        <v>8幢1单元403室</v>
      </c>
      <c r="B266" s="207">
        <f>'7.17'!G244</f>
        <v>88</v>
      </c>
      <c r="C266" s="197">
        <f t="shared" si="59"/>
        <v>1</v>
      </c>
      <c r="D266" s="995" t="s">
        <v>7606</v>
      </c>
      <c r="E266" s="197">
        <f t="shared" si="60"/>
        <v>1</v>
      </c>
      <c r="F266" s="995" t="str">
        <f>'7.15'!D244</f>
        <v>平层</v>
      </c>
      <c r="G266" s="197">
        <f t="shared" si="61"/>
        <v>1</v>
      </c>
      <c r="H266" s="995" t="str">
        <f>'7.15'!E244</f>
        <v>南北</v>
      </c>
      <c r="I266" s="197">
        <f t="shared" si="62"/>
        <v>1</v>
      </c>
      <c r="J266" s="995"/>
      <c r="K266" s="197">
        <f t="shared" si="63"/>
        <v>1</v>
      </c>
      <c r="L266" s="995"/>
      <c r="M266" s="197">
        <f t="shared" si="64"/>
        <v>1</v>
      </c>
      <c r="N266" s="995"/>
      <c r="O266" s="197">
        <f t="shared" si="65"/>
        <v>1</v>
      </c>
      <c r="P266" s="995"/>
      <c r="Q266" s="197">
        <f t="shared" si="66"/>
        <v>1</v>
      </c>
      <c r="R266" s="991">
        <f t="shared" ca="1" si="71"/>
        <v>15932</v>
      </c>
      <c r="S266" s="552">
        <f t="shared" ca="1" si="72"/>
        <v>1402016</v>
      </c>
      <c r="T266" s="2010">
        <f t="shared" ca="1" si="73"/>
        <v>140</v>
      </c>
      <c r="U266" s="2305">
        <f t="shared" si="67"/>
        <v>0</v>
      </c>
      <c r="V266" s="2305">
        <f t="shared" si="68"/>
        <v>0</v>
      </c>
      <c r="W266" s="2300"/>
      <c r="X266" s="2305">
        <f t="shared" si="69"/>
        <v>0</v>
      </c>
      <c r="Y266" s="2305">
        <f t="shared" si="70"/>
        <v>0</v>
      </c>
      <c r="Z266" s="2300"/>
    </row>
    <row r="267" spans="1:26">
      <c r="A267" s="292" t="str">
        <f>'7.15'!B245</f>
        <v>8幢1单元503室</v>
      </c>
      <c r="B267" s="207">
        <f>'7.17'!G245</f>
        <v>88</v>
      </c>
      <c r="C267" s="197">
        <f t="shared" si="59"/>
        <v>1</v>
      </c>
      <c r="D267" s="995" t="s">
        <v>7606</v>
      </c>
      <c r="E267" s="197">
        <f t="shared" si="60"/>
        <v>1</v>
      </c>
      <c r="F267" s="995" t="str">
        <f>'7.15'!D245</f>
        <v>平层</v>
      </c>
      <c r="G267" s="197">
        <f t="shared" si="61"/>
        <v>1</v>
      </c>
      <c r="H267" s="995" t="str">
        <f>'7.15'!E245</f>
        <v>南北</v>
      </c>
      <c r="I267" s="197">
        <f t="shared" si="62"/>
        <v>1</v>
      </c>
      <c r="J267" s="995"/>
      <c r="K267" s="197">
        <f t="shared" si="63"/>
        <v>1</v>
      </c>
      <c r="L267" s="995"/>
      <c r="M267" s="197">
        <f t="shared" si="64"/>
        <v>1</v>
      </c>
      <c r="N267" s="995"/>
      <c r="O267" s="197">
        <f t="shared" si="65"/>
        <v>1</v>
      </c>
      <c r="P267" s="995"/>
      <c r="Q267" s="197">
        <f t="shared" si="66"/>
        <v>1</v>
      </c>
      <c r="R267" s="991">
        <f t="shared" ca="1" si="71"/>
        <v>15932</v>
      </c>
      <c r="S267" s="552">
        <f t="shared" ca="1" si="72"/>
        <v>1402016</v>
      </c>
      <c r="T267" s="2010">
        <f t="shared" ca="1" si="73"/>
        <v>140</v>
      </c>
      <c r="U267" s="2305">
        <f t="shared" si="67"/>
        <v>0</v>
      </c>
      <c r="V267" s="2305">
        <f t="shared" si="68"/>
        <v>0</v>
      </c>
      <c r="W267" s="2300"/>
      <c r="X267" s="2305">
        <f t="shared" si="69"/>
        <v>0</v>
      </c>
      <c r="Y267" s="2305">
        <f t="shared" si="70"/>
        <v>0</v>
      </c>
      <c r="Z267" s="2300"/>
    </row>
    <row r="268" spans="1:26">
      <c r="A268" s="292" t="str">
        <f>'7.15'!B246</f>
        <v>8幢1单元603室</v>
      </c>
      <c r="B268" s="207">
        <f>'7.17'!G246</f>
        <v>88</v>
      </c>
      <c r="C268" s="197">
        <f t="shared" si="59"/>
        <v>1</v>
      </c>
      <c r="D268" s="995" t="s">
        <v>7606</v>
      </c>
      <c r="E268" s="197">
        <f t="shared" si="60"/>
        <v>1</v>
      </c>
      <c r="F268" s="995" t="str">
        <f>'7.15'!D246</f>
        <v>平层</v>
      </c>
      <c r="G268" s="197">
        <f t="shared" si="61"/>
        <v>1</v>
      </c>
      <c r="H268" s="995" t="str">
        <f>'7.15'!E246</f>
        <v>南北</v>
      </c>
      <c r="I268" s="197">
        <f t="shared" si="62"/>
        <v>1</v>
      </c>
      <c r="J268" s="995"/>
      <c r="K268" s="197">
        <f t="shared" si="63"/>
        <v>1</v>
      </c>
      <c r="L268" s="995"/>
      <c r="M268" s="197">
        <f t="shared" si="64"/>
        <v>1</v>
      </c>
      <c r="N268" s="995"/>
      <c r="O268" s="197">
        <f t="shared" si="65"/>
        <v>1</v>
      </c>
      <c r="P268" s="995"/>
      <c r="Q268" s="197">
        <f t="shared" si="66"/>
        <v>1</v>
      </c>
      <c r="R268" s="991">
        <f t="shared" ca="1" si="71"/>
        <v>15932</v>
      </c>
      <c r="S268" s="552">
        <f t="shared" ca="1" si="72"/>
        <v>1402016</v>
      </c>
      <c r="T268" s="2010">
        <f t="shared" ca="1" si="73"/>
        <v>140</v>
      </c>
      <c r="U268" s="2305">
        <f t="shared" si="67"/>
        <v>0</v>
      </c>
      <c r="V268" s="2305">
        <f t="shared" si="68"/>
        <v>0</v>
      </c>
      <c r="W268" s="2300"/>
      <c r="X268" s="2305">
        <f t="shared" si="69"/>
        <v>0</v>
      </c>
      <c r="Y268" s="2305">
        <f t="shared" si="70"/>
        <v>0</v>
      </c>
      <c r="Z268" s="2300"/>
    </row>
    <row r="269" spans="1:26">
      <c r="A269" s="292" t="str">
        <f>'7.15'!B247</f>
        <v>8幢1单元703室</v>
      </c>
      <c r="B269" s="207">
        <f>'7.17'!G247</f>
        <v>88</v>
      </c>
      <c r="C269" s="197">
        <f t="shared" si="59"/>
        <v>1</v>
      </c>
      <c r="D269" s="995" t="s">
        <v>7606</v>
      </c>
      <c r="E269" s="197">
        <f t="shared" si="60"/>
        <v>1</v>
      </c>
      <c r="F269" s="995" t="str">
        <f>'7.15'!D247</f>
        <v>平层</v>
      </c>
      <c r="G269" s="197">
        <f t="shared" si="61"/>
        <v>1</v>
      </c>
      <c r="H269" s="995" t="str">
        <f>'7.15'!E247</f>
        <v>南北</v>
      </c>
      <c r="I269" s="197">
        <f t="shared" si="62"/>
        <v>1</v>
      </c>
      <c r="J269" s="995"/>
      <c r="K269" s="197">
        <f t="shared" si="63"/>
        <v>1</v>
      </c>
      <c r="L269" s="995"/>
      <c r="M269" s="197">
        <f t="shared" si="64"/>
        <v>1</v>
      </c>
      <c r="N269" s="995"/>
      <c r="O269" s="197">
        <f t="shared" si="65"/>
        <v>1</v>
      </c>
      <c r="P269" s="995"/>
      <c r="Q269" s="197">
        <f t="shared" si="66"/>
        <v>1</v>
      </c>
      <c r="R269" s="991">
        <f t="shared" ca="1" si="71"/>
        <v>15932</v>
      </c>
      <c r="S269" s="552">
        <f t="shared" ca="1" si="72"/>
        <v>1402016</v>
      </c>
      <c r="T269" s="2010">
        <f t="shared" ca="1" si="73"/>
        <v>140</v>
      </c>
      <c r="U269" s="2305">
        <f t="shared" si="67"/>
        <v>0</v>
      </c>
      <c r="V269" s="2305">
        <f t="shared" si="68"/>
        <v>0</v>
      </c>
      <c r="W269" s="2300"/>
      <c r="X269" s="2305">
        <f t="shared" si="69"/>
        <v>0</v>
      </c>
      <c r="Y269" s="2305">
        <f t="shared" si="70"/>
        <v>0</v>
      </c>
      <c r="Z269" s="2300"/>
    </row>
    <row r="270" spans="1:26">
      <c r="A270" s="292" t="str">
        <f>'7.15'!B248</f>
        <v>8幢1单元803室</v>
      </c>
      <c r="B270" s="207">
        <f>'7.17'!G248</f>
        <v>88</v>
      </c>
      <c r="C270" s="197">
        <f t="shared" si="59"/>
        <v>1</v>
      </c>
      <c r="D270" s="995" t="s">
        <v>7606</v>
      </c>
      <c r="E270" s="197">
        <f t="shared" si="60"/>
        <v>1</v>
      </c>
      <c r="F270" s="995" t="str">
        <f>'7.15'!D248</f>
        <v>平层</v>
      </c>
      <c r="G270" s="197">
        <f t="shared" si="61"/>
        <v>1</v>
      </c>
      <c r="H270" s="995" t="str">
        <f>'7.15'!E248</f>
        <v>南北</v>
      </c>
      <c r="I270" s="197">
        <f t="shared" si="62"/>
        <v>1</v>
      </c>
      <c r="J270" s="995"/>
      <c r="K270" s="197">
        <f t="shared" si="63"/>
        <v>1</v>
      </c>
      <c r="L270" s="995"/>
      <c r="M270" s="197">
        <f t="shared" si="64"/>
        <v>1</v>
      </c>
      <c r="N270" s="995"/>
      <c r="O270" s="197">
        <f t="shared" si="65"/>
        <v>1</v>
      </c>
      <c r="P270" s="995"/>
      <c r="Q270" s="197">
        <f t="shared" si="66"/>
        <v>1</v>
      </c>
      <c r="R270" s="991">
        <f t="shared" ca="1" si="71"/>
        <v>15932</v>
      </c>
      <c r="S270" s="552">
        <f t="shared" ca="1" si="72"/>
        <v>1402016</v>
      </c>
      <c r="T270" s="2010">
        <f t="shared" ca="1" si="73"/>
        <v>140</v>
      </c>
      <c r="U270" s="2305">
        <f t="shared" si="67"/>
        <v>0</v>
      </c>
      <c r="V270" s="2305">
        <f t="shared" si="68"/>
        <v>0</v>
      </c>
      <c r="W270" s="2300"/>
      <c r="X270" s="2305">
        <f t="shared" si="69"/>
        <v>0</v>
      </c>
      <c r="Y270" s="2305">
        <f t="shared" si="70"/>
        <v>0</v>
      </c>
      <c r="Z270" s="2300"/>
    </row>
    <row r="271" spans="1:26">
      <c r="A271" s="292" t="str">
        <f>'7.15'!B249</f>
        <v>8幢1单元903室</v>
      </c>
      <c r="B271" s="207">
        <f>'7.17'!G249</f>
        <v>88</v>
      </c>
      <c r="C271" s="197">
        <f t="shared" si="59"/>
        <v>1</v>
      </c>
      <c r="D271" s="995" t="s">
        <v>7606</v>
      </c>
      <c r="E271" s="197">
        <f t="shared" si="60"/>
        <v>1</v>
      </c>
      <c r="F271" s="995" t="str">
        <f>'7.15'!D249</f>
        <v>平层</v>
      </c>
      <c r="G271" s="197">
        <f t="shared" si="61"/>
        <v>1</v>
      </c>
      <c r="H271" s="995" t="str">
        <f>'7.15'!E249</f>
        <v>南北</v>
      </c>
      <c r="I271" s="197">
        <f t="shared" si="62"/>
        <v>1</v>
      </c>
      <c r="J271" s="995"/>
      <c r="K271" s="197">
        <f t="shared" si="63"/>
        <v>1</v>
      </c>
      <c r="L271" s="995"/>
      <c r="M271" s="197">
        <f t="shared" si="64"/>
        <v>1</v>
      </c>
      <c r="N271" s="995"/>
      <c r="O271" s="197">
        <f t="shared" si="65"/>
        <v>1</v>
      </c>
      <c r="P271" s="995"/>
      <c r="Q271" s="197">
        <f t="shared" si="66"/>
        <v>1</v>
      </c>
      <c r="R271" s="991">
        <f t="shared" ca="1" si="71"/>
        <v>15932</v>
      </c>
      <c r="S271" s="552">
        <f t="shared" ca="1" si="72"/>
        <v>1402016</v>
      </c>
      <c r="T271" s="2010">
        <f t="shared" ca="1" si="73"/>
        <v>140</v>
      </c>
      <c r="U271" s="2305">
        <f t="shared" si="67"/>
        <v>0</v>
      </c>
      <c r="V271" s="2305">
        <f t="shared" si="68"/>
        <v>0</v>
      </c>
      <c r="W271" s="2300"/>
      <c r="X271" s="2305">
        <f t="shared" si="69"/>
        <v>0</v>
      </c>
      <c r="Y271" s="2305">
        <f t="shared" si="70"/>
        <v>0</v>
      </c>
      <c r="Z271" s="2300"/>
    </row>
    <row r="272" spans="1:26">
      <c r="A272" s="292" t="str">
        <f>'7.15'!B250</f>
        <v>8幢1单元1003室</v>
      </c>
      <c r="B272" s="207">
        <f>'7.17'!G250</f>
        <v>88</v>
      </c>
      <c r="C272" s="197">
        <f t="shared" si="59"/>
        <v>1</v>
      </c>
      <c r="D272" s="995" t="s">
        <v>7606</v>
      </c>
      <c r="E272" s="197">
        <f t="shared" si="60"/>
        <v>1</v>
      </c>
      <c r="F272" s="995" t="str">
        <f>'7.15'!D250</f>
        <v>平层</v>
      </c>
      <c r="G272" s="197">
        <f t="shared" si="61"/>
        <v>1</v>
      </c>
      <c r="H272" s="995" t="str">
        <f>'7.15'!E250</f>
        <v>南北</v>
      </c>
      <c r="I272" s="197">
        <f t="shared" si="62"/>
        <v>1</v>
      </c>
      <c r="J272" s="995"/>
      <c r="K272" s="197">
        <f t="shared" si="63"/>
        <v>1</v>
      </c>
      <c r="L272" s="995"/>
      <c r="M272" s="197">
        <f t="shared" si="64"/>
        <v>1</v>
      </c>
      <c r="N272" s="995"/>
      <c r="O272" s="197">
        <f t="shared" si="65"/>
        <v>1</v>
      </c>
      <c r="P272" s="995"/>
      <c r="Q272" s="197">
        <f t="shared" si="66"/>
        <v>1</v>
      </c>
      <c r="R272" s="991">
        <f t="shared" ca="1" si="71"/>
        <v>15932</v>
      </c>
      <c r="S272" s="552">
        <f t="shared" ca="1" si="72"/>
        <v>1402016</v>
      </c>
      <c r="T272" s="2010">
        <f t="shared" ca="1" si="73"/>
        <v>140</v>
      </c>
      <c r="U272" s="2305">
        <f t="shared" si="67"/>
        <v>0</v>
      </c>
      <c r="V272" s="2305">
        <f t="shared" si="68"/>
        <v>0</v>
      </c>
      <c r="W272" s="2300"/>
      <c r="X272" s="2305">
        <f t="shared" si="69"/>
        <v>0</v>
      </c>
      <c r="Y272" s="2305">
        <f t="shared" si="70"/>
        <v>0</v>
      </c>
      <c r="Z272" s="2300"/>
    </row>
    <row r="273" spans="1:26">
      <c r="A273" s="292" t="str">
        <f>'7.15'!B251</f>
        <v>8幢1单元1103室</v>
      </c>
      <c r="B273" s="207">
        <f>'7.17'!G251</f>
        <v>88</v>
      </c>
      <c r="C273" s="197">
        <f t="shared" si="59"/>
        <v>1</v>
      </c>
      <c r="D273" s="995" t="s">
        <v>7609</v>
      </c>
      <c r="E273" s="197">
        <f t="shared" si="60"/>
        <v>1.04</v>
      </c>
      <c r="F273" s="995" t="str">
        <f>'7.15'!D251</f>
        <v>平层</v>
      </c>
      <c r="G273" s="197">
        <f t="shared" si="61"/>
        <v>1</v>
      </c>
      <c r="H273" s="995" t="str">
        <f>'7.15'!E251</f>
        <v>南北</v>
      </c>
      <c r="I273" s="197">
        <f t="shared" si="62"/>
        <v>1</v>
      </c>
      <c r="J273" s="995"/>
      <c r="K273" s="197">
        <f t="shared" si="63"/>
        <v>1</v>
      </c>
      <c r="L273" s="995"/>
      <c r="M273" s="197">
        <f t="shared" si="64"/>
        <v>1</v>
      </c>
      <c r="N273" s="995"/>
      <c r="O273" s="197">
        <f t="shared" si="65"/>
        <v>1</v>
      </c>
      <c r="P273" s="995"/>
      <c r="Q273" s="197">
        <f t="shared" si="66"/>
        <v>1</v>
      </c>
      <c r="R273" s="991">
        <f t="shared" ca="1" si="71"/>
        <v>16569</v>
      </c>
      <c r="S273" s="552">
        <f t="shared" ca="1" si="72"/>
        <v>1458072</v>
      </c>
      <c r="T273" s="2010">
        <f t="shared" ca="1" si="73"/>
        <v>146</v>
      </c>
      <c r="U273" s="2305">
        <f t="shared" si="67"/>
        <v>0</v>
      </c>
      <c r="V273" s="2305">
        <f t="shared" si="68"/>
        <v>0</v>
      </c>
      <c r="W273" s="2300"/>
      <c r="X273" s="2305">
        <f t="shared" si="69"/>
        <v>0</v>
      </c>
      <c r="Y273" s="2305">
        <f t="shared" si="70"/>
        <v>0</v>
      </c>
      <c r="Z273" s="2300"/>
    </row>
    <row r="274" spans="1:26">
      <c r="A274" s="292" t="str">
        <f>'7.15'!B252</f>
        <v>8幢1单元1203室</v>
      </c>
      <c r="B274" s="207">
        <f>'7.17'!G252</f>
        <v>88</v>
      </c>
      <c r="C274" s="197">
        <f t="shared" si="59"/>
        <v>1</v>
      </c>
      <c r="D274" s="995" t="s">
        <v>7609</v>
      </c>
      <c r="E274" s="197">
        <f t="shared" si="60"/>
        <v>1.04</v>
      </c>
      <c r="F274" s="995" t="str">
        <f>'7.15'!D252</f>
        <v>平层</v>
      </c>
      <c r="G274" s="197">
        <f t="shared" si="61"/>
        <v>1</v>
      </c>
      <c r="H274" s="995" t="str">
        <f>'7.15'!E252</f>
        <v>南北</v>
      </c>
      <c r="I274" s="197">
        <f t="shared" si="62"/>
        <v>1</v>
      </c>
      <c r="J274" s="995"/>
      <c r="K274" s="197">
        <f t="shared" si="63"/>
        <v>1</v>
      </c>
      <c r="L274" s="995"/>
      <c r="M274" s="197">
        <f t="shared" si="64"/>
        <v>1</v>
      </c>
      <c r="N274" s="995"/>
      <c r="O274" s="197">
        <f t="shared" si="65"/>
        <v>1</v>
      </c>
      <c r="P274" s="995"/>
      <c r="Q274" s="197">
        <f t="shared" si="66"/>
        <v>1</v>
      </c>
      <c r="R274" s="991">
        <f t="shared" ca="1" si="71"/>
        <v>16569</v>
      </c>
      <c r="S274" s="552">
        <f t="shared" ca="1" si="72"/>
        <v>1458072</v>
      </c>
      <c r="T274" s="2010">
        <f t="shared" ca="1" si="73"/>
        <v>146</v>
      </c>
      <c r="U274" s="2305">
        <f t="shared" si="67"/>
        <v>0</v>
      </c>
      <c r="V274" s="2305">
        <f t="shared" si="68"/>
        <v>0</v>
      </c>
      <c r="W274" s="2300"/>
      <c r="X274" s="2305">
        <f t="shared" si="69"/>
        <v>0</v>
      </c>
      <c r="Y274" s="2305">
        <f t="shared" si="70"/>
        <v>0</v>
      </c>
      <c r="Z274" s="2300"/>
    </row>
    <row r="275" spans="1:26">
      <c r="A275" s="292" t="str">
        <f>'7.15'!B253</f>
        <v>8幢1单元1303室</v>
      </c>
      <c r="B275" s="207">
        <f>'7.17'!G253</f>
        <v>88</v>
      </c>
      <c r="C275" s="197">
        <f t="shared" si="59"/>
        <v>1</v>
      </c>
      <c r="D275" s="995" t="s">
        <v>7609</v>
      </c>
      <c r="E275" s="197">
        <f t="shared" si="60"/>
        <v>1.04</v>
      </c>
      <c r="F275" s="995" t="str">
        <f>'7.15'!D253</f>
        <v>平层</v>
      </c>
      <c r="G275" s="197">
        <f t="shared" si="61"/>
        <v>1</v>
      </c>
      <c r="H275" s="995" t="str">
        <f>'7.15'!E253</f>
        <v>南北</v>
      </c>
      <c r="I275" s="197">
        <f t="shared" si="62"/>
        <v>1</v>
      </c>
      <c r="J275" s="995"/>
      <c r="K275" s="197">
        <f t="shared" si="63"/>
        <v>1</v>
      </c>
      <c r="L275" s="995"/>
      <c r="M275" s="197">
        <f t="shared" si="64"/>
        <v>1</v>
      </c>
      <c r="N275" s="995"/>
      <c r="O275" s="197">
        <f t="shared" si="65"/>
        <v>1</v>
      </c>
      <c r="P275" s="995"/>
      <c r="Q275" s="197">
        <f t="shared" si="66"/>
        <v>1</v>
      </c>
      <c r="R275" s="991">
        <f t="shared" ca="1" si="71"/>
        <v>16569</v>
      </c>
      <c r="S275" s="552">
        <f t="shared" ca="1" si="72"/>
        <v>1458072</v>
      </c>
      <c r="T275" s="2010">
        <f t="shared" ca="1" si="73"/>
        <v>146</v>
      </c>
      <c r="U275" s="2305">
        <f t="shared" si="67"/>
        <v>0</v>
      </c>
      <c r="V275" s="2305">
        <f t="shared" si="68"/>
        <v>0</v>
      </c>
      <c r="W275" s="2300"/>
      <c r="X275" s="2305">
        <f t="shared" si="69"/>
        <v>0</v>
      </c>
      <c r="Y275" s="2305">
        <f t="shared" si="70"/>
        <v>0</v>
      </c>
      <c r="Z275" s="2300"/>
    </row>
    <row r="276" spans="1:26">
      <c r="A276" s="292" t="str">
        <f>'7.15'!B254</f>
        <v>8幢1单元1403室</v>
      </c>
      <c r="B276" s="207">
        <f>'7.17'!G254</f>
        <v>88</v>
      </c>
      <c r="C276" s="197">
        <f t="shared" si="59"/>
        <v>1</v>
      </c>
      <c r="D276" s="995" t="s">
        <v>7609</v>
      </c>
      <c r="E276" s="197">
        <f t="shared" si="60"/>
        <v>1.04</v>
      </c>
      <c r="F276" s="995" t="str">
        <f>'7.15'!D254</f>
        <v>平层</v>
      </c>
      <c r="G276" s="197">
        <f t="shared" si="61"/>
        <v>1</v>
      </c>
      <c r="H276" s="995" t="str">
        <f>'7.15'!E254</f>
        <v>南北</v>
      </c>
      <c r="I276" s="197">
        <f t="shared" si="62"/>
        <v>1</v>
      </c>
      <c r="J276" s="995"/>
      <c r="K276" s="197">
        <f t="shared" si="63"/>
        <v>1</v>
      </c>
      <c r="L276" s="995"/>
      <c r="M276" s="197">
        <f t="shared" si="64"/>
        <v>1</v>
      </c>
      <c r="N276" s="995"/>
      <c r="O276" s="197">
        <f t="shared" si="65"/>
        <v>1</v>
      </c>
      <c r="P276" s="995"/>
      <c r="Q276" s="197">
        <f t="shared" si="66"/>
        <v>1</v>
      </c>
      <c r="R276" s="991">
        <f t="shared" ca="1" si="71"/>
        <v>16569</v>
      </c>
      <c r="S276" s="552">
        <f t="shared" ca="1" si="72"/>
        <v>1458072</v>
      </c>
      <c r="T276" s="2010">
        <f t="shared" ca="1" si="73"/>
        <v>146</v>
      </c>
      <c r="U276" s="2305">
        <f t="shared" si="67"/>
        <v>0</v>
      </c>
      <c r="V276" s="2305">
        <f t="shared" si="68"/>
        <v>0</v>
      </c>
      <c r="W276" s="2300"/>
      <c r="X276" s="2305">
        <f t="shared" si="69"/>
        <v>0</v>
      </c>
      <c r="Y276" s="2305">
        <f t="shared" si="70"/>
        <v>0</v>
      </c>
      <c r="Z276" s="2300"/>
    </row>
    <row r="277" spans="1:26">
      <c r="A277" s="292" t="str">
        <f>'7.15'!B255</f>
        <v>8幢1单元1503室</v>
      </c>
      <c r="B277" s="207">
        <f>'7.17'!G255</f>
        <v>88</v>
      </c>
      <c r="C277" s="197">
        <f t="shared" si="59"/>
        <v>1</v>
      </c>
      <c r="D277" s="995" t="s">
        <v>7609</v>
      </c>
      <c r="E277" s="197">
        <f t="shared" si="60"/>
        <v>1.04</v>
      </c>
      <c r="F277" s="995" t="str">
        <f>'7.15'!D255</f>
        <v>平层</v>
      </c>
      <c r="G277" s="197">
        <f t="shared" si="61"/>
        <v>1</v>
      </c>
      <c r="H277" s="995" t="str">
        <f>'7.15'!E255</f>
        <v>南北</v>
      </c>
      <c r="I277" s="197">
        <f t="shared" si="62"/>
        <v>1</v>
      </c>
      <c r="J277" s="995"/>
      <c r="K277" s="197">
        <f t="shared" si="63"/>
        <v>1</v>
      </c>
      <c r="L277" s="995"/>
      <c r="M277" s="197">
        <f t="shared" si="64"/>
        <v>1</v>
      </c>
      <c r="N277" s="995"/>
      <c r="O277" s="197">
        <f t="shared" si="65"/>
        <v>1</v>
      </c>
      <c r="P277" s="995"/>
      <c r="Q277" s="197">
        <f t="shared" si="66"/>
        <v>1</v>
      </c>
      <c r="R277" s="991">
        <f t="shared" ca="1" si="71"/>
        <v>16569</v>
      </c>
      <c r="S277" s="552">
        <f t="shared" ca="1" si="72"/>
        <v>1458072</v>
      </c>
      <c r="T277" s="2010">
        <f t="shared" ca="1" si="73"/>
        <v>146</v>
      </c>
      <c r="U277" s="2305">
        <f t="shared" si="67"/>
        <v>0</v>
      </c>
      <c r="V277" s="2305">
        <f t="shared" si="68"/>
        <v>0</v>
      </c>
      <c r="W277" s="2300"/>
      <c r="X277" s="2305">
        <f t="shared" si="69"/>
        <v>0</v>
      </c>
      <c r="Y277" s="2305">
        <f t="shared" si="70"/>
        <v>0</v>
      </c>
      <c r="Z277" s="2300"/>
    </row>
    <row r="278" spans="1:26">
      <c r="A278" s="292" t="str">
        <f>'7.15'!B256</f>
        <v>8幢1单元1603室</v>
      </c>
      <c r="B278" s="207">
        <f>'7.17'!G256</f>
        <v>88</v>
      </c>
      <c r="C278" s="197">
        <f t="shared" si="59"/>
        <v>1</v>
      </c>
      <c r="D278" s="995" t="s">
        <v>7609</v>
      </c>
      <c r="E278" s="197">
        <f t="shared" si="60"/>
        <v>1.04</v>
      </c>
      <c r="F278" s="995" t="str">
        <f>'7.15'!D256</f>
        <v>平层</v>
      </c>
      <c r="G278" s="197">
        <f t="shared" si="61"/>
        <v>1</v>
      </c>
      <c r="H278" s="995" t="str">
        <f>'7.15'!E256</f>
        <v>南北</v>
      </c>
      <c r="I278" s="197">
        <f t="shared" si="62"/>
        <v>1</v>
      </c>
      <c r="J278" s="995"/>
      <c r="K278" s="197">
        <f t="shared" si="63"/>
        <v>1</v>
      </c>
      <c r="L278" s="995"/>
      <c r="M278" s="197">
        <f t="shared" si="64"/>
        <v>1</v>
      </c>
      <c r="N278" s="995"/>
      <c r="O278" s="197">
        <f t="shared" si="65"/>
        <v>1</v>
      </c>
      <c r="P278" s="995"/>
      <c r="Q278" s="197">
        <f t="shared" si="66"/>
        <v>1</v>
      </c>
      <c r="R278" s="991">
        <f t="shared" ca="1" si="71"/>
        <v>16569</v>
      </c>
      <c r="S278" s="552">
        <f t="shared" ca="1" si="72"/>
        <v>1458072</v>
      </c>
      <c r="T278" s="2010">
        <f t="shared" ca="1" si="73"/>
        <v>146</v>
      </c>
      <c r="U278" s="2305">
        <f t="shared" si="67"/>
        <v>0</v>
      </c>
      <c r="V278" s="2305">
        <f t="shared" si="68"/>
        <v>0</v>
      </c>
      <c r="W278" s="2300"/>
      <c r="X278" s="2305">
        <f t="shared" si="69"/>
        <v>0</v>
      </c>
      <c r="Y278" s="2305">
        <f t="shared" si="70"/>
        <v>0</v>
      </c>
      <c r="Z278" s="2300"/>
    </row>
    <row r="279" spans="1:26">
      <c r="A279" s="292" t="str">
        <f>'7.15'!B257</f>
        <v>8幢1单元1703室</v>
      </c>
      <c r="B279" s="207">
        <f>'7.17'!G257</f>
        <v>88</v>
      </c>
      <c r="C279" s="197">
        <f t="shared" si="59"/>
        <v>1</v>
      </c>
      <c r="D279" s="995" t="s">
        <v>7609</v>
      </c>
      <c r="E279" s="197">
        <f t="shared" si="60"/>
        <v>1.04</v>
      </c>
      <c r="F279" s="995" t="str">
        <f>'7.15'!D257</f>
        <v>平层</v>
      </c>
      <c r="G279" s="197">
        <f t="shared" si="61"/>
        <v>1</v>
      </c>
      <c r="H279" s="995" t="str">
        <f>'7.15'!E257</f>
        <v>南北</v>
      </c>
      <c r="I279" s="197">
        <f t="shared" si="62"/>
        <v>1</v>
      </c>
      <c r="J279" s="995"/>
      <c r="K279" s="197">
        <f t="shared" si="63"/>
        <v>1</v>
      </c>
      <c r="L279" s="995"/>
      <c r="M279" s="197">
        <f t="shared" si="64"/>
        <v>1</v>
      </c>
      <c r="N279" s="995"/>
      <c r="O279" s="197">
        <f t="shared" si="65"/>
        <v>1</v>
      </c>
      <c r="P279" s="995"/>
      <c r="Q279" s="197">
        <f t="shared" si="66"/>
        <v>1</v>
      </c>
      <c r="R279" s="991">
        <f t="shared" ca="1" si="71"/>
        <v>16569</v>
      </c>
      <c r="S279" s="552">
        <f t="shared" ca="1" si="72"/>
        <v>1458072</v>
      </c>
      <c r="T279" s="2010">
        <f t="shared" ca="1" si="73"/>
        <v>146</v>
      </c>
      <c r="U279" s="2305">
        <f t="shared" si="67"/>
        <v>0</v>
      </c>
      <c r="V279" s="2305">
        <f t="shared" si="68"/>
        <v>0</v>
      </c>
      <c r="W279" s="2300"/>
      <c r="X279" s="2305">
        <f t="shared" si="69"/>
        <v>0</v>
      </c>
      <c r="Y279" s="2305">
        <f t="shared" si="70"/>
        <v>0</v>
      </c>
      <c r="Z279" s="2300"/>
    </row>
    <row r="280" spans="1:26">
      <c r="A280" s="292" t="str">
        <f>'7.15'!B258</f>
        <v>8幢1单元1803室</v>
      </c>
      <c r="B280" s="207">
        <f>'7.17'!G258</f>
        <v>88</v>
      </c>
      <c r="C280" s="197">
        <f t="shared" si="59"/>
        <v>1</v>
      </c>
      <c r="D280" s="995" t="s">
        <v>7609</v>
      </c>
      <c r="E280" s="197">
        <f t="shared" si="60"/>
        <v>1.04</v>
      </c>
      <c r="F280" s="995" t="str">
        <f>'7.15'!D258</f>
        <v>平层</v>
      </c>
      <c r="G280" s="197">
        <f t="shared" si="61"/>
        <v>1</v>
      </c>
      <c r="H280" s="995" t="str">
        <f>'7.15'!E258</f>
        <v>南北</v>
      </c>
      <c r="I280" s="197">
        <f t="shared" si="62"/>
        <v>1</v>
      </c>
      <c r="J280" s="995"/>
      <c r="K280" s="197">
        <f t="shared" si="63"/>
        <v>1</v>
      </c>
      <c r="L280" s="995"/>
      <c r="M280" s="197">
        <f t="shared" si="64"/>
        <v>1</v>
      </c>
      <c r="N280" s="995"/>
      <c r="O280" s="197">
        <f t="shared" si="65"/>
        <v>1</v>
      </c>
      <c r="P280" s="995"/>
      <c r="Q280" s="197">
        <f t="shared" si="66"/>
        <v>1</v>
      </c>
      <c r="R280" s="991">
        <f t="shared" ca="1" si="71"/>
        <v>16569</v>
      </c>
      <c r="S280" s="552">
        <f t="shared" ca="1" si="72"/>
        <v>1458072</v>
      </c>
      <c r="T280" s="2010">
        <f t="shared" ca="1" si="73"/>
        <v>146</v>
      </c>
      <c r="U280" s="2305">
        <f t="shared" si="67"/>
        <v>0</v>
      </c>
      <c r="V280" s="2305">
        <f t="shared" si="68"/>
        <v>0</v>
      </c>
      <c r="W280" s="2300"/>
      <c r="X280" s="2305">
        <f t="shared" si="69"/>
        <v>0</v>
      </c>
      <c r="Y280" s="2305">
        <f t="shared" si="70"/>
        <v>0</v>
      </c>
      <c r="Z280" s="2300"/>
    </row>
    <row r="281" spans="1:26">
      <c r="A281" s="292" t="str">
        <f>'7.15'!B259</f>
        <v>8幢1单元1903室</v>
      </c>
      <c r="B281" s="207">
        <f>'7.17'!G259</f>
        <v>88</v>
      </c>
      <c r="C281" s="197">
        <f t="shared" si="59"/>
        <v>1</v>
      </c>
      <c r="D281" s="995" t="s">
        <v>7609</v>
      </c>
      <c r="E281" s="197">
        <f t="shared" si="60"/>
        <v>1.04</v>
      </c>
      <c r="F281" s="995" t="str">
        <f>'7.15'!D259</f>
        <v>平层</v>
      </c>
      <c r="G281" s="197">
        <f t="shared" si="61"/>
        <v>1</v>
      </c>
      <c r="H281" s="995" t="str">
        <f>'7.15'!E259</f>
        <v>南北</v>
      </c>
      <c r="I281" s="197">
        <f t="shared" si="62"/>
        <v>1</v>
      </c>
      <c r="J281" s="995"/>
      <c r="K281" s="197">
        <f t="shared" si="63"/>
        <v>1</v>
      </c>
      <c r="L281" s="995"/>
      <c r="M281" s="197">
        <f t="shared" si="64"/>
        <v>1</v>
      </c>
      <c r="N281" s="995"/>
      <c r="O281" s="197">
        <f t="shared" si="65"/>
        <v>1</v>
      </c>
      <c r="P281" s="995"/>
      <c r="Q281" s="197">
        <f t="shared" si="66"/>
        <v>1</v>
      </c>
      <c r="R281" s="991">
        <f t="shared" ca="1" si="71"/>
        <v>16569</v>
      </c>
      <c r="S281" s="552">
        <f t="shared" ca="1" si="72"/>
        <v>1458072</v>
      </c>
      <c r="T281" s="2010">
        <f t="shared" ca="1" si="73"/>
        <v>146</v>
      </c>
      <c r="U281" s="2305">
        <f t="shared" si="67"/>
        <v>0</v>
      </c>
      <c r="V281" s="2305">
        <f t="shared" si="68"/>
        <v>0</v>
      </c>
      <c r="W281" s="2300"/>
      <c r="X281" s="2305">
        <f t="shared" si="69"/>
        <v>0</v>
      </c>
      <c r="Y281" s="2305">
        <f t="shared" si="70"/>
        <v>0</v>
      </c>
      <c r="Z281" s="2300"/>
    </row>
    <row r="282" spans="1:26">
      <c r="A282" s="292" t="str">
        <f>'7.15'!B260</f>
        <v>8幢1单元2003室</v>
      </c>
      <c r="B282" s="207">
        <f>'7.17'!G260</f>
        <v>88</v>
      </c>
      <c r="C282" s="197">
        <f t="shared" si="59"/>
        <v>1</v>
      </c>
      <c r="D282" s="995" t="s">
        <v>7609</v>
      </c>
      <c r="E282" s="197">
        <f t="shared" si="60"/>
        <v>1.04</v>
      </c>
      <c r="F282" s="995" t="str">
        <f>'7.15'!D260</f>
        <v>平层</v>
      </c>
      <c r="G282" s="197">
        <f t="shared" si="61"/>
        <v>1</v>
      </c>
      <c r="H282" s="995" t="str">
        <f>'7.15'!E260</f>
        <v>南北</v>
      </c>
      <c r="I282" s="197">
        <f t="shared" si="62"/>
        <v>1</v>
      </c>
      <c r="J282" s="995"/>
      <c r="K282" s="197">
        <f t="shared" si="63"/>
        <v>1</v>
      </c>
      <c r="L282" s="995"/>
      <c r="M282" s="197">
        <f t="shared" si="64"/>
        <v>1</v>
      </c>
      <c r="N282" s="995"/>
      <c r="O282" s="197">
        <f t="shared" si="65"/>
        <v>1</v>
      </c>
      <c r="P282" s="995"/>
      <c r="Q282" s="197">
        <f t="shared" si="66"/>
        <v>1</v>
      </c>
      <c r="R282" s="991">
        <f t="shared" ca="1" si="71"/>
        <v>16569</v>
      </c>
      <c r="S282" s="552">
        <f t="shared" ca="1" si="72"/>
        <v>1458072</v>
      </c>
      <c r="T282" s="2010">
        <f t="shared" ca="1" si="73"/>
        <v>146</v>
      </c>
      <c r="U282" s="2305">
        <f t="shared" si="67"/>
        <v>0</v>
      </c>
      <c r="V282" s="2305">
        <f t="shared" si="68"/>
        <v>0</v>
      </c>
      <c r="W282" s="2300"/>
      <c r="X282" s="2305">
        <f t="shared" si="69"/>
        <v>0</v>
      </c>
      <c r="Y282" s="2305">
        <f t="shared" si="70"/>
        <v>0</v>
      </c>
      <c r="Z282" s="2300"/>
    </row>
    <row r="283" spans="1:26">
      <c r="A283" s="292" t="str">
        <f>'7.15'!B261</f>
        <v>8幢1单元2103室</v>
      </c>
      <c r="B283" s="207">
        <f>'7.17'!G261</f>
        <v>88</v>
      </c>
      <c r="C283" s="197">
        <f t="shared" si="59"/>
        <v>1</v>
      </c>
      <c r="D283" s="995" t="s">
        <v>7608</v>
      </c>
      <c r="E283" s="197">
        <f t="shared" si="60"/>
        <v>1.02</v>
      </c>
      <c r="F283" s="995" t="str">
        <f>'7.15'!D261</f>
        <v>平层</v>
      </c>
      <c r="G283" s="197">
        <f t="shared" si="61"/>
        <v>1</v>
      </c>
      <c r="H283" s="995" t="str">
        <f>'7.15'!E261</f>
        <v>南北</v>
      </c>
      <c r="I283" s="197">
        <f t="shared" si="62"/>
        <v>1</v>
      </c>
      <c r="J283" s="995"/>
      <c r="K283" s="197">
        <f t="shared" si="63"/>
        <v>1</v>
      </c>
      <c r="L283" s="995"/>
      <c r="M283" s="197">
        <f t="shared" si="64"/>
        <v>1</v>
      </c>
      <c r="N283" s="995"/>
      <c r="O283" s="197">
        <f t="shared" si="65"/>
        <v>1</v>
      </c>
      <c r="P283" s="995"/>
      <c r="Q283" s="197">
        <f t="shared" si="66"/>
        <v>1</v>
      </c>
      <c r="R283" s="991">
        <f t="shared" ca="1" si="71"/>
        <v>16251</v>
      </c>
      <c r="S283" s="552">
        <f t="shared" ca="1" si="72"/>
        <v>1430088</v>
      </c>
      <c r="T283" s="2010">
        <f t="shared" ca="1" si="73"/>
        <v>143</v>
      </c>
      <c r="U283" s="2305">
        <f t="shared" si="67"/>
        <v>0</v>
      </c>
      <c r="V283" s="2305">
        <f t="shared" si="68"/>
        <v>0</v>
      </c>
      <c r="W283" s="2300"/>
      <c r="X283" s="2305">
        <f t="shared" si="69"/>
        <v>0</v>
      </c>
      <c r="Y283" s="2305">
        <f t="shared" si="70"/>
        <v>0</v>
      </c>
      <c r="Z283" s="2300"/>
    </row>
    <row r="284" spans="1:26">
      <c r="A284" s="292" t="str">
        <f>'7.15'!B262</f>
        <v>8幢1单元2203室</v>
      </c>
      <c r="B284" s="207">
        <f>'7.17'!G262</f>
        <v>88</v>
      </c>
      <c r="C284" s="197">
        <f t="shared" ref="C284:C347" si="74">IF(B284="",1,(LOOKUP(B284,$6:$6,$7:$7)-LOOKUP($B$27,$6:$6,$7:$7)+100)/100)</f>
        <v>1</v>
      </c>
      <c r="D284" s="995" t="s">
        <v>7608</v>
      </c>
      <c r="E284" s="197">
        <f t="shared" ref="E284:E347" si="75">(SUMIF($8:$8,D284,$9:$9)-SUMIF($8:$8,$D$27,$9:$9)+100)/100</f>
        <v>1.02</v>
      </c>
      <c r="F284" s="995" t="str">
        <f>'7.15'!D262</f>
        <v>平层</v>
      </c>
      <c r="G284" s="197">
        <f t="shared" ref="G284:G347" si="76">(SUMIF($10:$10,F284,$11:$11)-SUMIF($10:$10,$F$27,$11:$11)+100)/100</f>
        <v>1</v>
      </c>
      <c r="H284" s="995" t="str">
        <f>'7.15'!E262</f>
        <v>南北</v>
      </c>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ca="1" si="71"/>
        <v>16251</v>
      </c>
      <c r="S284" s="552">
        <f t="shared" ca="1" si="72"/>
        <v>1430088</v>
      </c>
      <c r="T284" s="2010">
        <f t="shared" ca="1" si="73"/>
        <v>143</v>
      </c>
      <c r="U284" s="2305">
        <f t="shared" ref="U284:U347" si="82">ROUND(W284*B284,0)</f>
        <v>0</v>
      </c>
      <c r="V284" s="2305">
        <f t="shared" ref="V284:V347" si="83">ROUND(W284*B284/10000,0)</f>
        <v>0</v>
      </c>
      <c r="W284" s="2300"/>
      <c r="X284" s="2305">
        <f t="shared" ref="X284:X347" si="84">ROUND(Z284*B284,0)</f>
        <v>0</v>
      </c>
      <c r="Y284" s="2305">
        <f t="shared" ref="Y284:Y347" si="85">ROUND(Z284*B284/10000,0)</f>
        <v>0</v>
      </c>
      <c r="Z284" s="2300"/>
    </row>
    <row r="285" spans="1:26">
      <c r="A285" s="292" t="str">
        <f>'7.15'!B263</f>
        <v>8幢1单元2303室</v>
      </c>
      <c r="B285" s="207">
        <f>'7.17'!G263</f>
        <v>88</v>
      </c>
      <c r="C285" s="197">
        <f t="shared" si="74"/>
        <v>1</v>
      </c>
      <c r="D285" s="995" t="s">
        <v>7608</v>
      </c>
      <c r="E285" s="197">
        <f t="shared" si="75"/>
        <v>1.02</v>
      </c>
      <c r="F285" s="995" t="str">
        <f>'7.15'!D263</f>
        <v>平层</v>
      </c>
      <c r="G285" s="197">
        <f t="shared" si="76"/>
        <v>1</v>
      </c>
      <c r="H285" s="995" t="str">
        <f>'7.15'!E263</f>
        <v>南北</v>
      </c>
      <c r="I285" s="197">
        <f t="shared" si="77"/>
        <v>1</v>
      </c>
      <c r="J285" s="995"/>
      <c r="K285" s="197">
        <f t="shared" si="78"/>
        <v>1</v>
      </c>
      <c r="L285" s="995"/>
      <c r="M285" s="197">
        <f t="shared" si="79"/>
        <v>1</v>
      </c>
      <c r="N285" s="995"/>
      <c r="O285" s="197">
        <f t="shared" si="80"/>
        <v>1</v>
      </c>
      <c r="P285" s="995"/>
      <c r="Q285" s="197">
        <f t="shared" si="81"/>
        <v>1</v>
      </c>
      <c r="R285" s="991">
        <f t="shared" ref="R285:R348" ca="1" si="86">IF(B285="",0,ROUND($R$27*C285*E285*G285*I285*K285*M285*O285*Q285,0))</f>
        <v>16251</v>
      </c>
      <c r="S285" s="552">
        <f t="shared" ref="S285:S348" ca="1" si="87">ROUND(R285*B285,0)</f>
        <v>1430088</v>
      </c>
      <c r="T285" s="2010">
        <f t="shared" ref="T285:T348" ca="1" si="88">ROUND(R285*B285/10000,0)</f>
        <v>143</v>
      </c>
      <c r="U285" s="2305">
        <f t="shared" si="82"/>
        <v>0</v>
      </c>
      <c r="V285" s="2305">
        <f t="shared" si="83"/>
        <v>0</v>
      </c>
      <c r="W285" s="2300"/>
      <c r="X285" s="2305">
        <f t="shared" si="84"/>
        <v>0</v>
      </c>
      <c r="Y285" s="2305">
        <f t="shared" si="85"/>
        <v>0</v>
      </c>
      <c r="Z285" s="2300"/>
    </row>
    <row r="286" spans="1:26">
      <c r="A286" s="292" t="str">
        <f>'7.15'!B264</f>
        <v>8幢1单元2403室</v>
      </c>
      <c r="B286" s="207">
        <f>'7.17'!G264</f>
        <v>88</v>
      </c>
      <c r="C286" s="197">
        <f t="shared" si="74"/>
        <v>1</v>
      </c>
      <c r="D286" s="995" t="s">
        <v>7608</v>
      </c>
      <c r="E286" s="197">
        <f t="shared" si="75"/>
        <v>1.02</v>
      </c>
      <c r="F286" s="995" t="str">
        <f>'7.15'!D264</f>
        <v>平层</v>
      </c>
      <c r="G286" s="197">
        <f t="shared" si="76"/>
        <v>1</v>
      </c>
      <c r="H286" s="995" t="str">
        <f>'7.15'!E264</f>
        <v>南北</v>
      </c>
      <c r="I286" s="197">
        <f t="shared" si="77"/>
        <v>1</v>
      </c>
      <c r="J286" s="995"/>
      <c r="K286" s="197">
        <f t="shared" si="78"/>
        <v>1</v>
      </c>
      <c r="L286" s="995"/>
      <c r="M286" s="197">
        <f t="shared" si="79"/>
        <v>1</v>
      </c>
      <c r="N286" s="995"/>
      <c r="O286" s="197">
        <f t="shared" si="80"/>
        <v>1</v>
      </c>
      <c r="P286" s="995"/>
      <c r="Q286" s="197">
        <f t="shared" si="81"/>
        <v>1</v>
      </c>
      <c r="R286" s="991">
        <f t="shared" ca="1" si="86"/>
        <v>16251</v>
      </c>
      <c r="S286" s="552">
        <f t="shared" ca="1" si="87"/>
        <v>1430088</v>
      </c>
      <c r="T286" s="2010">
        <f t="shared" ca="1" si="88"/>
        <v>143</v>
      </c>
      <c r="U286" s="2305">
        <f t="shared" si="82"/>
        <v>0</v>
      </c>
      <c r="V286" s="2305">
        <f t="shared" si="83"/>
        <v>0</v>
      </c>
      <c r="W286" s="2300"/>
      <c r="X286" s="2305">
        <f t="shared" si="84"/>
        <v>0</v>
      </c>
      <c r="Y286" s="2305">
        <f t="shared" si="85"/>
        <v>0</v>
      </c>
      <c r="Z286" s="2300"/>
    </row>
    <row r="287" spans="1:26">
      <c r="A287" s="292" t="str">
        <f>'7.15'!B265</f>
        <v>8幢1单元2503室</v>
      </c>
      <c r="B287" s="207">
        <f>'7.17'!G265</f>
        <v>88</v>
      </c>
      <c r="C287" s="197">
        <f t="shared" si="74"/>
        <v>1</v>
      </c>
      <c r="D287" s="995" t="s">
        <v>7608</v>
      </c>
      <c r="E287" s="197">
        <f t="shared" si="75"/>
        <v>1.02</v>
      </c>
      <c r="F287" s="995" t="str">
        <f>'7.15'!D265</f>
        <v>平层</v>
      </c>
      <c r="G287" s="197">
        <f t="shared" si="76"/>
        <v>1</v>
      </c>
      <c r="H287" s="995" t="str">
        <f>'7.15'!E265</f>
        <v>南北</v>
      </c>
      <c r="I287" s="197">
        <f t="shared" si="77"/>
        <v>1</v>
      </c>
      <c r="J287" s="995"/>
      <c r="K287" s="197">
        <f t="shared" si="78"/>
        <v>1</v>
      </c>
      <c r="L287" s="995"/>
      <c r="M287" s="197">
        <f t="shared" si="79"/>
        <v>1</v>
      </c>
      <c r="N287" s="995"/>
      <c r="O287" s="197">
        <f t="shared" si="80"/>
        <v>1</v>
      </c>
      <c r="P287" s="995"/>
      <c r="Q287" s="197">
        <f t="shared" si="81"/>
        <v>1</v>
      </c>
      <c r="R287" s="991">
        <f t="shared" ca="1" si="86"/>
        <v>16251</v>
      </c>
      <c r="S287" s="552">
        <f t="shared" ca="1" si="87"/>
        <v>1430088</v>
      </c>
      <c r="T287" s="2010">
        <f t="shared" ca="1" si="88"/>
        <v>143</v>
      </c>
      <c r="U287" s="2305">
        <f t="shared" si="82"/>
        <v>0</v>
      </c>
      <c r="V287" s="2305">
        <f t="shared" si="83"/>
        <v>0</v>
      </c>
      <c r="W287" s="2300"/>
      <c r="X287" s="2305">
        <f t="shared" si="84"/>
        <v>0</v>
      </c>
      <c r="Y287" s="2305">
        <f t="shared" si="85"/>
        <v>0</v>
      </c>
      <c r="Z287" s="2300"/>
    </row>
    <row r="288" spans="1:26">
      <c r="A288" s="292" t="str">
        <f>'7.15'!B266</f>
        <v>8幢1单元2603室</v>
      </c>
      <c r="B288" s="207">
        <f>'7.17'!G266</f>
        <v>88</v>
      </c>
      <c r="C288" s="197">
        <f t="shared" si="74"/>
        <v>1</v>
      </c>
      <c r="D288" s="995" t="s">
        <v>7608</v>
      </c>
      <c r="E288" s="197">
        <f t="shared" si="75"/>
        <v>1.02</v>
      </c>
      <c r="F288" s="995" t="str">
        <f>'7.15'!D266</f>
        <v>平层</v>
      </c>
      <c r="G288" s="197">
        <f t="shared" si="76"/>
        <v>1</v>
      </c>
      <c r="H288" s="995" t="str">
        <f>'7.15'!E266</f>
        <v>南北</v>
      </c>
      <c r="I288" s="197">
        <f t="shared" si="77"/>
        <v>1</v>
      </c>
      <c r="J288" s="995"/>
      <c r="K288" s="197">
        <f t="shared" si="78"/>
        <v>1</v>
      </c>
      <c r="L288" s="995"/>
      <c r="M288" s="197">
        <f t="shared" si="79"/>
        <v>1</v>
      </c>
      <c r="N288" s="995"/>
      <c r="O288" s="197">
        <f t="shared" si="80"/>
        <v>1</v>
      </c>
      <c r="P288" s="995"/>
      <c r="Q288" s="197">
        <f t="shared" si="81"/>
        <v>1</v>
      </c>
      <c r="R288" s="991">
        <f t="shared" ca="1" si="86"/>
        <v>16251</v>
      </c>
      <c r="S288" s="552">
        <f t="shared" ca="1" si="87"/>
        <v>1430088</v>
      </c>
      <c r="T288" s="2010">
        <f t="shared" ca="1" si="88"/>
        <v>143</v>
      </c>
      <c r="U288" s="2305">
        <f t="shared" si="82"/>
        <v>0</v>
      </c>
      <c r="V288" s="2305">
        <f t="shared" si="83"/>
        <v>0</v>
      </c>
      <c r="W288" s="2300"/>
      <c r="X288" s="2305">
        <f t="shared" si="84"/>
        <v>0</v>
      </c>
      <c r="Y288" s="2305">
        <f t="shared" si="85"/>
        <v>0</v>
      </c>
      <c r="Z288" s="2300"/>
    </row>
    <row r="289" spans="1:26">
      <c r="A289" s="292" t="str">
        <f>'7.15'!B267</f>
        <v>8幢1单元2703室</v>
      </c>
      <c r="B289" s="207">
        <f>'7.17'!G267</f>
        <v>88</v>
      </c>
      <c r="C289" s="197">
        <f t="shared" si="74"/>
        <v>1</v>
      </c>
      <c r="D289" s="995" t="s">
        <v>7608</v>
      </c>
      <c r="E289" s="197">
        <f t="shared" si="75"/>
        <v>1.02</v>
      </c>
      <c r="F289" s="995" t="str">
        <f>'7.15'!D267</f>
        <v>平层</v>
      </c>
      <c r="G289" s="197">
        <f t="shared" si="76"/>
        <v>1</v>
      </c>
      <c r="H289" s="995" t="str">
        <f>'7.15'!E267</f>
        <v>南北</v>
      </c>
      <c r="I289" s="197">
        <f t="shared" si="77"/>
        <v>1</v>
      </c>
      <c r="J289" s="995"/>
      <c r="K289" s="197">
        <f t="shared" si="78"/>
        <v>1</v>
      </c>
      <c r="L289" s="995"/>
      <c r="M289" s="197">
        <f t="shared" si="79"/>
        <v>1</v>
      </c>
      <c r="N289" s="995"/>
      <c r="O289" s="197">
        <f t="shared" si="80"/>
        <v>1</v>
      </c>
      <c r="P289" s="995"/>
      <c r="Q289" s="197">
        <f t="shared" si="81"/>
        <v>1</v>
      </c>
      <c r="R289" s="991">
        <f t="shared" ca="1" si="86"/>
        <v>16251</v>
      </c>
      <c r="S289" s="552">
        <f t="shared" ca="1" si="87"/>
        <v>1430088</v>
      </c>
      <c r="T289" s="2010">
        <f t="shared" ca="1" si="88"/>
        <v>143</v>
      </c>
      <c r="U289" s="2305">
        <f t="shared" si="82"/>
        <v>0</v>
      </c>
      <c r="V289" s="2305">
        <f t="shared" si="83"/>
        <v>0</v>
      </c>
      <c r="W289" s="2300"/>
      <c r="X289" s="2305">
        <f t="shared" si="84"/>
        <v>0</v>
      </c>
      <c r="Y289" s="2305">
        <f t="shared" si="85"/>
        <v>0</v>
      </c>
      <c r="Z289" s="2300"/>
    </row>
    <row r="290" spans="1:26">
      <c r="A290" s="292" t="str">
        <f>'7.15'!B268</f>
        <v>8幢1单元2803室</v>
      </c>
      <c r="B290" s="207">
        <f>'7.17'!G268</f>
        <v>88</v>
      </c>
      <c r="C290" s="197">
        <f t="shared" si="74"/>
        <v>1</v>
      </c>
      <c r="D290" s="995" t="s">
        <v>7608</v>
      </c>
      <c r="E290" s="197">
        <f t="shared" si="75"/>
        <v>1.02</v>
      </c>
      <c r="F290" s="995" t="str">
        <f>'7.15'!D268</f>
        <v>平层</v>
      </c>
      <c r="G290" s="197">
        <f t="shared" si="76"/>
        <v>1</v>
      </c>
      <c r="H290" s="995" t="str">
        <f>'7.15'!E268</f>
        <v>南北</v>
      </c>
      <c r="I290" s="197">
        <f t="shared" si="77"/>
        <v>1</v>
      </c>
      <c r="J290" s="995"/>
      <c r="K290" s="197">
        <f t="shared" si="78"/>
        <v>1</v>
      </c>
      <c r="L290" s="995"/>
      <c r="M290" s="197">
        <f t="shared" si="79"/>
        <v>1</v>
      </c>
      <c r="N290" s="995"/>
      <c r="O290" s="197">
        <f t="shared" si="80"/>
        <v>1</v>
      </c>
      <c r="P290" s="995"/>
      <c r="Q290" s="197">
        <f t="shared" si="81"/>
        <v>1</v>
      </c>
      <c r="R290" s="991">
        <f t="shared" ca="1" si="86"/>
        <v>16251</v>
      </c>
      <c r="S290" s="552">
        <f t="shared" ca="1" si="87"/>
        <v>1430088</v>
      </c>
      <c r="T290" s="2010">
        <f t="shared" ca="1" si="88"/>
        <v>143</v>
      </c>
      <c r="U290" s="2305">
        <f t="shared" si="82"/>
        <v>0</v>
      </c>
      <c r="V290" s="2305">
        <f t="shared" si="83"/>
        <v>0</v>
      </c>
      <c r="W290" s="2300"/>
      <c r="X290" s="2305">
        <f t="shared" si="84"/>
        <v>0</v>
      </c>
      <c r="Y290" s="2305">
        <f t="shared" si="85"/>
        <v>0</v>
      </c>
      <c r="Z290" s="2300"/>
    </row>
    <row r="291" spans="1:26">
      <c r="A291" s="292" t="str">
        <f>'7.15'!B269</f>
        <v>8幢1单元2903室</v>
      </c>
      <c r="B291" s="207">
        <f>'7.17'!G269</f>
        <v>88</v>
      </c>
      <c r="C291" s="197">
        <f t="shared" si="74"/>
        <v>1</v>
      </c>
      <c r="D291" s="995" t="s">
        <v>7608</v>
      </c>
      <c r="E291" s="197">
        <f t="shared" si="75"/>
        <v>1.02</v>
      </c>
      <c r="F291" s="995" t="str">
        <f>'7.15'!D269</f>
        <v>平层</v>
      </c>
      <c r="G291" s="197">
        <f t="shared" si="76"/>
        <v>1</v>
      </c>
      <c r="H291" s="995" t="str">
        <f>'7.15'!E269</f>
        <v>南北</v>
      </c>
      <c r="I291" s="197">
        <f t="shared" si="77"/>
        <v>1</v>
      </c>
      <c r="J291" s="995"/>
      <c r="K291" s="197">
        <f t="shared" si="78"/>
        <v>1</v>
      </c>
      <c r="L291" s="995"/>
      <c r="M291" s="197">
        <f t="shared" si="79"/>
        <v>1</v>
      </c>
      <c r="N291" s="995"/>
      <c r="O291" s="197">
        <f t="shared" si="80"/>
        <v>1</v>
      </c>
      <c r="P291" s="995"/>
      <c r="Q291" s="197">
        <f t="shared" si="81"/>
        <v>1</v>
      </c>
      <c r="R291" s="991">
        <f t="shared" ca="1" si="86"/>
        <v>16251</v>
      </c>
      <c r="S291" s="552">
        <f t="shared" ca="1" si="87"/>
        <v>1430088</v>
      </c>
      <c r="T291" s="2010">
        <f t="shared" ca="1" si="88"/>
        <v>143</v>
      </c>
      <c r="U291" s="2305">
        <f t="shared" si="82"/>
        <v>0</v>
      </c>
      <c r="V291" s="2305">
        <f t="shared" si="83"/>
        <v>0</v>
      </c>
      <c r="W291" s="2300"/>
      <c r="X291" s="2305">
        <f t="shared" si="84"/>
        <v>0</v>
      </c>
      <c r="Y291" s="2305">
        <f t="shared" si="85"/>
        <v>0</v>
      </c>
      <c r="Z291" s="2300"/>
    </row>
    <row r="292" spans="1:26">
      <c r="A292" s="292" t="str">
        <f>'7.15'!B270</f>
        <v>8幢1单元3003室</v>
      </c>
      <c r="B292" s="207">
        <f>'7.17'!G270</f>
        <v>88.11</v>
      </c>
      <c r="C292" s="197">
        <f t="shared" si="74"/>
        <v>1</v>
      </c>
      <c r="D292" s="995" t="s">
        <v>7608</v>
      </c>
      <c r="E292" s="197">
        <f t="shared" si="75"/>
        <v>1.02</v>
      </c>
      <c r="F292" s="995" t="str">
        <f>'7.15'!D270</f>
        <v>平层</v>
      </c>
      <c r="G292" s="197">
        <f t="shared" si="76"/>
        <v>1</v>
      </c>
      <c r="H292" s="995" t="str">
        <f>'7.15'!E270</f>
        <v>南北</v>
      </c>
      <c r="I292" s="197">
        <f t="shared" si="77"/>
        <v>1</v>
      </c>
      <c r="J292" s="995"/>
      <c r="K292" s="197">
        <f t="shared" si="78"/>
        <v>1</v>
      </c>
      <c r="L292" s="995"/>
      <c r="M292" s="197">
        <f t="shared" si="79"/>
        <v>1</v>
      </c>
      <c r="N292" s="995"/>
      <c r="O292" s="197">
        <f t="shared" si="80"/>
        <v>1</v>
      </c>
      <c r="P292" s="995"/>
      <c r="Q292" s="197">
        <f t="shared" si="81"/>
        <v>1</v>
      </c>
      <c r="R292" s="991">
        <f t="shared" ca="1" si="86"/>
        <v>16251</v>
      </c>
      <c r="S292" s="552">
        <f t="shared" ca="1" si="87"/>
        <v>1431876</v>
      </c>
      <c r="T292" s="2010">
        <f t="shared" ca="1" si="88"/>
        <v>143</v>
      </c>
      <c r="U292" s="2305">
        <f t="shared" si="82"/>
        <v>0</v>
      </c>
      <c r="V292" s="2305">
        <f t="shared" si="83"/>
        <v>0</v>
      </c>
      <c r="W292" s="2300"/>
      <c r="X292" s="2305">
        <f t="shared" si="84"/>
        <v>0</v>
      </c>
      <c r="Y292" s="2305">
        <f t="shared" si="85"/>
        <v>0</v>
      </c>
      <c r="Z292" s="2300"/>
    </row>
    <row r="293" spans="1:26">
      <c r="A293" s="292" t="str">
        <f>'7.15'!B271</f>
        <v>8幢1单元204室</v>
      </c>
      <c r="B293" s="207">
        <f>'7.17'!G271</f>
        <v>107.91</v>
      </c>
      <c r="C293" s="197">
        <f t="shared" si="74"/>
        <v>1.01</v>
      </c>
      <c r="D293" s="995" t="s">
        <v>7606</v>
      </c>
      <c r="E293" s="197">
        <f t="shared" si="75"/>
        <v>1</v>
      </c>
      <c r="F293" s="995" t="str">
        <f>'7.15'!D271</f>
        <v>平层</v>
      </c>
      <c r="G293" s="197">
        <f t="shared" si="76"/>
        <v>1</v>
      </c>
      <c r="H293" s="995" t="str">
        <f>'7.15'!E271</f>
        <v>南北</v>
      </c>
      <c r="I293" s="197">
        <f t="shared" si="77"/>
        <v>1</v>
      </c>
      <c r="J293" s="995"/>
      <c r="K293" s="197">
        <f t="shared" si="78"/>
        <v>1</v>
      </c>
      <c r="L293" s="995"/>
      <c r="M293" s="197">
        <f t="shared" si="79"/>
        <v>1</v>
      </c>
      <c r="N293" s="995"/>
      <c r="O293" s="197">
        <f t="shared" si="80"/>
        <v>1</v>
      </c>
      <c r="P293" s="995"/>
      <c r="Q293" s="197">
        <f t="shared" si="81"/>
        <v>1</v>
      </c>
      <c r="R293" s="991">
        <f t="shared" ca="1" si="86"/>
        <v>16091</v>
      </c>
      <c r="S293" s="552">
        <f t="shared" ca="1" si="87"/>
        <v>1736380</v>
      </c>
      <c r="T293" s="2010">
        <f t="shared" ca="1" si="88"/>
        <v>174</v>
      </c>
      <c r="U293" s="2305">
        <f t="shared" si="82"/>
        <v>0</v>
      </c>
      <c r="V293" s="2305">
        <f t="shared" si="83"/>
        <v>0</v>
      </c>
      <c r="W293" s="2300"/>
      <c r="X293" s="2305">
        <f t="shared" si="84"/>
        <v>0</v>
      </c>
      <c r="Y293" s="2305">
        <f t="shared" si="85"/>
        <v>0</v>
      </c>
      <c r="Z293" s="2300"/>
    </row>
    <row r="294" spans="1:26">
      <c r="A294" s="292" t="str">
        <f>'7.15'!B272</f>
        <v>8幢1单元304室</v>
      </c>
      <c r="B294" s="207">
        <f>'7.17'!G272</f>
        <v>107.91</v>
      </c>
      <c r="C294" s="197">
        <f t="shared" si="74"/>
        <v>1.01</v>
      </c>
      <c r="D294" s="995" t="s">
        <v>7606</v>
      </c>
      <c r="E294" s="197">
        <f t="shared" si="75"/>
        <v>1</v>
      </c>
      <c r="F294" s="995" t="str">
        <f>'7.15'!D272</f>
        <v>平层</v>
      </c>
      <c r="G294" s="197">
        <f t="shared" si="76"/>
        <v>1</v>
      </c>
      <c r="H294" s="995" t="str">
        <f>'7.15'!E272</f>
        <v>南北</v>
      </c>
      <c r="I294" s="197">
        <f t="shared" si="77"/>
        <v>1</v>
      </c>
      <c r="J294" s="995"/>
      <c r="K294" s="197">
        <f t="shared" si="78"/>
        <v>1</v>
      </c>
      <c r="L294" s="995"/>
      <c r="M294" s="197">
        <f t="shared" si="79"/>
        <v>1</v>
      </c>
      <c r="N294" s="995"/>
      <c r="O294" s="197">
        <f t="shared" si="80"/>
        <v>1</v>
      </c>
      <c r="P294" s="995"/>
      <c r="Q294" s="197">
        <f t="shared" si="81"/>
        <v>1</v>
      </c>
      <c r="R294" s="991">
        <f t="shared" ca="1" si="86"/>
        <v>16091</v>
      </c>
      <c r="S294" s="552">
        <f t="shared" ca="1" si="87"/>
        <v>1736380</v>
      </c>
      <c r="T294" s="2010">
        <f t="shared" ca="1" si="88"/>
        <v>174</v>
      </c>
      <c r="U294" s="2305">
        <f t="shared" si="82"/>
        <v>0</v>
      </c>
      <c r="V294" s="2305">
        <f t="shared" si="83"/>
        <v>0</v>
      </c>
      <c r="W294" s="2300"/>
      <c r="X294" s="2305">
        <f t="shared" si="84"/>
        <v>0</v>
      </c>
      <c r="Y294" s="2305">
        <f t="shared" si="85"/>
        <v>0</v>
      </c>
      <c r="Z294" s="2300"/>
    </row>
    <row r="295" spans="1:26">
      <c r="A295" s="292" t="str">
        <f>'7.15'!B273</f>
        <v>8幢1单元404室</v>
      </c>
      <c r="B295" s="207">
        <f>'7.17'!G273</f>
        <v>107.91</v>
      </c>
      <c r="C295" s="197">
        <f t="shared" si="74"/>
        <v>1.01</v>
      </c>
      <c r="D295" s="995" t="s">
        <v>7606</v>
      </c>
      <c r="E295" s="197">
        <f t="shared" si="75"/>
        <v>1</v>
      </c>
      <c r="F295" s="995" t="str">
        <f>'7.15'!D273</f>
        <v>平层</v>
      </c>
      <c r="G295" s="197">
        <f t="shared" si="76"/>
        <v>1</v>
      </c>
      <c r="H295" s="995" t="str">
        <f>'7.15'!E273</f>
        <v>南北</v>
      </c>
      <c r="I295" s="197">
        <f t="shared" si="77"/>
        <v>1</v>
      </c>
      <c r="J295" s="995"/>
      <c r="K295" s="197">
        <f t="shared" si="78"/>
        <v>1</v>
      </c>
      <c r="L295" s="995"/>
      <c r="M295" s="197">
        <f t="shared" si="79"/>
        <v>1</v>
      </c>
      <c r="N295" s="995"/>
      <c r="O295" s="197">
        <f t="shared" si="80"/>
        <v>1</v>
      </c>
      <c r="P295" s="995"/>
      <c r="Q295" s="197">
        <f t="shared" si="81"/>
        <v>1</v>
      </c>
      <c r="R295" s="991">
        <f t="shared" ca="1" si="86"/>
        <v>16091</v>
      </c>
      <c r="S295" s="552">
        <f t="shared" ca="1" si="87"/>
        <v>1736380</v>
      </c>
      <c r="T295" s="2010">
        <f t="shared" ca="1" si="88"/>
        <v>174</v>
      </c>
      <c r="U295" s="2305">
        <f t="shared" si="82"/>
        <v>0</v>
      </c>
      <c r="V295" s="2305">
        <f t="shared" si="83"/>
        <v>0</v>
      </c>
      <c r="W295" s="2300"/>
      <c r="X295" s="2305">
        <f t="shared" si="84"/>
        <v>0</v>
      </c>
      <c r="Y295" s="2305">
        <f t="shared" si="85"/>
        <v>0</v>
      </c>
      <c r="Z295" s="2300"/>
    </row>
    <row r="296" spans="1:26">
      <c r="A296" s="292" t="str">
        <f>'7.15'!B274</f>
        <v>8幢1单元504室</v>
      </c>
      <c r="B296" s="207">
        <f>'7.17'!G274</f>
        <v>107.91</v>
      </c>
      <c r="C296" s="197">
        <f t="shared" si="74"/>
        <v>1.01</v>
      </c>
      <c r="D296" s="995" t="s">
        <v>7606</v>
      </c>
      <c r="E296" s="197">
        <f t="shared" si="75"/>
        <v>1</v>
      </c>
      <c r="F296" s="995" t="str">
        <f>'7.15'!D274</f>
        <v>平层</v>
      </c>
      <c r="G296" s="197">
        <f t="shared" si="76"/>
        <v>1</v>
      </c>
      <c r="H296" s="995" t="str">
        <f>'7.15'!E274</f>
        <v>南北</v>
      </c>
      <c r="I296" s="197">
        <f t="shared" si="77"/>
        <v>1</v>
      </c>
      <c r="J296" s="995"/>
      <c r="K296" s="197">
        <f t="shared" si="78"/>
        <v>1</v>
      </c>
      <c r="L296" s="995"/>
      <c r="M296" s="197">
        <f t="shared" si="79"/>
        <v>1</v>
      </c>
      <c r="N296" s="995"/>
      <c r="O296" s="197">
        <f t="shared" si="80"/>
        <v>1</v>
      </c>
      <c r="P296" s="995"/>
      <c r="Q296" s="197">
        <f t="shared" si="81"/>
        <v>1</v>
      </c>
      <c r="R296" s="991">
        <f t="shared" ca="1" si="86"/>
        <v>16091</v>
      </c>
      <c r="S296" s="552">
        <f t="shared" ca="1" si="87"/>
        <v>1736380</v>
      </c>
      <c r="T296" s="2010">
        <f t="shared" ca="1" si="88"/>
        <v>174</v>
      </c>
      <c r="U296" s="2305">
        <f t="shared" si="82"/>
        <v>0</v>
      </c>
      <c r="V296" s="2305">
        <f t="shared" si="83"/>
        <v>0</v>
      </c>
      <c r="W296" s="2300"/>
      <c r="X296" s="2305">
        <f t="shared" si="84"/>
        <v>0</v>
      </c>
      <c r="Y296" s="2305">
        <f t="shared" si="85"/>
        <v>0</v>
      </c>
      <c r="Z296" s="2300"/>
    </row>
    <row r="297" spans="1:26">
      <c r="A297" s="292" t="str">
        <f>'7.15'!B275</f>
        <v>8幢1单元604室</v>
      </c>
      <c r="B297" s="207">
        <f>'7.17'!G275</f>
        <v>107.91</v>
      </c>
      <c r="C297" s="197">
        <f t="shared" si="74"/>
        <v>1.01</v>
      </c>
      <c r="D297" s="995" t="s">
        <v>7606</v>
      </c>
      <c r="E297" s="197">
        <f t="shared" si="75"/>
        <v>1</v>
      </c>
      <c r="F297" s="995" t="str">
        <f>'7.15'!D275</f>
        <v>平层</v>
      </c>
      <c r="G297" s="197">
        <f t="shared" si="76"/>
        <v>1</v>
      </c>
      <c r="H297" s="995" t="str">
        <f>'7.15'!E275</f>
        <v>南北</v>
      </c>
      <c r="I297" s="197">
        <f t="shared" si="77"/>
        <v>1</v>
      </c>
      <c r="J297" s="995"/>
      <c r="K297" s="197">
        <f t="shared" si="78"/>
        <v>1</v>
      </c>
      <c r="L297" s="995"/>
      <c r="M297" s="197">
        <f t="shared" si="79"/>
        <v>1</v>
      </c>
      <c r="N297" s="995"/>
      <c r="O297" s="197">
        <f t="shared" si="80"/>
        <v>1</v>
      </c>
      <c r="P297" s="995"/>
      <c r="Q297" s="197">
        <f t="shared" si="81"/>
        <v>1</v>
      </c>
      <c r="R297" s="991">
        <f t="shared" ca="1" si="86"/>
        <v>16091</v>
      </c>
      <c r="S297" s="552">
        <f t="shared" ca="1" si="87"/>
        <v>1736380</v>
      </c>
      <c r="T297" s="2010">
        <f t="shared" ca="1" si="88"/>
        <v>174</v>
      </c>
      <c r="U297" s="2305">
        <f t="shared" si="82"/>
        <v>0</v>
      </c>
      <c r="V297" s="2305">
        <f t="shared" si="83"/>
        <v>0</v>
      </c>
      <c r="W297" s="2300"/>
      <c r="X297" s="2305">
        <f t="shared" si="84"/>
        <v>0</v>
      </c>
      <c r="Y297" s="2305">
        <f t="shared" si="85"/>
        <v>0</v>
      </c>
      <c r="Z297" s="2300"/>
    </row>
    <row r="298" spans="1:26">
      <c r="A298" s="292" t="str">
        <f>'7.15'!B276</f>
        <v>8幢1单元704室</v>
      </c>
      <c r="B298" s="207">
        <f>'7.17'!G276</f>
        <v>107.91</v>
      </c>
      <c r="C298" s="197">
        <f t="shared" si="74"/>
        <v>1.01</v>
      </c>
      <c r="D298" s="995" t="s">
        <v>7606</v>
      </c>
      <c r="E298" s="197">
        <f t="shared" si="75"/>
        <v>1</v>
      </c>
      <c r="F298" s="995" t="str">
        <f>'7.15'!D276</f>
        <v>平层</v>
      </c>
      <c r="G298" s="197">
        <f t="shared" si="76"/>
        <v>1</v>
      </c>
      <c r="H298" s="995" t="str">
        <f>'7.15'!E276</f>
        <v>南北</v>
      </c>
      <c r="I298" s="197">
        <f t="shared" si="77"/>
        <v>1</v>
      </c>
      <c r="J298" s="995"/>
      <c r="K298" s="197">
        <f t="shared" si="78"/>
        <v>1</v>
      </c>
      <c r="L298" s="995"/>
      <c r="M298" s="197">
        <f t="shared" si="79"/>
        <v>1</v>
      </c>
      <c r="N298" s="995"/>
      <c r="O298" s="197">
        <f t="shared" si="80"/>
        <v>1</v>
      </c>
      <c r="P298" s="995"/>
      <c r="Q298" s="197">
        <f t="shared" si="81"/>
        <v>1</v>
      </c>
      <c r="R298" s="991">
        <f t="shared" ca="1" si="86"/>
        <v>16091</v>
      </c>
      <c r="S298" s="552">
        <f t="shared" ca="1" si="87"/>
        <v>1736380</v>
      </c>
      <c r="T298" s="2010">
        <f t="shared" ca="1" si="88"/>
        <v>174</v>
      </c>
      <c r="U298" s="2305">
        <f t="shared" si="82"/>
        <v>0</v>
      </c>
      <c r="V298" s="2305">
        <f t="shared" si="83"/>
        <v>0</v>
      </c>
      <c r="W298" s="2300"/>
      <c r="X298" s="2305">
        <f t="shared" si="84"/>
        <v>0</v>
      </c>
      <c r="Y298" s="2305">
        <f t="shared" si="85"/>
        <v>0</v>
      </c>
      <c r="Z298" s="2300"/>
    </row>
    <row r="299" spans="1:26">
      <c r="A299" s="292" t="str">
        <f>'7.15'!B277</f>
        <v>8幢1单元804室</v>
      </c>
      <c r="B299" s="207">
        <f>'7.17'!G277</f>
        <v>107.91</v>
      </c>
      <c r="C299" s="197">
        <f t="shared" si="74"/>
        <v>1.01</v>
      </c>
      <c r="D299" s="995" t="s">
        <v>7606</v>
      </c>
      <c r="E299" s="197">
        <f t="shared" si="75"/>
        <v>1</v>
      </c>
      <c r="F299" s="995" t="str">
        <f>'7.15'!D277</f>
        <v>平层</v>
      </c>
      <c r="G299" s="197">
        <f t="shared" si="76"/>
        <v>1</v>
      </c>
      <c r="H299" s="995" t="str">
        <f>'7.15'!E277</f>
        <v>南北</v>
      </c>
      <c r="I299" s="197">
        <f t="shared" si="77"/>
        <v>1</v>
      </c>
      <c r="J299" s="995"/>
      <c r="K299" s="197">
        <f t="shared" si="78"/>
        <v>1</v>
      </c>
      <c r="L299" s="995"/>
      <c r="M299" s="197">
        <f t="shared" si="79"/>
        <v>1</v>
      </c>
      <c r="N299" s="995"/>
      <c r="O299" s="197">
        <f t="shared" si="80"/>
        <v>1</v>
      </c>
      <c r="P299" s="995"/>
      <c r="Q299" s="197">
        <f t="shared" si="81"/>
        <v>1</v>
      </c>
      <c r="R299" s="991">
        <f t="shared" ca="1" si="86"/>
        <v>16091</v>
      </c>
      <c r="S299" s="552">
        <f t="shared" ca="1" si="87"/>
        <v>1736380</v>
      </c>
      <c r="T299" s="2010">
        <f t="shared" ca="1" si="88"/>
        <v>174</v>
      </c>
      <c r="U299" s="2305">
        <f t="shared" si="82"/>
        <v>0</v>
      </c>
      <c r="V299" s="2305">
        <f t="shared" si="83"/>
        <v>0</v>
      </c>
      <c r="W299" s="2300"/>
      <c r="X299" s="2305">
        <f t="shared" si="84"/>
        <v>0</v>
      </c>
      <c r="Y299" s="2305">
        <f t="shared" si="85"/>
        <v>0</v>
      </c>
      <c r="Z299" s="2300"/>
    </row>
    <row r="300" spans="1:26">
      <c r="A300" s="292" t="str">
        <f>'7.15'!B278</f>
        <v>8幢1单元904室</v>
      </c>
      <c r="B300" s="207">
        <f>'7.17'!G278</f>
        <v>107.91</v>
      </c>
      <c r="C300" s="197">
        <f t="shared" si="74"/>
        <v>1.01</v>
      </c>
      <c r="D300" s="995" t="s">
        <v>7606</v>
      </c>
      <c r="E300" s="197">
        <f t="shared" si="75"/>
        <v>1</v>
      </c>
      <c r="F300" s="995" t="str">
        <f>'7.15'!D278</f>
        <v>平层</v>
      </c>
      <c r="G300" s="197">
        <f t="shared" si="76"/>
        <v>1</v>
      </c>
      <c r="H300" s="995" t="str">
        <f>'7.15'!E278</f>
        <v>南北</v>
      </c>
      <c r="I300" s="197">
        <f t="shared" si="77"/>
        <v>1</v>
      </c>
      <c r="J300" s="995"/>
      <c r="K300" s="197">
        <f t="shared" si="78"/>
        <v>1</v>
      </c>
      <c r="L300" s="995"/>
      <c r="M300" s="197">
        <f t="shared" si="79"/>
        <v>1</v>
      </c>
      <c r="N300" s="995"/>
      <c r="O300" s="197">
        <f t="shared" si="80"/>
        <v>1</v>
      </c>
      <c r="P300" s="995"/>
      <c r="Q300" s="197">
        <f t="shared" si="81"/>
        <v>1</v>
      </c>
      <c r="R300" s="991">
        <f t="shared" ca="1" si="86"/>
        <v>16091</v>
      </c>
      <c r="S300" s="552">
        <f t="shared" ca="1" si="87"/>
        <v>1736380</v>
      </c>
      <c r="T300" s="2010">
        <f t="shared" ca="1" si="88"/>
        <v>174</v>
      </c>
      <c r="U300" s="2305">
        <f t="shared" si="82"/>
        <v>0</v>
      </c>
      <c r="V300" s="2305">
        <f t="shared" si="83"/>
        <v>0</v>
      </c>
      <c r="W300" s="2300"/>
      <c r="X300" s="2305">
        <f t="shared" si="84"/>
        <v>0</v>
      </c>
      <c r="Y300" s="2305">
        <f t="shared" si="85"/>
        <v>0</v>
      </c>
      <c r="Z300" s="2300"/>
    </row>
    <row r="301" spans="1:26">
      <c r="A301" s="292" t="str">
        <f>'7.15'!B279</f>
        <v>8幢1单元1004室</v>
      </c>
      <c r="B301" s="207">
        <f>'7.17'!G279</f>
        <v>107.91</v>
      </c>
      <c r="C301" s="197">
        <f t="shared" si="74"/>
        <v>1.01</v>
      </c>
      <c r="D301" s="995" t="s">
        <v>7606</v>
      </c>
      <c r="E301" s="197">
        <f t="shared" si="75"/>
        <v>1</v>
      </c>
      <c r="F301" s="995" t="str">
        <f>'7.15'!D279</f>
        <v>平层</v>
      </c>
      <c r="G301" s="197">
        <f t="shared" si="76"/>
        <v>1</v>
      </c>
      <c r="H301" s="995" t="str">
        <f>'7.15'!E279</f>
        <v>南北</v>
      </c>
      <c r="I301" s="197">
        <f t="shared" si="77"/>
        <v>1</v>
      </c>
      <c r="J301" s="995"/>
      <c r="K301" s="197">
        <f t="shared" si="78"/>
        <v>1</v>
      </c>
      <c r="L301" s="995"/>
      <c r="M301" s="197">
        <f t="shared" si="79"/>
        <v>1</v>
      </c>
      <c r="N301" s="995"/>
      <c r="O301" s="197">
        <f t="shared" si="80"/>
        <v>1</v>
      </c>
      <c r="P301" s="995"/>
      <c r="Q301" s="197">
        <f t="shared" si="81"/>
        <v>1</v>
      </c>
      <c r="R301" s="991">
        <f t="shared" ca="1" si="86"/>
        <v>16091</v>
      </c>
      <c r="S301" s="552">
        <f t="shared" ca="1" si="87"/>
        <v>1736380</v>
      </c>
      <c r="T301" s="2010">
        <f t="shared" ca="1" si="88"/>
        <v>174</v>
      </c>
      <c r="U301" s="2305">
        <f t="shared" si="82"/>
        <v>0</v>
      </c>
      <c r="V301" s="2305">
        <f t="shared" si="83"/>
        <v>0</v>
      </c>
      <c r="W301" s="2300"/>
      <c r="X301" s="2305">
        <f t="shared" si="84"/>
        <v>0</v>
      </c>
      <c r="Y301" s="2305">
        <f t="shared" si="85"/>
        <v>0</v>
      </c>
      <c r="Z301" s="2300"/>
    </row>
    <row r="302" spans="1:26">
      <c r="A302" s="292" t="str">
        <f>'7.15'!B280</f>
        <v>8幢1单元1104室</v>
      </c>
      <c r="B302" s="207">
        <f>'7.17'!G280</f>
        <v>107.91</v>
      </c>
      <c r="C302" s="197">
        <f t="shared" si="74"/>
        <v>1.01</v>
      </c>
      <c r="D302" s="995" t="s">
        <v>7609</v>
      </c>
      <c r="E302" s="197">
        <f t="shared" si="75"/>
        <v>1.04</v>
      </c>
      <c r="F302" s="995" t="str">
        <f>'7.15'!D280</f>
        <v>平层</v>
      </c>
      <c r="G302" s="197">
        <f t="shared" si="76"/>
        <v>1</v>
      </c>
      <c r="H302" s="995" t="str">
        <f>'7.15'!E280</f>
        <v>南北</v>
      </c>
      <c r="I302" s="197">
        <f t="shared" si="77"/>
        <v>1</v>
      </c>
      <c r="J302" s="995"/>
      <c r="K302" s="197">
        <f t="shared" si="78"/>
        <v>1</v>
      </c>
      <c r="L302" s="995"/>
      <c r="M302" s="197">
        <f t="shared" si="79"/>
        <v>1</v>
      </c>
      <c r="N302" s="995"/>
      <c r="O302" s="197">
        <f t="shared" si="80"/>
        <v>1</v>
      </c>
      <c r="P302" s="995"/>
      <c r="Q302" s="197">
        <f t="shared" si="81"/>
        <v>1</v>
      </c>
      <c r="R302" s="991">
        <f t="shared" ca="1" si="86"/>
        <v>16735</v>
      </c>
      <c r="S302" s="552">
        <f t="shared" ca="1" si="87"/>
        <v>1805874</v>
      </c>
      <c r="T302" s="2010">
        <f t="shared" ca="1" si="88"/>
        <v>181</v>
      </c>
      <c r="U302" s="2305">
        <f t="shared" si="82"/>
        <v>0</v>
      </c>
      <c r="V302" s="2305">
        <f t="shared" si="83"/>
        <v>0</v>
      </c>
      <c r="W302" s="2300"/>
      <c r="X302" s="2305">
        <f t="shared" si="84"/>
        <v>0</v>
      </c>
      <c r="Y302" s="2305">
        <f t="shared" si="85"/>
        <v>0</v>
      </c>
      <c r="Z302" s="2300"/>
    </row>
    <row r="303" spans="1:26">
      <c r="A303" s="292" t="str">
        <f>'7.15'!B281</f>
        <v>8幢1单元1204室</v>
      </c>
      <c r="B303" s="207">
        <f>'7.17'!G281</f>
        <v>107.91</v>
      </c>
      <c r="C303" s="197">
        <f t="shared" si="74"/>
        <v>1.01</v>
      </c>
      <c r="D303" s="995" t="s">
        <v>7609</v>
      </c>
      <c r="E303" s="197">
        <f t="shared" si="75"/>
        <v>1.04</v>
      </c>
      <c r="F303" s="995" t="str">
        <f>'7.15'!D281</f>
        <v>平层</v>
      </c>
      <c r="G303" s="197">
        <f t="shared" si="76"/>
        <v>1</v>
      </c>
      <c r="H303" s="995" t="str">
        <f>'7.15'!E281</f>
        <v>南北</v>
      </c>
      <c r="I303" s="197">
        <f t="shared" si="77"/>
        <v>1</v>
      </c>
      <c r="J303" s="995"/>
      <c r="K303" s="197">
        <f t="shared" si="78"/>
        <v>1</v>
      </c>
      <c r="L303" s="995"/>
      <c r="M303" s="197">
        <f t="shared" si="79"/>
        <v>1</v>
      </c>
      <c r="N303" s="995"/>
      <c r="O303" s="197">
        <f t="shared" si="80"/>
        <v>1</v>
      </c>
      <c r="P303" s="995"/>
      <c r="Q303" s="197">
        <f t="shared" si="81"/>
        <v>1</v>
      </c>
      <c r="R303" s="991">
        <f t="shared" ca="1" si="86"/>
        <v>16735</v>
      </c>
      <c r="S303" s="552">
        <f t="shared" ca="1" si="87"/>
        <v>1805874</v>
      </c>
      <c r="T303" s="2010">
        <f t="shared" ca="1" si="88"/>
        <v>181</v>
      </c>
      <c r="U303" s="2305">
        <f t="shared" si="82"/>
        <v>0</v>
      </c>
      <c r="V303" s="2305">
        <f t="shared" si="83"/>
        <v>0</v>
      </c>
      <c r="W303" s="2300"/>
      <c r="X303" s="2305">
        <f t="shared" si="84"/>
        <v>0</v>
      </c>
      <c r="Y303" s="2305">
        <f t="shared" si="85"/>
        <v>0</v>
      </c>
      <c r="Z303" s="2300"/>
    </row>
    <row r="304" spans="1:26">
      <c r="A304" s="292" t="str">
        <f>'7.15'!B282</f>
        <v>8幢1单元1304室</v>
      </c>
      <c r="B304" s="207">
        <f>'7.17'!G282</f>
        <v>107.91</v>
      </c>
      <c r="C304" s="197">
        <f t="shared" si="74"/>
        <v>1.01</v>
      </c>
      <c r="D304" s="995" t="s">
        <v>7609</v>
      </c>
      <c r="E304" s="197">
        <f t="shared" si="75"/>
        <v>1.04</v>
      </c>
      <c r="F304" s="995" t="str">
        <f>'7.15'!D282</f>
        <v>平层</v>
      </c>
      <c r="G304" s="197">
        <f t="shared" si="76"/>
        <v>1</v>
      </c>
      <c r="H304" s="995" t="str">
        <f>'7.15'!E282</f>
        <v>南北</v>
      </c>
      <c r="I304" s="197">
        <f t="shared" si="77"/>
        <v>1</v>
      </c>
      <c r="J304" s="995"/>
      <c r="K304" s="197">
        <f t="shared" si="78"/>
        <v>1</v>
      </c>
      <c r="L304" s="995"/>
      <c r="M304" s="197">
        <f t="shared" si="79"/>
        <v>1</v>
      </c>
      <c r="N304" s="995"/>
      <c r="O304" s="197">
        <f t="shared" si="80"/>
        <v>1</v>
      </c>
      <c r="P304" s="995"/>
      <c r="Q304" s="197">
        <f t="shared" si="81"/>
        <v>1</v>
      </c>
      <c r="R304" s="991">
        <f t="shared" ca="1" si="86"/>
        <v>16735</v>
      </c>
      <c r="S304" s="552">
        <f t="shared" ca="1" si="87"/>
        <v>1805874</v>
      </c>
      <c r="T304" s="2010">
        <f t="shared" ca="1" si="88"/>
        <v>181</v>
      </c>
      <c r="U304" s="2305">
        <f t="shared" si="82"/>
        <v>0</v>
      </c>
      <c r="V304" s="2305">
        <f t="shared" si="83"/>
        <v>0</v>
      </c>
      <c r="W304" s="2300"/>
      <c r="X304" s="2305">
        <f t="shared" si="84"/>
        <v>0</v>
      </c>
      <c r="Y304" s="2305">
        <f t="shared" si="85"/>
        <v>0</v>
      </c>
      <c r="Z304" s="2300"/>
    </row>
    <row r="305" spans="1:26">
      <c r="A305" s="292" t="str">
        <f>'7.15'!B283</f>
        <v>8幢1单元1404室</v>
      </c>
      <c r="B305" s="207">
        <f>'7.17'!G283</f>
        <v>107.91</v>
      </c>
      <c r="C305" s="197">
        <f t="shared" si="74"/>
        <v>1.01</v>
      </c>
      <c r="D305" s="995" t="s">
        <v>7609</v>
      </c>
      <c r="E305" s="197">
        <f t="shared" si="75"/>
        <v>1.04</v>
      </c>
      <c r="F305" s="995" t="str">
        <f>'7.15'!D283</f>
        <v>平层</v>
      </c>
      <c r="G305" s="197">
        <f t="shared" si="76"/>
        <v>1</v>
      </c>
      <c r="H305" s="995" t="str">
        <f>'7.15'!E283</f>
        <v>南北</v>
      </c>
      <c r="I305" s="197">
        <f t="shared" si="77"/>
        <v>1</v>
      </c>
      <c r="J305" s="995"/>
      <c r="K305" s="197">
        <f t="shared" si="78"/>
        <v>1</v>
      </c>
      <c r="L305" s="995"/>
      <c r="M305" s="197">
        <f t="shared" si="79"/>
        <v>1</v>
      </c>
      <c r="N305" s="995"/>
      <c r="O305" s="197">
        <f t="shared" si="80"/>
        <v>1</v>
      </c>
      <c r="P305" s="995"/>
      <c r="Q305" s="197">
        <f t="shared" si="81"/>
        <v>1</v>
      </c>
      <c r="R305" s="991">
        <f t="shared" ca="1" si="86"/>
        <v>16735</v>
      </c>
      <c r="S305" s="552">
        <f t="shared" ca="1" si="87"/>
        <v>1805874</v>
      </c>
      <c r="T305" s="2010">
        <f t="shared" ca="1" si="88"/>
        <v>181</v>
      </c>
      <c r="U305" s="2305">
        <f t="shared" si="82"/>
        <v>0</v>
      </c>
      <c r="V305" s="2305">
        <f t="shared" si="83"/>
        <v>0</v>
      </c>
      <c r="W305" s="2300"/>
      <c r="X305" s="2305">
        <f t="shared" si="84"/>
        <v>0</v>
      </c>
      <c r="Y305" s="2305">
        <f t="shared" si="85"/>
        <v>0</v>
      </c>
      <c r="Z305" s="2300"/>
    </row>
    <row r="306" spans="1:26">
      <c r="A306" s="292" t="str">
        <f>'7.15'!B284</f>
        <v>8幢1单元1504室</v>
      </c>
      <c r="B306" s="207">
        <f>'7.17'!G284</f>
        <v>107.91</v>
      </c>
      <c r="C306" s="197">
        <f t="shared" si="74"/>
        <v>1.01</v>
      </c>
      <c r="D306" s="995" t="s">
        <v>7609</v>
      </c>
      <c r="E306" s="197">
        <f t="shared" si="75"/>
        <v>1.04</v>
      </c>
      <c r="F306" s="995" t="str">
        <f>'7.15'!D284</f>
        <v>平层</v>
      </c>
      <c r="G306" s="197">
        <f t="shared" si="76"/>
        <v>1</v>
      </c>
      <c r="H306" s="995" t="str">
        <f>'7.15'!E284</f>
        <v>南北</v>
      </c>
      <c r="I306" s="197">
        <f t="shared" si="77"/>
        <v>1</v>
      </c>
      <c r="J306" s="995"/>
      <c r="K306" s="197">
        <f t="shared" si="78"/>
        <v>1</v>
      </c>
      <c r="L306" s="995"/>
      <c r="M306" s="197">
        <f t="shared" si="79"/>
        <v>1</v>
      </c>
      <c r="N306" s="995"/>
      <c r="O306" s="197">
        <f t="shared" si="80"/>
        <v>1</v>
      </c>
      <c r="P306" s="995"/>
      <c r="Q306" s="197">
        <f t="shared" si="81"/>
        <v>1</v>
      </c>
      <c r="R306" s="991">
        <f t="shared" ca="1" si="86"/>
        <v>16735</v>
      </c>
      <c r="S306" s="552">
        <f t="shared" ca="1" si="87"/>
        <v>1805874</v>
      </c>
      <c r="T306" s="2010">
        <f t="shared" ca="1" si="88"/>
        <v>181</v>
      </c>
      <c r="U306" s="2305">
        <f t="shared" si="82"/>
        <v>0</v>
      </c>
      <c r="V306" s="2305">
        <f t="shared" si="83"/>
        <v>0</v>
      </c>
      <c r="W306" s="2300"/>
      <c r="X306" s="2305">
        <f t="shared" si="84"/>
        <v>0</v>
      </c>
      <c r="Y306" s="2305">
        <f t="shared" si="85"/>
        <v>0</v>
      </c>
      <c r="Z306" s="2300"/>
    </row>
    <row r="307" spans="1:26">
      <c r="A307" s="292" t="str">
        <f>'7.15'!B285</f>
        <v>8幢1单元1604室</v>
      </c>
      <c r="B307" s="207">
        <f>'7.17'!G285</f>
        <v>107.91</v>
      </c>
      <c r="C307" s="197">
        <f t="shared" si="74"/>
        <v>1.01</v>
      </c>
      <c r="D307" s="995" t="s">
        <v>7609</v>
      </c>
      <c r="E307" s="197">
        <f t="shared" si="75"/>
        <v>1.04</v>
      </c>
      <c r="F307" s="995" t="str">
        <f>'7.15'!D285</f>
        <v>平层</v>
      </c>
      <c r="G307" s="197">
        <f t="shared" si="76"/>
        <v>1</v>
      </c>
      <c r="H307" s="995" t="str">
        <f>'7.15'!E285</f>
        <v>南北</v>
      </c>
      <c r="I307" s="197">
        <f t="shared" si="77"/>
        <v>1</v>
      </c>
      <c r="J307" s="995"/>
      <c r="K307" s="197">
        <f t="shared" si="78"/>
        <v>1</v>
      </c>
      <c r="L307" s="995"/>
      <c r="M307" s="197">
        <f t="shared" si="79"/>
        <v>1</v>
      </c>
      <c r="N307" s="995"/>
      <c r="O307" s="197">
        <f t="shared" si="80"/>
        <v>1</v>
      </c>
      <c r="P307" s="995"/>
      <c r="Q307" s="197">
        <f t="shared" si="81"/>
        <v>1</v>
      </c>
      <c r="R307" s="991">
        <f t="shared" ca="1" si="86"/>
        <v>16735</v>
      </c>
      <c r="S307" s="552">
        <f t="shared" ca="1" si="87"/>
        <v>1805874</v>
      </c>
      <c r="T307" s="2010">
        <f t="shared" ca="1" si="88"/>
        <v>181</v>
      </c>
      <c r="U307" s="2305">
        <f t="shared" si="82"/>
        <v>0</v>
      </c>
      <c r="V307" s="2305">
        <f t="shared" si="83"/>
        <v>0</v>
      </c>
      <c r="W307" s="2300"/>
      <c r="X307" s="2305">
        <f t="shared" si="84"/>
        <v>0</v>
      </c>
      <c r="Y307" s="2305">
        <f t="shared" si="85"/>
        <v>0</v>
      </c>
      <c r="Z307" s="2300"/>
    </row>
    <row r="308" spans="1:26">
      <c r="A308" s="292" t="str">
        <f>'7.15'!B286</f>
        <v>8幢1单元1704室</v>
      </c>
      <c r="B308" s="207">
        <f>'7.17'!G286</f>
        <v>107.91</v>
      </c>
      <c r="C308" s="197">
        <f t="shared" si="74"/>
        <v>1.01</v>
      </c>
      <c r="D308" s="995" t="s">
        <v>7609</v>
      </c>
      <c r="E308" s="197">
        <f t="shared" si="75"/>
        <v>1.04</v>
      </c>
      <c r="F308" s="995" t="str">
        <f>'7.15'!D286</f>
        <v>平层</v>
      </c>
      <c r="G308" s="197">
        <f t="shared" si="76"/>
        <v>1</v>
      </c>
      <c r="H308" s="995" t="str">
        <f>'7.15'!E286</f>
        <v>南北</v>
      </c>
      <c r="I308" s="197">
        <f t="shared" si="77"/>
        <v>1</v>
      </c>
      <c r="J308" s="995"/>
      <c r="K308" s="197">
        <f t="shared" si="78"/>
        <v>1</v>
      </c>
      <c r="L308" s="995"/>
      <c r="M308" s="197">
        <f t="shared" si="79"/>
        <v>1</v>
      </c>
      <c r="N308" s="995"/>
      <c r="O308" s="197">
        <f t="shared" si="80"/>
        <v>1</v>
      </c>
      <c r="P308" s="995"/>
      <c r="Q308" s="197">
        <f t="shared" si="81"/>
        <v>1</v>
      </c>
      <c r="R308" s="991">
        <f t="shared" ca="1" si="86"/>
        <v>16735</v>
      </c>
      <c r="S308" s="552">
        <f t="shared" ca="1" si="87"/>
        <v>1805874</v>
      </c>
      <c r="T308" s="2010">
        <f t="shared" ca="1" si="88"/>
        <v>181</v>
      </c>
      <c r="U308" s="2305">
        <f t="shared" si="82"/>
        <v>0</v>
      </c>
      <c r="V308" s="2305">
        <f t="shared" si="83"/>
        <v>0</v>
      </c>
      <c r="W308" s="2300"/>
      <c r="X308" s="2305">
        <f t="shared" si="84"/>
        <v>0</v>
      </c>
      <c r="Y308" s="2305">
        <f t="shared" si="85"/>
        <v>0</v>
      </c>
      <c r="Z308" s="2300"/>
    </row>
    <row r="309" spans="1:26">
      <c r="A309" s="292" t="str">
        <f>'7.15'!B287</f>
        <v>8幢1单元1804室</v>
      </c>
      <c r="B309" s="207">
        <f>'7.17'!G287</f>
        <v>107.91</v>
      </c>
      <c r="C309" s="197">
        <f t="shared" si="74"/>
        <v>1.01</v>
      </c>
      <c r="D309" s="995" t="s">
        <v>7609</v>
      </c>
      <c r="E309" s="197">
        <f t="shared" si="75"/>
        <v>1.04</v>
      </c>
      <c r="F309" s="995" t="str">
        <f>'7.15'!D287</f>
        <v>平层</v>
      </c>
      <c r="G309" s="197">
        <f t="shared" si="76"/>
        <v>1</v>
      </c>
      <c r="H309" s="995" t="str">
        <f>'7.15'!E287</f>
        <v>南北</v>
      </c>
      <c r="I309" s="197">
        <f t="shared" si="77"/>
        <v>1</v>
      </c>
      <c r="J309" s="995"/>
      <c r="K309" s="197">
        <f t="shared" si="78"/>
        <v>1</v>
      </c>
      <c r="L309" s="995"/>
      <c r="M309" s="197">
        <f t="shared" si="79"/>
        <v>1</v>
      </c>
      <c r="N309" s="995"/>
      <c r="O309" s="197">
        <f t="shared" si="80"/>
        <v>1</v>
      </c>
      <c r="P309" s="995"/>
      <c r="Q309" s="197">
        <f t="shared" si="81"/>
        <v>1</v>
      </c>
      <c r="R309" s="991">
        <f t="shared" ca="1" si="86"/>
        <v>16735</v>
      </c>
      <c r="S309" s="552">
        <f t="shared" ca="1" si="87"/>
        <v>1805874</v>
      </c>
      <c r="T309" s="2010">
        <f t="shared" ca="1" si="88"/>
        <v>181</v>
      </c>
      <c r="U309" s="2305">
        <f t="shared" si="82"/>
        <v>0</v>
      </c>
      <c r="V309" s="2305">
        <f t="shared" si="83"/>
        <v>0</v>
      </c>
      <c r="W309" s="2300"/>
      <c r="X309" s="2305">
        <f t="shared" si="84"/>
        <v>0</v>
      </c>
      <c r="Y309" s="2305">
        <f t="shared" si="85"/>
        <v>0</v>
      </c>
      <c r="Z309" s="2300"/>
    </row>
    <row r="310" spans="1:26">
      <c r="A310" s="292" t="str">
        <f>'7.15'!B288</f>
        <v>8幢1单元1904室</v>
      </c>
      <c r="B310" s="207">
        <f>'7.17'!G288</f>
        <v>107.91</v>
      </c>
      <c r="C310" s="197">
        <f t="shared" si="74"/>
        <v>1.01</v>
      </c>
      <c r="D310" s="995" t="s">
        <v>7609</v>
      </c>
      <c r="E310" s="197">
        <f t="shared" si="75"/>
        <v>1.04</v>
      </c>
      <c r="F310" s="995" t="str">
        <f>'7.15'!D288</f>
        <v>平层</v>
      </c>
      <c r="G310" s="197">
        <f t="shared" si="76"/>
        <v>1</v>
      </c>
      <c r="H310" s="995" t="str">
        <f>'7.15'!E288</f>
        <v>南北</v>
      </c>
      <c r="I310" s="197">
        <f t="shared" si="77"/>
        <v>1</v>
      </c>
      <c r="J310" s="995"/>
      <c r="K310" s="197">
        <f t="shared" si="78"/>
        <v>1</v>
      </c>
      <c r="L310" s="995"/>
      <c r="M310" s="197">
        <f t="shared" si="79"/>
        <v>1</v>
      </c>
      <c r="N310" s="995"/>
      <c r="O310" s="197">
        <f t="shared" si="80"/>
        <v>1</v>
      </c>
      <c r="P310" s="995"/>
      <c r="Q310" s="197">
        <f t="shared" si="81"/>
        <v>1</v>
      </c>
      <c r="R310" s="991">
        <f t="shared" ca="1" si="86"/>
        <v>16735</v>
      </c>
      <c r="S310" s="552">
        <f t="shared" ca="1" si="87"/>
        <v>1805874</v>
      </c>
      <c r="T310" s="2010">
        <f t="shared" ca="1" si="88"/>
        <v>181</v>
      </c>
      <c r="U310" s="2305">
        <f t="shared" si="82"/>
        <v>0</v>
      </c>
      <c r="V310" s="2305">
        <f t="shared" si="83"/>
        <v>0</v>
      </c>
      <c r="W310" s="2300"/>
      <c r="X310" s="2305">
        <f t="shared" si="84"/>
        <v>0</v>
      </c>
      <c r="Y310" s="2305">
        <f t="shared" si="85"/>
        <v>0</v>
      </c>
      <c r="Z310" s="2300"/>
    </row>
    <row r="311" spans="1:26">
      <c r="A311" s="292" t="str">
        <f>'7.15'!B289</f>
        <v>8幢1单元2004室</v>
      </c>
      <c r="B311" s="207">
        <f>'7.17'!G289</f>
        <v>107.91</v>
      </c>
      <c r="C311" s="197">
        <f t="shared" si="74"/>
        <v>1.01</v>
      </c>
      <c r="D311" s="995" t="s">
        <v>7609</v>
      </c>
      <c r="E311" s="197">
        <f t="shared" si="75"/>
        <v>1.04</v>
      </c>
      <c r="F311" s="995" t="str">
        <f>'7.15'!D289</f>
        <v>平层</v>
      </c>
      <c r="G311" s="197">
        <f t="shared" si="76"/>
        <v>1</v>
      </c>
      <c r="H311" s="995" t="str">
        <f>'7.15'!E289</f>
        <v>南北</v>
      </c>
      <c r="I311" s="197">
        <f t="shared" si="77"/>
        <v>1</v>
      </c>
      <c r="J311" s="995"/>
      <c r="K311" s="197">
        <f t="shared" si="78"/>
        <v>1</v>
      </c>
      <c r="L311" s="995"/>
      <c r="M311" s="197">
        <f t="shared" si="79"/>
        <v>1</v>
      </c>
      <c r="N311" s="995"/>
      <c r="O311" s="197">
        <f t="shared" si="80"/>
        <v>1</v>
      </c>
      <c r="P311" s="995"/>
      <c r="Q311" s="197">
        <f t="shared" si="81"/>
        <v>1</v>
      </c>
      <c r="R311" s="991">
        <f t="shared" ca="1" si="86"/>
        <v>16735</v>
      </c>
      <c r="S311" s="552">
        <f t="shared" ca="1" si="87"/>
        <v>1805874</v>
      </c>
      <c r="T311" s="2010">
        <f t="shared" ca="1" si="88"/>
        <v>181</v>
      </c>
      <c r="U311" s="2305">
        <f t="shared" si="82"/>
        <v>0</v>
      </c>
      <c r="V311" s="2305">
        <f t="shared" si="83"/>
        <v>0</v>
      </c>
      <c r="W311" s="2300"/>
      <c r="X311" s="2305">
        <f t="shared" si="84"/>
        <v>0</v>
      </c>
      <c r="Y311" s="2305">
        <f t="shared" si="85"/>
        <v>0</v>
      </c>
      <c r="Z311" s="2300"/>
    </row>
    <row r="312" spans="1:26">
      <c r="A312" s="292" t="str">
        <f>'7.15'!B290</f>
        <v>8幢1单元2104室</v>
      </c>
      <c r="B312" s="207">
        <f>'7.17'!G290</f>
        <v>107.91</v>
      </c>
      <c r="C312" s="197">
        <f t="shared" si="74"/>
        <v>1.01</v>
      </c>
      <c r="D312" s="995" t="s">
        <v>7608</v>
      </c>
      <c r="E312" s="197">
        <f t="shared" si="75"/>
        <v>1.02</v>
      </c>
      <c r="F312" s="995" t="str">
        <f>'7.15'!D290</f>
        <v>平层</v>
      </c>
      <c r="G312" s="197">
        <f t="shared" si="76"/>
        <v>1</v>
      </c>
      <c r="H312" s="995" t="str">
        <f>'7.15'!E290</f>
        <v>南北</v>
      </c>
      <c r="I312" s="197">
        <f t="shared" si="77"/>
        <v>1</v>
      </c>
      <c r="J312" s="995"/>
      <c r="K312" s="197">
        <f t="shared" si="78"/>
        <v>1</v>
      </c>
      <c r="L312" s="995"/>
      <c r="M312" s="197">
        <f t="shared" si="79"/>
        <v>1</v>
      </c>
      <c r="N312" s="995"/>
      <c r="O312" s="197">
        <f t="shared" si="80"/>
        <v>1</v>
      </c>
      <c r="P312" s="995"/>
      <c r="Q312" s="197">
        <f t="shared" si="81"/>
        <v>1</v>
      </c>
      <c r="R312" s="991">
        <f t="shared" ca="1" si="86"/>
        <v>16413</v>
      </c>
      <c r="S312" s="552">
        <f t="shared" ca="1" si="87"/>
        <v>1771127</v>
      </c>
      <c r="T312" s="2010">
        <f t="shared" ca="1" si="88"/>
        <v>177</v>
      </c>
      <c r="U312" s="2305">
        <f t="shared" si="82"/>
        <v>0</v>
      </c>
      <c r="V312" s="2305">
        <f t="shared" si="83"/>
        <v>0</v>
      </c>
      <c r="W312" s="2300"/>
      <c r="X312" s="2305">
        <f t="shared" si="84"/>
        <v>0</v>
      </c>
      <c r="Y312" s="2305">
        <f t="shared" si="85"/>
        <v>0</v>
      </c>
      <c r="Z312" s="2300"/>
    </row>
    <row r="313" spans="1:26">
      <c r="A313" s="292" t="str">
        <f>'7.15'!B291</f>
        <v>8幢1单元2204室</v>
      </c>
      <c r="B313" s="207">
        <f>'7.17'!G291</f>
        <v>107.91</v>
      </c>
      <c r="C313" s="197">
        <f t="shared" si="74"/>
        <v>1.01</v>
      </c>
      <c r="D313" s="995" t="s">
        <v>7608</v>
      </c>
      <c r="E313" s="197">
        <f t="shared" si="75"/>
        <v>1.02</v>
      </c>
      <c r="F313" s="995" t="str">
        <f>'7.15'!D291</f>
        <v>平层</v>
      </c>
      <c r="G313" s="197">
        <f t="shared" si="76"/>
        <v>1</v>
      </c>
      <c r="H313" s="995" t="str">
        <f>'7.15'!E291</f>
        <v>南北</v>
      </c>
      <c r="I313" s="197">
        <f t="shared" si="77"/>
        <v>1</v>
      </c>
      <c r="J313" s="995"/>
      <c r="K313" s="197">
        <f t="shared" si="78"/>
        <v>1</v>
      </c>
      <c r="L313" s="995"/>
      <c r="M313" s="197">
        <f t="shared" si="79"/>
        <v>1</v>
      </c>
      <c r="N313" s="995"/>
      <c r="O313" s="197">
        <f t="shared" si="80"/>
        <v>1</v>
      </c>
      <c r="P313" s="995"/>
      <c r="Q313" s="197">
        <f t="shared" si="81"/>
        <v>1</v>
      </c>
      <c r="R313" s="991">
        <f t="shared" ca="1" si="86"/>
        <v>16413</v>
      </c>
      <c r="S313" s="552">
        <f t="shared" ca="1" si="87"/>
        <v>1771127</v>
      </c>
      <c r="T313" s="2010">
        <f t="shared" ca="1" si="88"/>
        <v>177</v>
      </c>
      <c r="U313" s="2305">
        <f t="shared" si="82"/>
        <v>0</v>
      </c>
      <c r="V313" s="2305">
        <f t="shared" si="83"/>
        <v>0</v>
      </c>
      <c r="W313" s="2300"/>
      <c r="X313" s="2305">
        <f t="shared" si="84"/>
        <v>0</v>
      </c>
      <c r="Y313" s="2305">
        <f t="shared" si="85"/>
        <v>0</v>
      </c>
      <c r="Z313" s="2300"/>
    </row>
    <row r="314" spans="1:26">
      <c r="A314" s="292" t="str">
        <f>'7.15'!B292</f>
        <v>8幢1单元2304室</v>
      </c>
      <c r="B314" s="207">
        <f>'7.17'!G292</f>
        <v>107.91</v>
      </c>
      <c r="C314" s="197">
        <f t="shared" si="74"/>
        <v>1.01</v>
      </c>
      <c r="D314" s="995" t="s">
        <v>7608</v>
      </c>
      <c r="E314" s="197">
        <f t="shared" si="75"/>
        <v>1.02</v>
      </c>
      <c r="F314" s="995" t="str">
        <f>'7.15'!D292</f>
        <v>平层</v>
      </c>
      <c r="G314" s="197">
        <f t="shared" si="76"/>
        <v>1</v>
      </c>
      <c r="H314" s="995" t="str">
        <f>'7.15'!E292</f>
        <v>南北</v>
      </c>
      <c r="I314" s="197">
        <f t="shared" si="77"/>
        <v>1</v>
      </c>
      <c r="J314" s="995"/>
      <c r="K314" s="197">
        <f t="shared" si="78"/>
        <v>1</v>
      </c>
      <c r="L314" s="995"/>
      <c r="M314" s="197">
        <f t="shared" si="79"/>
        <v>1</v>
      </c>
      <c r="N314" s="995"/>
      <c r="O314" s="197">
        <f t="shared" si="80"/>
        <v>1</v>
      </c>
      <c r="P314" s="995"/>
      <c r="Q314" s="197">
        <f t="shared" si="81"/>
        <v>1</v>
      </c>
      <c r="R314" s="991">
        <f t="shared" ca="1" si="86"/>
        <v>16413</v>
      </c>
      <c r="S314" s="552">
        <f t="shared" ca="1" si="87"/>
        <v>1771127</v>
      </c>
      <c r="T314" s="2010">
        <f t="shared" ca="1" si="88"/>
        <v>177</v>
      </c>
      <c r="U314" s="2305">
        <f t="shared" si="82"/>
        <v>0</v>
      </c>
      <c r="V314" s="2305">
        <f t="shared" si="83"/>
        <v>0</v>
      </c>
      <c r="W314" s="2300"/>
      <c r="X314" s="2305">
        <f t="shared" si="84"/>
        <v>0</v>
      </c>
      <c r="Y314" s="2305">
        <f t="shared" si="85"/>
        <v>0</v>
      </c>
      <c r="Z314" s="2300"/>
    </row>
    <row r="315" spans="1:26">
      <c r="A315" s="292" t="str">
        <f>'7.15'!B293</f>
        <v>8幢1单元2404室</v>
      </c>
      <c r="B315" s="207">
        <f>'7.17'!G293</f>
        <v>107.91</v>
      </c>
      <c r="C315" s="197">
        <f t="shared" si="74"/>
        <v>1.01</v>
      </c>
      <c r="D315" s="995" t="s">
        <v>7608</v>
      </c>
      <c r="E315" s="197">
        <f t="shared" si="75"/>
        <v>1.02</v>
      </c>
      <c r="F315" s="995" t="str">
        <f>'7.15'!D293</f>
        <v>平层</v>
      </c>
      <c r="G315" s="197">
        <f t="shared" si="76"/>
        <v>1</v>
      </c>
      <c r="H315" s="995" t="str">
        <f>'7.15'!E293</f>
        <v>南北</v>
      </c>
      <c r="I315" s="197">
        <f t="shared" si="77"/>
        <v>1</v>
      </c>
      <c r="J315" s="995"/>
      <c r="K315" s="197">
        <f t="shared" si="78"/>
        <v>1</v>
      </c>
      <c r="L315" s="995"/>
      <c r="M315" s="197">
        <f t="shared" si="79"/>
        <v>1</v>
      </c>
      <c r="N315" s="995"/>
      <c r="O315" s="197">
        <f t="shared" si="80"/>
        <v>1</v>
      </c>
      <c r="P315" s="995"/>
      <c r="Q315" s="197">
        <f t="shared" si="81"/>
        <v>1</v>
      </c>
      <c r="R315" s="991">
        <f t="shared" ca="1" si="86"/>
        <v>16413</v>
      </c>
      <c r="S315" s="552">
        <f t="shared" ca="1" si="87"/>
        <v>1771127</v>
      </c>
      <c r="T315" s="2010">
        <f t="shared" ca="1" si="88"/>
        <v>177</v>
      </c>
      <c r="U315" s="2305">
        <f t="shared" si="82"/>
        <v>0</v>
      </c>
      <c r="V315" s="2305">
        <f t="shared" si="83"/>
        <v>0</v>
      </c>
      <c r="W315" s="2300"/>
      <c r="X315" s="2305">
        <f t="shared" si="84"/>
        <v>0</v>
      </c>
      <c r="Y315" s="2305">
        <f t="shared" si="85"/>
        <v>0</v>
      </c>
      <c r="Z315" s="2300"/>
    </row>
    <row r="316" spans="1:26">
      <c r="A316" s="292" t="str">
        <f>'7.15'!B294</f>
        <v>8幢1单元2504室</v>
      </c>
      <c r="B316" s="207">
        <f>'7.17'!G294</f>
        <v>107.91</v>
      </c>
      <c r="C316" s="197">
        <f t="shared" si="74"/>
        <v>1.01</v>
      </c>
      <c r="D316" s="995" t="s">
        <v>7608</v>
      </c>
      <c r="E316" s="197">
        <f t="shared" si="75"/>
        <v>1.02</v>
      </c>
      <c r="F316" s="995" t="str">
        <f>'7.15'!D294</f>
        <v>平层</v>
      </c>
      <c r="G316" s="197">
        <f t="shared" si="76"/>
        <v>1</v>
      </c>
      <c r="H316" s="995" t="str">
        <f>'7.15'!E294</f>
        <v>南北</v>
      </c>
      <c r="I316" s="197">
        <f t="shared" si="77"/>
        <v>1</v>
      </c>
      <c r="J316" s="995"/>
      <c r="K316" s="197">
        <f t="shared" si="78"/>
        <v>1</v>
      </c>
      <c r="L316" s="995"/>
      <c r="M316" s="197">
        <f t="shared" si="79"/>
        <v>1</v>
      </c>
      <c r="N316" s="995"/>
      <c r="O316" s="197">
        <f t="shared" si="80"/>
        <v>1</v>
      </c>
      <c r="P316" s="995"/>
      <c r="Q316" s="197">
        <f t="shared" si="81"/>
        <v>1</v>
      </c>
      <c r="R316" s="991">
        <f t="shared" ca="1" si="86"/>
        <v>16413</v>
      </c>
      <c r="S316" s="552">
        <f t="shared" ca="1" si="87"/>
        <v>1771127</v>
      </c>
      <c r="T316" s="2010">
        <f t="shared" ca="1" si="88"/>
        <v>177</v>
      </c>
      <c r="U316" s="2305">
        <f t="shared" si="82"/>
        <v>0</v>
      </c>
      <c r="V316" s="2305">
        <f t="shared" si="83"/>
        <v>0</v>
      </c>
      <c r="W316" s="2300"/>
      <c r="X316" s="2305">
        <f t="shared" si="84"/>
        <v>0</v>
      </c>
      <c r="Y316" s="2305">
        <f t="shared" si="85"/>
        <v>0</v>
      </c>
      <c r="Z316" s="2300"/>
    </row>
    <row r="317" spans="1:26">
      <c r="A317" s="292" t="str">
        <f>'7.15'!B295</f>
        <v>8幢1单元2604室</v>
      </c>
      <c r="B317" s="207">
        <f>'7.17'!G295</f>
        <v>107.91</v>
      </c>
      <c r="C317" s="197">
        <f t="shared" si="74"/>
        <v>1.01</v>
      </c>
      <c r="D317" s="995" t="s">
        <v>7608</v>
      </c>
      <c r="E317" s="197">
        <f t="shared" si="75"/>
        <v>1.02</v>
      </c>
      <c r="F317" s="995" t="str">
        <f>'7.15'!D295</f>
        <v>平层</v>
      </c>
      <c r="G317" s="197">
        <f t="shared" si="76"/>
        <v>1</v>
      </c>
      <c r="H317" s="995" t="str">
        <f>'7.15'!E295</f>
        <v>南北</v>
      </c>
      <c r="I317" s="197">
        <f t="shared" si="77"/>
        <v>1</v>
      </c>
      <c r="J317" s="995"/>
      <c r="K317" s="197">
        <f t="shared" si="78"/>
        <v>1</v>
      </c>
      <c r="L317" s="995"/>
      <c r="M317" s="197">
        <f t="shared" si="79"/>
        <v>1</v>
      </c>
      <c r="N317" s="995"/>
      <c r="O317" s="197">
        <f t="shared" si="80"/>
        <v>1</v>
      </c>
      <c r="P317" s="995"/>
      <c r="Q317" s="197">
        <f t="shared" si="81"/>
        <v>1</v>
      </c>
      <c r="R317" s="991">
        <f t="shared" ca="1" si="86"/>
        <v>16413</v>
      </c>
      <c r="S317" s="552">
        <f t="shared" ca="1" si="87"/>
        <v>1771127</v>
      </c>
      <c r="T317" s="2010">
        <f t="shared" ca="1" si="88"/>
        <v>177</v>
      </c>
      <c r="U317" s="2305">
        <f t="shared" si="82"/>
        <v>0</v>
      </c>
      <c r="V317" s="2305">
        <f t="shared" si="83"/>
        <v>0</v>
      </c>
      <c r="W317" s="2300"/>
      <c r="X317" s="2305">
        <f t="shared" si="84"/>
        <v>0</v>
      </c>
      <c r="Y317" s="2305">
        <f t="shared" si="85"/>
        <v>0</v>
      </c>
      <c r="Z317" s="2300"/>
    </row>
    <row r="318" spans="1:26">
      <c r="A318" s="292" t="str">
        <f>'7.15'!B296</f>
        <v>8幢1单元2704室</v>
      </c>
      <c r="B318" s="207">
        <f>'7.17'!G296</f>
        <v>107.91</v>
      </c>
      <c r="C318" s="197">
        <f t="shared" si="74"/>
        <v>1.01</v>
      </c>
      <c r="D318" s="995" t="s">
        <v>7608</v>
      </c>
      <c r="E318" s="197">
        <f t="shared" si="75"/>
        <v>1.02</v>
      </c>
      <c r="F318" s="995" t="str">
        <f>'7.15'!D296</f>
        <v>平层</v>
      </c>
      <c r="G318" s="197">
        <f t="shared" si="76"/>
        <v>1</v>
      </c>
      <c r="H318" s="995" t="str">
        <f>'7.15'!E296</f>
        <v>南北</v>
      </c>
      <c r="I318" s="197">
        <f t="shared" si="77"/>
        <v>1</v>
      </c>
      <c r="J318" s="995"/>
      <c r="K318" s="197">
        <f t="shared" si="78"/>
        <v>1</v>
      </c>
      <c r="L318" s="995"/>
      <c r="M318" s="197">
        <f t="shared" si="79"/>
        <v>1</v>
      </c>
      <c r="N318" s="995"/>
      <c r="O318" s="197">
        <f t="shared" si="80"/>
        <v>1</v>
      </c>
      <c r="P318" s="995"/>
      <c r="Q318" s="197">
        <f t="shared" si="81"/>
        <v>1</v>
      </c>
      <c r="R318" s="991">
        <f t="shared" ca="1" si="86"/>
        <v>16413</v>
      </c>
      <c r="S318" s="552">
        <f t="shared" ca="1" si="87"/>
        <v>1771127</v>
      </c>
      <c r="T318" s="2010">
        <f t="shared" ca="1" si="88"/>
        <v>177</v>
      </c>
      <c r="U318" s="2305">
        <f t="shared" si="82"/>
        <v>0</v>
      </c>
      <c r="V318" s="2305">
        <f t="shared" si="83"/>
        <v>0</v>
      </c>
      <c r="W318" s="2300"/>
      <c r="X318" s="2305">
        <f t="shared" si="84"/>
        <v>0</v>
      </c>
      <c r="Y318" s="2305">
        <f t="shared" si="85"/>
        <v>0</v>
      </c>
      <c r="Z318" s="2300"/>
    </row>
    <row r="319" spans="1:26">
      <c r="A319" s="292" t="str">
        <f>'7.15'!B297</f>
        <v>8幢1单元2804室</v>
      </c>
      <c r="B319" s="207">
        <f>'7.17'!G297</f>
        <v>107.91</v>
      </c>
      <c r="C319" s="197">
        <f t="shared" si="74"/>
        <v>1.01</v>
      </c>
      <c r="D319" s="995" t="s">
        <v>7608</v>
      </c>
      <c r="E319" s="197">
        <f t="shared" si="75"/>
        <v>1.02</v>
      </c>
      <c r="F319" s="995" t="str">
        <f>'7.15'!D297</f>
        <v>平层</v>
      </c>
      <c r="G319" s="197">
        <f t="shared" si="76"/>
        <v>1</v>
      </c>
      <c r="H319" s="995" t="str">
        <f>'7.15'!E297</f>
        <v>南北</v>
      </c>
      <c r="I319" s="197">
        <f t="shared" si="77"/>
        <v>1</v>
      </c>
      <c r="J319" s="995"/>
      <c r="K319" s="197">
        <f t="shared" si="78"/>
        <v>1</v>
      </c>
      <c r="L319" s="995"/>
      <c r="M319" s="197">
        <f t="shared" si="79"/>
        <v>1</v>
      </c>
      <c r="N319" s="995"/>
      <c r="O319" s="197">
        <f t="shared" si="80"/>
        <v>1</v>
      </c>
      <c r="P319" s="995"/>
      <c r="Q319" s="197">
        <f t="shared" si="81"/>
        <v>1</v>
      </c>
      <c r="R319" s="991">
        <f t="shared" ca="1" si="86"/>
        <v>16413</v>
      </c>
      <c r="S319" s="552">
        <f t="shared" ca="1" si="87"/>
        <v>1771127</v>
      </c>
      <c r="T319" s="2010">
        <f t="shared" ca="1" si="88"/>
        <v>177</v>
      </c>
      <c r="U319" s="2305">
        <f t="shared" si="82"/>
        <v>0</v>
      </c>
      <c r="V319" s="2305">
        <f t="shared" si="83"/>
        <v>0</v>
      </c>
      <c r="W319" s="2300"/>
      <c r="X319" s="2305">
        <f t="shared" si="84"/>
        <v>0</v>
      </c>
      <c r="Y319" s="2305">
        <f t="shared" si="85"/>
        <v>0</v>
      </c>
      <c r="Z319" s="2300"/>
    </row>
    <row r="320" spans="1:26">
      <c r="A320" s="292" t="str">
        <f>'7.15'!B298</f>
        <v>8幢1单元2904室</v>
      </c>
      <c r="B320" s="207">
        <f>'7.17'!G298</f>
        <v>107.91</v>
      </c>
      <c r="C320" s="197">
        <f t="shared" si="74"/>
        <v>1.01</v>
      </c>
      <c r="D320" s="995" t="s">
        <v>7608</v>
      </c>
      <c r="E320" s="197">
        <f t="shared" si="75"/>
        <v>1.02</v>
      </c>
      <c r="F320" s="995" t="str">
        <f>'7.15'!D298</f>
        <v>平层</v>
      </c>
      <c r="G320" s="197">
        <f t="shared" si="76"/>
        <v>1</v>
      </c>
      <c r="H320" s="995" t="str">
        <f>'7.15'!E298</f>
        <v>南北</v>
      </c>
      <c r="I320" s="197">
        <f t="shared" si="77"/>
        <v>1</v>
      </c>
      <c r="J320" s="995"/>
      <c r="K320" s="197">
        <f t="shared" si="78"/>
        <v>1</v>
      </c>
      <c r="L320" s="995"/>
      <c r="M320" s="197">
        <f t="shared" si="79"/>
        <v>1</v>
      </c>
      <c r="N320" s="995"/>
      <c r="O320" s="197">
        <f t="shared" si="80"/>
        <v>1</v>
      </c>
      <c r="P320" s="995"/>
      <c r="Q320" s="197">
        <f t="shared" si="81"/>
        <v>1</v>
      </c>
      <c r="R320" s="991">
        <f t="shared" ca="1" si="86"/>
        <v>16413</v>
      </c>
      <c r="S320" s="552">
        <f t="shared" ca="1" si="87"/>
        <v>1771127</v>
      </c>
      <c r="T320" s="2010">
        <f t="shared" ca="1" si="88"/>
        <v>177</v>
      </c>
      <c r="U320" s="2305">
        <f t="shared" si="82"/>
        <v>0</v>
      </c>
      <c r="V320" s="2305">
        <f t="shared" si="83"/>
        <v>0</v>
      </c>
      <c r="W320" s="2300"/>
      <c r="X320" s="2305">
        <f t="shared" si="84"/>
        <v>0</v>
      </c>
      <c r="Y320" s="2305">
        <f t="shared" si="85"/>
        <v>0</v>
      </c>
      <c r="Z320" s="2300"/>
    </row>
    <row r="321" spans="1:26">
      <c r="A321" s="292" t="str">
        <f>'7.15'!B299</f>
        <v>8幢1单元3004室</v>
      </c>
      <c r="B321" s="207">
        <f>'7.17'!G299</f>
        <v>93.87</v>
      </c>
      <c r="C321" s="197">
        <f t="shared" si="74"/>
        <v>1</v>
      </c>
      <c r="D321" s="995" t="s">
        <v>7608</v>
      </c>
      <c r="E321" s="197">
        <f t="shared" si="75"/>
        <v>1.02</v>
      </c>
      <c r="F321" s="995" t="str">
        <f>'7.15'!D299</f>
        <v>平层</v>
      </c>
      <c r="G321" s="197">
        <f t="shared" si="76"/>
        <v>1</v>
      </c>
      <c r="H321" s="995" t="str">
        <f>'7.15'!E299</f>
        <v>南北</v>
      </c>
      <c r="I321" s="197">
        <f t="shared" si="77"/>
        <v>1</v>
      </c>
      <c r="J321" s="995"/>
      <c r="K321" s="197">
        <f t="shared" si="78"/>
        <v>1</v>
      </c>
      <c r="L321" s="995"/>
      <c r="M321" s="197">
        <f t="shared" si="79"/>
        <v>1</v>
      </c>
      <c r="N321" s="995"/>
      <c r="O321" s="197">
        <f t="shared" si="80"/>
        <v>1</v>
      </c>
      <c r="P321" s="995"/>
      <c r="Q321" s="197">
        <f t="shared" si="81"/>
        <v>1</v>
      </c>
      <c r="R321" s="991">
        <f t="shared" ca="1" si="86"/>
        <v>16251</v>
      </c>
      <c r="S321" s="552">
        <f t="shared" ca="1" si="87"/>
        <v>1525481</v>
      </c>
      <c r="T321" s="2010">
        <f t="shared" ca="1" si="88"/>
        <v>153</v>
      </c>
      <c r="U321" s="2305">
        <f t="shared" si="82"/>
        <v>0</v>
      </c>
      <c r="V321" s="2305">
        <f t="shared" si="83"/>
        <v>0</v>
      </c>
      <c r="W321" s="2300"/>
      <c r="X321" s="2305">
        <f t="shared" si="84"/>
        <v>0</v>
      </c>
      <c r="Y321" s="2305">
        <f t="shared" si="85"/>
        <v>0</v>
      </c>
      <c r="Z321" s="2300"/>
    </row>
    <row r="322" spans="1:26">
      <c r="A322" s="292" t="str">
        <f>'7.15'!B300</f>
        <v>8幢2单元201室</v>
      </c>
      <c r="B322" s="207">
        <f>'7.17'!G300</f>
        <v>107.91</v>
      </c>
      <c r="C322" s="197">
        <f t="shared" si="74"/>
        <v>1.01</v>
      </c>
      <c r="D322" s="995" t="s">
        <v>7606</v>
      </c>
      <c r="E322" s="197">
        <f t="shared" si="75"/>
        <v>1</v>
      </c>
      <c r="F322" s="995" t="str">
        <f>'7.15'!D300</f>
        <v>平层</v>
      </c>
      <c r="G322" s="197">
        <f t="shared" si="76"/>
        <v>1</v>
      </c>
      <c r="H322" s="995" t="str">
        <f>'7.15'!E300</f>
        <v>南北</v>
      </c>
      <c r="I322" s="197">
        <f t="shared" si="77"/>
        <v>1</v>
      </c>
      <c r="J322" s="995"/>
      <c r="K322" s="197">
        <f t="shared" si="78"/>
        <v>1</v>
      </c>
      <c r="L322" s="995"/>
      <c r="M322" s="197">
        <f t="shared" si="79"/>
        <v>1</v>
      </c>
      <c r="N322" s="995"/>
      <c r="O322" s="197">
        <f t="shared" si="80"/>
        <v>1</v>
      </c>
      <c r="P322" s="995"/>
      <c r="Q322" s="197">
        <f t="shared" si="81"/>
        <v>1</v>
      </c>
      <c r="R322" s="991">
        <f t="shared" ca="1" si="86"/>
        <v>16091</v>
      </c>
      <c r="S322" s="552">
        <f t="shared" ca="1" si="87"/>
        <v>1736380</v>
      </c>
      <c r="T322" s="2010">
        <f t="shared" ca="1" si="88"/>
        <v>174</v>
      </c>
      <c r="U322" s="2305">
        <f t="shared" si="82"/>
        <v>0</v>
      </c>
      <c r="V322" s="2305">
        <f t="shared" si="83"/>
        <v>0</v>
      </c>
      <c r="W322" s="2300"/>
      <c r="X322" s="2305">
        <f t="shared" si="84"/>
        <v>0</v>
      </c>
      <c r="Y322" s="2305">
        <f t="shared" si="85"/>
        <v>0</v>
      </c>
      <c r="Z322" s="2300"/>
    </row>
    <row r="323" spans="1:26">
      <c r="A323" s="292" t="str">
        <f>'7.15'!B301</f>
        <v>8幢2单元301室</v>
      </c>
      <c r="B323" s="207">
        <f>'7.17'!G301</f>
        <v>107.91</v>
      </c>
      <c r="C323" s="197">
        <f t="shared" si="74"/>
        <v>1.01</v>
      </c>
      <c r="D323" s="995" t="s">
        <v>7606</v>
      </c>
      <c r="E323" s="197">
        <f t="shared" si="75"/>
        <v>1</v>
      </c>
      <c r="F323" s="995" t="str">
        <f>'7.15'!D301</f>
        <v>平层</v>
      </c>
      <c r="G323" s="197">
        <f t="shared" si="76"/>
        <v>1</v>
      </c>
      <c r="H323" s="995" t="str">
        <f>'7.15'!E301</f>
        <v>南北</v>
      </c>
      <c r="I323" s="197">
        <f t="shared" si="77"/>
        <v>1</v>
      </c>
      <c r="J323" s="995"/>
      <c r="K323" s="197">
        <f t="shared" si="78"/>
        <v>1</v>
      </c>
      <c r="L323" s="995"/>
      <c r="M323" s="197">
        <f t="shared" si="79"/>
        <v>1</v>
      </c>
      <c r="N323" s="995"/>
      <c r="O323" s="197">
        <f t="shared" si="80"/>
        <v>1</v>
      </c>
      <c r="P323" s="995"/>
      <c r="Q323" s="197">
        <f t="shared" si="81"/>
        <v>1</v>
      </c>
      <c r="R323" s="991">
        <f t="shared" ca="1" si="86"/>
        <v>16091</v>
      </c>
      <c r="S323" s="552">
        <f t="shared" ca="1" si="87"/>
        <v>1736380</v>
      </c>
      <c r="T323" s="2010">
        <f t="shared" ca="1" si="88"/>
        <v>174</v>
      </c>
      <c r="U323" s="2305">
        <f t="shared" si="82"/>
        <v>0</v>
      </c>
      <c r="V323" s="2305">
        <f t="shared" si="83"/>
        <v>0</v>
      </c>
      <c r="W323" s="2300"/>
      <c r="X323" s="2305">
        <f t="shared" si="84"/>
        <v>0</v>
      </c>
      <c r="Y323" s="2305">
        <f t="shared" si="85"/>
        <v>0</v>
      </c>
      <c r="Z323" s="2300"/>
    </row>
    <row r="324" spans="1:26">
      <c r="A324" s="292" t="str">
        <f>'7.15'!B302</f>
        <v>8幢2单元401室</v>
      </c>
      <c r="B324" s="207">
        <f>'7.17'!G302</f>
        <v>107.91</v>
      </c>
      <c r="C324" s="197">
        <f t="shared" si="74"/>
        <v>1.01</v>
      </c>
      <c r="D324" s="995" t="s">
        <v>7606</v>
      </c>
      <c r="E324" s="197">
        <f t="shared" si="75"/>
        <v>1</v>
      </c>
      <c r="F324" s="995" t="str">
        <f>'7.15'!D302</f>
        <v>平层</v>
      </c>
      <c r="G324" s="197">
        <f t="shared" si="76"/>
        <v>1</v>
      </c>
      <c r="H324" s="995" t="str">
        <f>'7.15'!E302</f>
        <v>南北</v>
      </c>
      <c r="I324" s="197">
        <f t="shared" si="77"/>
        <v>1</v>
      </c>
      <c r="J324" s="995"/>
      <c r="K324" s="197">
        <f t="shared" si="78"/>
        <v>1</v>
      </c>
      <c r="L324" s="995"/>
      <c r="M324" s="197">
        <f t="shared" si="79"/>
        <v>1</v>
      </c>
      <c r="N324" s="995"/>
      <c r="O324" s="197">
        <f t="shared" si="80"/>
        <v>1</v>
      </c>
      <c r="P324" s="995"/>
      <c r="Q324" s="197">
        <f t="shared" si="81"/>
        <v>1</v>
      </c>
      <c r="R324" s="991">
        <f t="shared" ca="1" si="86"/>
        <v>16091</v>
      </c>
      <c r="S324" s="552">
        <f t="shared" ca="1" si="87"/>
        <v>1736380</v>
      </c>
      <c r="T324" s="2010">
        <f t="shared" ca="1" si="88"/>
        <v>174</v>
      </c>
      <c r="U324" s="2305">
        <f t="shared" si="82"/>
        <v>0</v>
      </c>
      <c r="V324" s="2305">
        <f t="shared" si="83"/>
        <v>0</v>
      </c>
      <c r="W324" s="2300"/>
      <c r="X324" s="2305">
        <f t="shared" si="84"/>
        <v>0</v>
      </c>
      <c r="Y324" s="2305">
        <f t="shared" si="85"/>
        <v>0</v>
      </c>
      <c r="Z324" s="2300"/>
    </row>
    <row r="325" spans="1:26">
      <c r="A325" s="292" t="str">
        <f>'7.15'!B303</f>
        <v>8幢2单元501室</v>
      </c>
      <c r="B325" s="207">
        <f>'7.17'!G303</f>
        <v>107.91</v>
      </c>
      <c r="C325" s="197">
        <f t="shared" si="74"/>
        <v>1.01</v>
      </c>
      <c r="D325" s="995" t="s">
        <v>7606</v>
      </c>
      <c r="E325" s="197">
        <f t="shared" si="75"/>
        <v>1</v>
      </c>
      <c r="F325" s="995" t="str">
        <f>'7.15'!D303</f>
        <v>平层</v>
      </c>
      <c r="G325" s="197">
        <f t="shared" si="76"/>
        <v>1</v>
      </c>
      <c r="H325" s="995" t="str">
        <f>'7.15'!E303</f>
        <v>南北</v>
      </c>
      <c r="I325" s="197">
        <f t="shared" si="77"/>
        <v>1</v>
      </c>
      <c r="J325" s="995"/>
      <c r="K325" s="197">
        <f t="shared" si="78"/>
        <v>1</v>
      </c>
      <c r="L325" s="995"/>
      <c r="M325" s="197">
        <f t="shared" si="79"/>
        <v>1</v>
      </c>
      <c r="N325" s="995"/>
      <c r="O325" s="197">
        <f t="shared" si="80"/>
        <v>1</v>
      </c>
      <c r="P325" s="995"/>
      <c r="Q325" s="197">
        <f t="shared" si="81"/>
        <v>1</v>
      </c>
      <c r="R325" s="991">
        <f t="shared" ca="1" si="86"/>
        <v>16091</v>
      </c>
      <c r="S325" s="552">
        <f t="shared" ca="1" si="87"/>
        <v>1736380</v>
      </c>
      <c r="T325" s="2010">
        <f t="shared" ca="1" si="88"/>
        <v>174</v>
      </c>
      <c r="U325" s="2305">
        <f t="shared" si="82"/>
        <v>0</v>
      </c>
      <c r="V325" s="2305">
        <f t="shared" si="83"/>
        <v>0</v>
      </c>
      <c r="W325" s="2300"/>
      <c r="X325" s="2305">
        <f t="shared" si="84"/>
        <v>0</v>
      </c>
      <c r="Y325" s="2305">
        <f t="shared" si="85"/>
        <v>0</v>
      </c>
      <c r="Z325" s="2300"/>
    </row>
    <row r="326" spans="1:26">
      <c r="A326" s="292" t="str">
        <f>'7.15'!B304</f>
        <v>8幢2单元601室</v>
      </c>
      <c r="B326" s="207">
        <f>'7.17'!G304</f>
        <v>107.91</v>
      </c>
      <c r="C326" s="197">
        <f t="shared" si="74"/>
        <v>1.01</v>
      </c>
      <c r="D326" s="995" t="s">
        <v>7606</v>
      </c>
      <c r="E326" s="197">
        <f t="shared" si="75"/>
        <v>1</v>
      </c>
      <c r="F326" s="995" t="str">
        <f>'7.15'!D304</f>
        <v>平层</v>
      </c>
      <c r="G326" s="197">
        <f t="shared" si="76"/>
        <v>1</v>
      </c>
      <c r="H326" s="995" t="str">
        <f>'7.15'!E304</f>
        <v>南北</v>
      </c>
      <c r="I326" s="197">
        <f t="shared" si="77"/>
        <v>1</v>
      </c>
      <c r="J326" s="995"/>
      <c r="K326" s="197">
        <f t="shared" si="78"/>
        <v>1</v>
      </c>
      <c r="L326" s="995"/>
      <c r="M326" s="197">
        <f t="shared" si="79"/>
        <v>1</v>
      </c>
      <c r="N326" s="995"/>
      <c r="O326" s="197">
        <f t="shared" si="80"/>
        <v>1</v>
      </c>
      <c r="P326" s="995"/>
      <c r="Q326" s="197">
        <f t="shared" si="81"/>
        <v>1</v>
      </c>
      <c r="R326" s="991">
        <f t="shared" ca="1" si="86"/>
        <v>16091</v>
      </c>
      <c r="S326" s="552">
        <f t="shared" ca="1" si="87"/>
        <v>1736380</v>
      </c>
      <c r="T326" s="2010">
        <f t="shared" ca="1" si="88"/>
        <v>174</v>
      </c>
      <c r="U326" s="2305">
        <f t="shared" si="82"/>
        <v>0</v>
      </c>
      <c r="V326" s="2305">
        <f t="shared" si="83"/>
        <v>0</v>
      </c>
      <c r="W326" s="2300"/>
      <c r="X326" s="2305">
        <f t="shared" si="84"/>
        <v>0</v>
      </c>
      <c r="Y326" s="2305">
        <f t="shared" si="85"/>
        <v>0</v>
      </c>
      <c r="Z326" s="2300"/>
    </row>
    <row r="327" spans="1:26">
      <c r="A327" s="292" t="str">
        <f>'7.15'!B305</f>
        <v>8幢2单元701室</v>
      </c>
      <c r="B327" s="207">
        <f>'7.17'!G305</f>
        <v>107.91</v>
      </c>
      <c r="C327" s="197">
        <f t="shared" si="74"/>
        <v>1.01</v>
      </c>
      <c r="D327" s="995" t="s">
        <v>7606</v>
      </c>
      <c r="E327" s="197">
        <f t="shared" si="75"/>
        <v>1</v>
      </c>
      <c r="F327" s="995" t="str">
        <f>'7.15'!D305</f>
        <v>平层</v>
      </c>
      <c r="G327" s="197">
        <f t="shared" si="76"/>
        <v>1</v>
      </c>
      <c r="H327" s="995" t="str">
        <f>'7.15'!E305</f>
        <v>南北</v>
      </c>
      <c r="I327" s="197">
        <f t="shared" si="77"/>
        <v>1</v>
      </c>
      <c r="J327" s="995"/>
      <c r="K327" s="197">
        <f t="shared" si="78"/>
        <v>1</v>
      </c>
      <c r="L327" s="995"/>
      <c r="M327" s="197">
        <f t="shared" si="79"/>
        <v>1</v>
      </c>
      <c r="N327" s="995"/>
      <c r="O327" s="197">
        <f t="shared" si="80"/>
        <v>1</v>
      </c>
      <c r="P327" s="995"/>
      <c r="Q327" s="197">
        <f t="shared" si="81"/>
        <v>1</v>
      </c>
      <c r="R327" s="991">
        <f t="shared" ca="1" si="86"/>
        <v>16091</v>
      </c>
      <c r="S327" s="552">
        <f t="shared" ca="1" si="87"/>
        <v>1736380</v>
      </c>
      <c r="T327" s="2010">
        <f t="shared" ca="1" si="88"/>
        <v>174</v>
      </c>
      <c r="U327" s="2305">
        <f t="shared" si="82"/>
        <v>0</v>
      </c>
      <c r="V327" s="2305">
        <f t="shared" si="83"/>
        <v>0</v>
      </c>
      <c r="W327" s="2300"/>
      <c r="X327" s="2305">
        <f t="shared" si="84"/>
        <v>0</v>
      </c>
      <c r="Y327" s="2305">
        <f t="shared" si="85"/>
        <v>0</v>
      </c>
      <c r="Z327" s="2300"/>
    </row>
    <row r="328" spans="1:26">
      <c r="A328" s="292" t="str">
        <f>'7.15'!B306</f>
        <v>8幢2单元801室</v>
      </c>
      <c r="B328" s="207">
        <f>'7.17'!G306</f>
        <v>107.91</v>
      </c>
      <c r="C328" s="197">
        <f t="shared" si="74"/>
        <v>1.01</v>
      </c>
      <c r="D328" s="995" t="s">
        <v>7606</v>
      </c>
      <c r="E328" s="197">
        <f t="shared" si="75"/>
        <v>1</v>
      </c>
      <c r="F328" s="995" t="str">
        <f>'7.15'!D306</f>
        <v>平层</v>
      </c>
      <c r="G328" s="197">
        <f t="shared" si="76"/>
        <v>1</v>
      </c>
      <c r="H328" s="995" t="str">
        <f>'7.15'!E306</f>
        <v>南北</v>
      </c>
      <c r="I328" s="197">
        <f t="shared" si="77"/>
        <v>1</v>
      </c>
      <c r="J328" s="995"/>
      <c r="K328" s="197">
        <f t="shared" si="78"/>
        <v>1</v>
      </c>
      <c r="L328" s="995"/>
      <c r="M328" s="197">
        <f t="shared" si="79"/>
        <v>1</v>
      </c>
      <c r="N328" s="995"/>
      <c r="O328" s="197">
        <f t="shared" si="80"/>
        <v>1</v>
      </c>
      <c r="P328" s="995"/>
      <c r="Q328" s="197">
        <f t="shared" si="81"/>
        <v>1</v>
      </c>
      <c r="R328" s="991">
        <f t="shared" ca="1" si="86"/>
        <v>16091</v>
      </c>
      <c r="S328" s="552">
        <f t="shared" ca="1" si="87"/>
        <v>1736380</v>
      </c>
      <c r="T328" s="2010">
        <f t="shared" ca="1" si="88"/>
        <v>174</v>
      </c>
      <c r="U328" s="2305">
        <f t="shared" si="82"/>
        <v>0</v>
      </c>
      <c r="V328" s="2305">
        <f t="shared" si="83"/>
        <v>0</v>
      </c>
      <c r="W328" s="2300"/>
      <c r="X328" s="2305">
        <f t="shared" si="84"/>
        <v>0</v>
      </c>
      <c r="Y328" s="2305">
        <f t="shared" si="85"/>
        <v>0</v>
      </c>
      <c r="Z328" s="2300"/>
    </row>
    <row r="329" spans="1:26">
      <c r="A329" s="292" t="str">
        <f>'7.15'!B307</f>
        <v>8幢2单元901室</v>
      </c>
      <c r="B329" s="207">
        <f>'7.17'!G307</f>
        <v>107.91</v>
      </c>
      <c r="C329" s="197">
        <f t="shared" si="74"/>
        <v>1.01</v>
      </c>
      <c r="D329" s="995" t="s">
        <v>7606</v>
      </c>
      <c r="E329" s="197">
        <f t="shared" si="75"/>
        <v>1</v>
      </c>
      <c r="F329" s="995" t="str">
        <f>'7.15'!D307</f>
        <v>平层</v>
      </c>
      <c r="G329" s="197">
        <f t="shared" si="76"/>
        <v>1</v>
      </c>
      <c r="H329" s="995" t="str">
        <f>'7.15'!E307</f>
        <v>南北</v>
      </c>
      <c r="I329" s="197">
        <f t="shared" si="77"/>
        <v>1</v>
      </c>
      <c r="J329" s="995"/>
      <c r="K329" s="197">
        <f t="shared" si="78"/>
        <v>1</v>
      </c>
      <c r="L329" s="995"/>
      <c r="M329" s="197">
        <f t="shared" si="79"/>
        <v>1</v>
      </c>
      <c r="N329" s="995"/>
      <c r="O329" s="197">
        <f t="shared" si="80"/>
        <v>1</v>
      </c>
      <c r="P329" s="995"/>
      <c r="Q329" s="197">
        <f t="shared" si="81"/>
        <v>1</v>
      </c>
      <c r="R329" s="991">
        <f t="shared" ca="1" si="86"/>
        <v>16091</v>
      </c>
      <c r="S329" s="552">
        <f t="shared" ca="1" si="87"/>
        <v>1736380</v>
      </c>
      <c r="T329" s="2010">
        <f t="shared" ca="1" si="88"/>
        <v>174</v>
      </c>
      <c r="U329" s="2305">
        <f t="shared" si="82"/>
        <v>0</v>
      </c>
      <c r="V329" s="2305">
        <f t="shared" si="83"/>
        <v>0</v>
      </c>
      <c r="W329" s="2300"/>
      <c r="X329" s="2305">
        <f t="shared" si="84"/>
        <v>0</v>
      </c>
      <c r="Y329" s="2305">
        <f t="shared" si="85"/>
        <v>0</v>
      </c>
      <c r="Z329" s="2300"/>
    </row>
    <row r="330" spans="1:26">
      <c r="A330" s="292" t="str">
        <f>'7.15'!B308</f>
        <v>8幢2单元1001室</v>
      </c>
      <c r="B330" s="207">
        <f>'7.17'!G308</f>
        <v>107.91</v>
      </c>
      <c r="C330" s="197">
        <f t="shared" si="74"/>
        <v>1.01</v>
      </c>
      <c r="D330" s="995" t="s">
        <v>7606</v>
      </c>
      <c r="E330" s="197">
        <f t="shared" si="75"/>
        <v>1</v>
      </c>
      <c r="F330" s="995" t="str">
        <f>'7.15'!D308</f>
        <v>平层</v>
      </c>
      <c r="G330" s="197">
        <f t="shared" si="76"/>
        <v>1</v>
      </c>
      <c r="H330" s="995" t="str">
        <f>'7.15'!E308</f>
        <v>南北</v>
      </c>
      <c r="I330" s="197">
        <f t="shared" si="77"/>
        <v>1</v>
      </c>
      <c r="J330" s="995"/>
      <c r="K330" s="197">
        <f t="shared" si="78"/>
        <v>1</v>
      </c>
      <c r="L330" s="995"/>
      <c r="M330" s="197">
        <f t="shared" si="79"/>
        <v>1</v>
      </c>
      <c r="N330" s="995"/>
      <c r="O330" s="197">
        <f t="shared" si="80"/>
        <v>1</v>
      </c>
      <c r="P330" s="995"/>
      <c r="Q330" s="197">
        <f t="shared" si="81"/>
        <v>1</v>
      </c>
      <c r="R330" s="991">
        <f t="shared" ca="1" si="86"/>
        <v>16091</v>
      </c>
      <c r="S330" s="552">
        <f t="shared" ca="1" si="87"/>
        <v>1736380</v>
      </c>
      <c r="T330" s="2010">
        <f t="shared" ca="1" si="88"/>
        <v>174</v>
      </c>
      <c r="U330" s="2305">
        <f t="shared" si="82"/>
        <v>0</v>
      </c>
      <c r="V330" s="2305">
        <f t="shared" si="83"/>
        <v>0</v>
      </c>
      <c r="W330" s="2300"/>
      <c r="X330" s="2305">
        <f t="shared" si="84"/>
        <v>0</v>
      </c>
      <c r="Y330" s="2305">
        <f t="shared" si="85"/>
        <v>0</v>
      </c>
      <c r="Z330" s="2300"/>
    </row>
    <row r="331" spans="1:26">
      <c r="A331" s="292" t="str">
        <f>'7.15'!B309</f>
        <v>8幢2单元1101室</v>
      </c>
      <c r="B331" s="207">
        <f>'7.17'!G309</f>
        <v>107.91</v>
      </c>
      <c r="C331" s="197">
        <f t="shared" si="74"/>
        <v>1.01</v>
      </c>
      <c r="D331" s="995" t="s">
        <v>7609</v>
      </c>
      <c r="E331" s="197">
        <f t="shared" si="75"/>
        <v>1.04</v>
      </c>
      <c r="F331" s="995" t="str">
        <f>'7.15'!D309</f>
        <v>平层</v>
      </c>
      <c r="G331" s="197">
        <f t="shared" si="76"/>
        <v>1</v>
      </c>
      <c r="H331" s="995" t="str">
        <f>'7.15'!E309</f>
        <v>南北</v>
      </c>
      <c r="I331" s="197">
        <f t="shared" si="77"/>
        <v>1</v>
      </c>
      <c r="J331" s="995"/>
      <c r="K331" s="197">
        <f t="shared" si="78"/>
        <v>1</v>
      </c>
      <c r="L331" s="995"/>
      <c r="M331" s="197">
        <f t="shared" si="79"/>
        <v>1</v>
      </c>
      <c r="N331" s="995"/>
      <c r="O331" s="197">
        <f t="shared" si="80"/>
        <v>1</v>
      </c>
      <c r="P331" s="995"/>
      <c r="Q331" s="197">
        <f t="shared" si="81"/>
        <v>1</v>
      </c>
      <c r="R331" s="991">
        <f t="shared" ca="1" si="86"/>
        <v>16735</v>
      </c>
      <c r="S331" s="552">
        <f t="shared" ca="1" si="87"/>
        <v>1805874</v>
      </c>
      <c r="T331" s="2010">
        <f t="shared" ca="1" si="88"/>
        <v>181</v>
      </c>
      <c r="U331" s="2305">
        <f t="shared" si="82"/>
        <v>0</v>
      </c>
      <c r="V331" s="2305">
        <f t="shared" si="83"/>
        <v>0</v>
      </c>
      <c r="W331" s="2300"/>
      <c r="X331" s="2305">
        <f t="shared" si="84"/>
        <v>0</v>
      </c>
      <c r="Y331" s="2305">
        <f t="shared" si="85"/>
        <v>0</v>
      </c>
      <c r="Z331" s="2300"/>
    </row>
    <row r="332" spans="1:26">
      <c r="A332" s="292" t="str">
        <f>'7.15'!B310</f>
        <v>8幢2单元1201室</v>
      </c>
      <c r="B332" s="207">
        <f>'7.17'!G310</f>
        <v>107.91</v>
      </c>
      <c r="C332" s="197">
        <f t="shared" si="74"/>
        <v>1.01</v>
      </c>
      <c r="D332" s="995" t="s">
        <v>7609</v>
      </c>
      <c r="E332" s="197">
        <f t="shared" si="75"/>
        <v>1.04</v>
      </c>
      <c r="F332" s="995" t="str">
        <f>'7.15'!D310</f>
        <v>平层</v>
      </c>
      <c r="G332" s="197">
        <f t="shared" si="76"/>
        <v>1</v>
      </c>
      <c r="H332" s="995" t="str">
        <f>'7.15'!E310</f>
        <v>南北</v>
      </c>
      <c r="I332" s="197">
        <f t="shared" si="77"/>
        <v>1</v>
      </c>
      <c r="J332" s="995"/>
      <c r="K332" s="197">
        <f t="shared" si="78"/>
        <v>1</v>
      </c>
      <c r="L332" s="995"/>
      <c r="M332" s="197">
        <f t="shared" si="79"/>
        <v>1</v>
      </c>
      <c r="N332" s="995"/>
      <c r="O332" s="197">
        <f t="shared" si="80"/>
        <v>1</v>
      </c>
      <c r="P332" s="995"/>
      <c r="Q332" s="197">
        <f t="shared" si="81"/>
        <v>1</v>
      </c>
      <c r="R332" s="991">
        <f t="shared" ca="1" si="86"/>
        <v>16735</v>
      </c>
      <c r="S332" s="552">
        <f t="shared" ca="1" si="87"/>
        <v>1805874</v>
      </c>
      <c r="T332" s="2010">
        <f t="shared" ca="1" si="88"/>
        <v>181</v>
      </c>
      <c r="U332" s="2305">
        <f t="shared" si="82"/>
        <v>0</v>
      </c>
      <c r="V332" s="2305">
        <f t="shared" si="83"/>
        <v>0</v>
      </c>
      <c r="W332" s="2300"/>
      <c r="X332" s="2305">
        <f t="shared" si="84"/>
        <v>0</v>
      </c>
      <c r="Y332" s="2305">
        <f t="shared" si="85"/>
        <v>0</v>
      </c>
      <c r="Z332" s="2300"/>
    </row>
    <row r="333" spans="1:26">
      <c r="A333" s="292" t="str">
        <f>'7.15'!B311</f>
        <v>8幢2单元1301室</v>
      </c>
      <c r="B333" s="207">
        <f>'7.17'!G311</f>
        <v>107.91</v>
      </c>
      <c r="C333" s="197">
        <f t="shared" si="74"/>
        <v>1.01</v>
      </c>
      <c r="D333" s="995" t="s">
        <v>7609</v>
      </c>
      <c r="E333" s="197">
        <f t="shared" si="75"/>
        <v>1.04</v>
      </c>
      <c r="F333" s="995" t="str">
        <f>'7.15'!D311</f>
        <v>平层</v>
      </c>
      <c r="G333" s="197">
        <f t="shared" si="76"/>
        <v>1</v>
      </c>
      <c r="H333" s="995" t="str">
        <f>'7.15'!E311</f>
        <v>南北</v>
      </c>
      <c r="I333" s="197">
        <f t="shared" si="77"/>
        <v>1</v>
      </c>
      <c r="J333" s="995"/>
      <c r="K333" s="197">
        <f t="shared" si="78"/>
        <v>1</v>
      </c>
      <c r="L333" s="995"/>
      <c r="M333" s="197">
        <f t="shared" si="79"/>
        <v>1</v>
      </c>
      <c r="N333" s="995"/>
      <c r="O333" s="197">
        <f t="shared" si="80"/>
        <v>1</v>
      </c>
      <c r="P333" s="995"/>
      <c r="Q333" s="197">
        <f t="shared" si="81"/>
        <v>1</v>
      </c>
      <c r="R333" s="991">
        <f t="shared" ca="1" si="86"/>
        <v>16735</v>
      </c>
      <c r="S333" s="552">
        <f t="shared" ca="1" si="87"/>
        <v>1805874</v>
      </c>
      <c r="T333" s="2010">
        <f t="shared" ca="1" si="88"/>
        <v>181</v>
      </c>
      <c r="U333" s="2305">
        <f t="shared" si="82"/>
        <v>0</v>
      </c>
      <c r="V333" s="2305">
        <f t="shared" si="83"/>
        <v>0</v>
      </c>
      <c r="W333" s="2300"/>
      <c r="X333" s="2305">
        <f t="shared" si="84"/>
        <v>0</v>
      </c>
      <c r="Y333" s="2305">
        <f t="shared" si="85"/>
        <v>0</v>
      </c>
      <c r="Z333" s="2300"/>
    </row>
    <row r="334" spans="1:26">
      <c r="A334" s="292" t="str">
        <f>'7.15'!B312</f>
        <v>8幢2单元1401室</v>
      </c>
      <c r="B334" s="207">
        <f>'7.17'!G312</f>
        <v>107.91</v>
      </c>
      <c r="C334" s="197">
        <f t="shared" si="74"/>
        <v>1.01</v>
      </c>
      <c r="D334" s="995" t="s">
        <v>7609</v>
      </c>
      <c r="E334" s="197">
        <f t="shared" si="75"/>
        <v>1.04</v>
      </c>
      <c r="F334" s="995" t="str">
        <f>'7.15'!D312</f>
        <v>平层</v>
      </c>
      <c r="G334" s="197">
        <f t="shared" si="76"/>
        <v>1</v>
      </c>
      <c r="H334" s="995" t="str">
        <f>'7.15'!E312</f>
        <v>南北</v>
      </c>
      <c r="I334" s="197">
        <f t="shared" si="77"/>
        <v>1</v>
      </c>
      <c r="J334" s="995"/>
      <c r="K334" s="197">
        <f t="shared" si="78"/>
        <v>1</v>
      </c>
      <c r="L334" s="995"/>
      <c r="M334" s="197">
        <f t="shared" si="79"/>
        <v>1</v>
      </c>
      <c r="N334" s="995"/>
      <c r="O334" s="197">
        <f t="shared" si="80"/>
        <v>1</v>
      </c>
      <c r="P334" s="995"/>
      <c r="Q334" s="197">
        <f t="shared" si="81"/>
        <v>1</v>
      </c>
      <c r="R334" s="991">
        <f t="shared" ca="1" si="86"/>
        <v>16735</v>
      </c>
      <c r="S334" s="552">
        <f t="shared" ca="1" si="87"/>
        <v>1805874</v>
      </c>
      <c r="T334" s="2010">
        <f t="shared" ca="1" si="88"/>
        <v>181</v>
      </c>
      <c r="U334" s="2305">
        <f t="shared" si="82"/>
        <v>0</v>
      </c>
      <c r="V334" s="2305">
        <f t="shared" si="83"/>
        <v>0</v>
      </c>
      <c r="W334" s="2300"/>
      <c r="X334" s="2305">
        <f t="shared" si="84"/>
        <v>0</v>
      </c>
      <c r="Y334" s="2305">
        <f t="shared" si="85"/>
        <v>0</v>
      </c>
      <c r="Z334" s="2300"/>
    </row>
    <row r="335" spans="1:26">
      <c r="A335" s="292" t="str">
        <f>'7.15'!B313</f>
        <v>8幢2单元1501室</v>
      </c>
      <c r="B335" s="207">
        <f>'7.17'!G313</f>
        <v>107.91</v>
      </c>
      <c r="C335" s="197">
        <f t="shared" si="74"/>
        <v>1.01</v>
      </c>
      <c r="D335" s="995" t="s">
        <v>7609</v>
      </c>
      <c r="E335" s="197">
        <f t="shared" si="75"/>
        <v>1.04</v>
      </c>
      <c r="F335" s="995" t="str">
        <f>'7.15'!D313</f>
        <v>平层</v>
      </c>
      <c r="G335" s="197">
        <f t="shared" si="76"/>
        <v>1</v>
      </c>
      <c r="H335" s="995" t="str">
        <f>'7.15'!E313</f>
        <v>南北</v>
      </c>
      <c r="I335" s="197">
        <f t="shared" si="77"/>
        <v>1</v>
      </c>
      <c r="J335" s="995"/>
      <c r="K335" s="197">
        <f t="shared" si="78"/>
        <v>1</v>
      </c>
      <c r="L335" s="995"/>
      <c r="M335" s="197">
        <f t="shared" si="79"/>
        <v>1</v>
      </c>
      <c r="N335" s="995"/>
      <c r="O335" s="197">
        <f t="shared" si="80"/>
        <v>1</v>
      </c>
      <c r="P335" s="995"/>
      <c r="Q335" s="197">
        <f t="shared" si="81"/>
        <v>1</v>
      </c>
      <c r="R335" s="991">
        <f t="shared" ca="1" si="86"/>
        <v>16735</v>
      </c>
      <c r="S335" s="552">
        <f t="shared" ca="1" si="87"/>
        <v>1805874</v>
      </c>
      <c r="T335" s="2010">
        <f t="shared" ca="1" si="88"/>
        <v>181</v>
      </c>
      <c r="U335" s="2305">
        <f t="shared" si="82"/>
        <v>0</v>
      </c>
      <c r="V335" s="2305">
        <f t="shared" si="83"/>
        <v>0</v>
      </c>
      <c r="W335" s="2300"/>
      <c r="X335" s="2305">
        <f t="shared" si="84"/>
        <v>0</v>
      </c>
      <c r="Y335" s="2305">
        <f t="shared" si="85"/>
        <v>0</v>
      </c>
      <c r="Z335" s="2300"/>
    </row>
    <row r="336" spans="1:26">
      <c r="A336" s="292" t="str">
        <f>'7.15'!B314</f>
        <v>8幢2单元1601室</v>
      </c>
      <c r="B336" s="207">
        <f>'7.17'!G314</f>
        <v>107.91</v>
      </c>
      <c r="C336" s="197">
        <f t="shared" si="74"/>
        <v>1.01</v>
      </c>
      <c r="D336" s="995" t="s">
        <v>7609</v>
      </c>
      <c r="E336" s="197">
        <f t="shared" si="75"/>
        <v>1.04</v>
      </c>
      <c r="F336" s="995" t="str">
        <f>'7.15'!D314</f>
        <v>平层</v>
      </c>
      <c r="G336" s="197">
        <f t="shared" si="76"/>
        <v>1</v>
      </c>
      <c r="H336" s="995" t="str">
        <f>'7.15'!E314</f>
        <v>南北</v>
      </c>
      <c r="I336" s="197">
        <f t="shared" si="77"/>
        <v>1</v>
      </c>
      <c r="J336" s="995"/>
      <c r="K336" s="197">
        <f t="shared" si="78"/>
        <v>1</v>
      </c>
      <c r="L336" s="995"/>
      <c r="M336" s="197">
        <f t="shared" si="79"/>
        <v>1</v>
      </c>
      <c r="N336" s="995"/>
      <c r="O336" s="197">
        <f t="shared" si="80"/>
        <v>1</v>
      </c>
      <c r="P336" s="995"/>
      <c r="Q336" s="197">
        <f t="shared" si="81"/>
        <v>1</v>
      </c>
      <c r="R336" s="991">
        <f t="shared" ca="1" si="86"/>
        <v>16735</v>
      </c>
      <c r="S336" s="552">
        <f t="shared" ca="1" si="87"/>
        <v>1805874</v>
      </c>
      <c r="T336" s="2010">
        <f t="shared" ca="1" si="88"/>
        <v>181</v>
      </c>
      <c r="U336" s="2305">
        <f t="shared" si="82"/>
        <v>0</v>
      </c>
      <c r="V336" s="2305">
        <f t="shared" si="83"/>
        <v>0</v>
      </c>
      <c r="W336" s="2300"/>
      <c r="X336" s="2305">
        <f t="shared" si="84"/>
        <v>0</v>
      </c>
      <c r="Y336" s="2305">
        <f t="shared" si="85"/>
        <v>0</v>
      </c>
      <c r="Z336" s="2300"/>
    </row>
    <row r="337" spans="1:26">
      <c r="A337" s="292" t="str">
        <f>'7.15'!B315</f>
        <v>8幢2单元1701室</v>
      </c>
      <c r="B337" s="207">
        <f>'7.17'!G315</f>
        <v>107.91</v>
      </c>
      <c r="C337" s="197">
        <f t="shared" si="74"/>
        <v>1.01</v>
      </c>
      <c r="D337" s="995" t="s">
        <v>7609</v>
      </c>
      <c r="E337" s="197">
        <f t="shared" si="75"/>
        <v>1.04</v>
      </c>
      <c r="F337" s="995" t="str">
        <f>'7.15'!D315</f>
        <v>平层</v>
      </c>
      <c r="G337" s="197">
        <f t="shared" si="76"/>
        <v>1</v>
      </c>
      <c r="H337" s="995" t="str">
        <f>'7.15'!E315</f>
        <v>南北</v>
      </c>
      <c r="I337" s="197">
        <f t="shared" si="77"/>
        <v>1</v>
      </c>
      <c r="J337" s="995"/>
      <c r="K337" s="197">
        <f t="shared" si="78"/>
        <v>1</v>
      </c>
      <c r="L337" s="995"/>
      <c r="M337" s="197">
        <f t="shared" si="79"/>
        <v>1</v>
      </c>
      <c r="N337" s="995"/>
      <c r="O337" s="197">
        <f t="shared" si="80"/>
        <v>1</v>
      </c>
      <c r="P337" s="995"/>
      <c r="Q337" s="197">
        <f t="shared" si="81"/>
        <v>1</v>
      </c>
      <c r="R337" s="991">
        <f t="shared" ca="1" si="86"/>
        <v>16735</v>
      </c>
      <c r="S337" s="552">
        <f t="shared" ca="1" si="87"/>
        <v>1805874</v>
      </c>
      <c r="T337" s="2010">
        <f t="shared" ca="1" si="88"/>
        <v>181</v>
      </c>
      <c r="U337" s="2305">
        <f t="shared" si="82"/>
        <v>0</v>
      </c>
      <c r="V337" s="2305">
        <f t="shared" si="83"/>
        <v>0</v>
      </c>
      <c r="W337" s="2300"/>
      <c r="X337" s="2305">
        <f t="shared" si="84"/>
        <v>0</v>
      </c>
      <c r="Y337" s="2305">
        <f t="shared" si="85"/>
        <v>0</v>
      </c>
      <c r="Z337" s="2300"/>
    </row>
    <row r="338" spans="1:26">
      <c r="A338" s="292" t="str">
        <f>'7.15'!B316</f>
        <v>8幢2单元1801室</v>
      </c>
      <c r="B338" s="207">
        <f>'7.17'!G316</f>
        <v>107.91</v>
      </c>
      <c r="C338" s="197">
        <f t="shared" si="74"/>
        <v>1.01</v>
      </c>
      <c r="D338" s="995" t="s">
        <v>7609</v>
      </c>
      <c r="E338" s="197">
        <f t="shared" si="75"/>
        <v>1.04</v>
      </c>
      <c r="F338" s="995" t="str">
        <f>'7.15'!D316</f>
        <v>平层</v>
      </c>
      <c r="G338" s="197">
        <f t="shared" si="76"/>
        <v>1</v>
      </c>
      <c r="H338" s="995" t="str">
        <f>'7.15'!E316</f>
        <v>南北</v>
      </c>
      <c r="I338" s="197">
        <f t="shared" si="77"/>
        <v>1</v>
      </c>
      <c r="J338" s="995"/>
      <c r="K338" s="197">
        <f t="shared" si="78"/>
        <v>1</v>
      </c>
      <c r="L338" s="995"/>
      <c r="M338" s="197">
        <f t="shared" si="79"/>
        <v>1</v>
      </c>
      <c r="N338" s="995"/>
      <c r="O338" s="197">
        <f t="shared" si="80"/>
        <v>1</v>
      </c>
      <c r="P338" s="995"/>
      <c r="Q338" s="197">
        <f t="shared" si="81"/>
        <v>1</v>
      </c>
      <c r="R338" s="991">
        <f t="shared" ca="1" si="86"/>
        <v>16735</v>
      </c>
      <c r="S338" s="552">
        <f t="shared" ca="1" si="87"/>
        <v>1805874</v>
      </c>
      <c r="T338" s="2010">
        <f t="shared" ca="1" si="88"/>
        <v>181</v>
      </c>
      <c r="U338" s="2305">
        <f t="shared" si="82"/>
        <v>0</v>
      </c>
      <c r="V338" s="2305">
        <f t="shared" si="83"/>
        <v>0</v>
      </c>
      <c r="W338" s="2300"/>
      <c r="X338" s="2305">
        <f t="shared" si="84"/>
        <v>0</v>
      </c>
      <c r="Y338" s="2305">
        <f t="shared" si="85"/>
        <v>0</v>
      </c>
      <c r="Z338" s="2300"/>
    </row>
    <row r="339" spans="1:26">
      <c r="A339" s="292" t="str">
        <f>'7.15'!B317</f>
        <v>8幢2单元1901室</v>
      </c>
      <c r="B339" s="207">
        <f>'7.17'!G317</f>
        <v>107.91</v>
      </c>
      <c r="C339" s="197">
        <f t="shared" si="74"/>
        <v>1.01</v>
      </c>
      <c r="D339" s="995" t="s">
        <v>7609</v>
      </c>
      <c r="E339" s="197">
        <f t="shared" si="75"/>
        <v>1.04</v>
      </c>
      <c r="F339" s="995" t="str">
        <f>'7.15'!D317</f>
        <v>平层</v>
      </c>
      <c r="G339" s="197">
        <f t="shared" si="76"/>
        <v>1</v>
      </c>
      <c r="H339" s="995" t="str">
        <f>'7.15'!E317</f>
        <v>南北</v>
      </c>
      <c r="I339" s="197">
        <f t="shared" si="77"/>
        <v>1</v>
      </c>
      <c r="J339" s="995"/>
      <c r="K339" s="197">
        <f t="shared" si="78"/>
        <v>1</v>
      </c>
      <c r="L339" s="995"/>
      <c r="M339" s="197">
        <f t="shared" si="79"/>
        <v>1</v>
      </c>
      <c r="N339" s="995"/>
      <c r="O339" s="197">
        <f t="shared" si="80"/>
        <v>1</v>
      </c>
      <c r="P339" s="995"/>
      <c r="Q339" s="197">
        <f t="shared" si="81"/>
        <v>1</v>
      </c>
      <c r="R339" s="991">
        <f t="shared" ca="1" si="86"/>
        <v>16735</v>
      </c>
      <c r="S339" s="552">
        <f t="shared" ca="1" si="87"/>
        <v>1805874</v>
      </c>
      <c r="T339" s="2010">
        <f t="shared" ca="1" si="88"/>
        <v>181</v>
      </c>
      <c r="U339" s="2305">
        <f t="shared" si="82"/>
        <v>0</v>
      </c>
      <c r="V339" s="2305">
        <f t="shared" si="83"/>
        <v>0</v>
      </c>
      <c r="W339" s="2300"/>
      <c r="X339" s="2305">
        <f t="shared" si="84"/>
        <v>0</v>
      </c>
      <c r="Y339" s="2305">
        <f t="shared" si="85"/>
        <v>0</v>
      </c>
      <c r="Z339" s="2300"/>
    </row>
    <row r="340" spans="1:26">
      <c r="A340" s="292" t="str">
        <f>'7.15'!B318</f>
        <v>8幢2单元2001室</v>
      </c>
      <c r="B340" s="207">
        <f>'7.17'!G318</f>
        <v>107.91</v>
      </c>
      <c r="C340" s="197">
        <f t="shared" si="74"/>
        <v>1.01</v>
      </c>
      <c r="D340" s="995" t="s">
        <v>7609</v>
      </c>
      <c r="E340" s="197">
        <f t="shared" si="75"/>
        <v>1.04</v>
      </c>
      <c r="F340" s="995" t="str">
        <f>'7.15'!D318</f>
        <v>平层</v>
      </c>
      <c r="G340" s="197">
        <f t="shared" si="76"/>
        <v>1</v>
      </c>
      <c r="H340" s="995" t="str">
        <f>'7.15'!E318</f>
        <v>南北</v>
      </c>
      <c r="I340" s="197">
        <f t="shared" si="77"/>
        <v>1</v>
      </c>
      <c r="J340" s="995"/>
      <c r="K340" s="197">
        <f t="shared" si="78"/>
        <v>1</v>
      </c>
      <c r="L340" s="995"/>
      <c r="M340" s="197">
        <f t="shared" si="79"/>
        <v>1</v>
      </c>
      <c r="N340" s="995"/>
      <c r="O340" s="197">
        <f t="shared" si="80"/>
        <v>1</v>
      </c>
      <c r="P340" s="995"/>
      <c r="Q340" s="197">
        <f t="shared" si="81"/>
        <v>1</v>
      </c>
      <c r="R340" s="991">
        <f t="shared" ca="1" si="86"/>
        <v>16735</v>
      </c>
      <c r="S340" s="552">
        <f t="shared" ca="1" si="87"/>
        <v>1805874</v>
      </c>
      <c r="T340" s="2010">
        <f t="shared" ca="1" si="88"/>
        <v>181</v>
      </c>
      <c r="U340" s="2305">
        <f t="shared" si="82"/>
        <v>0</v>
      </c>
      <c r="V340" s="2305">
        <f t="shared" si="83"/>
        <v>0</v>
      </c>
      <c r="W340" s="2300"/>
      <c r="X340" s="2305">
        <f t="shared" si="84"/>
        <v>0</v>
      </c>
      <c r="Y340" s="2305">
        <f t="shared" si="85"/>
        <v>0</v>
      </c>
      <c r="Z340" s="2300"/>
    </row>
    <row r="341" spans="1:26">
      <c r="A341" s="292" t="str">
        <f>'7.15'!B319</f>
        <v>8幢2单元2101室</v>
      </c>
      <c r="B341" s="207">
        <f>'7.17'!G319</f>
        <v>107.91</v>
      </c>
      <c r="C341" s="197">
        <f t="shared" si="74"/>
        <v>1.01</v>
      </c>
      <c r="D341" s="995" t="s">
        <v>7608</v>
      </c>
      <c r="E341" s="197">
        <f t="shared" si="75"/>
        <v>1.02</v>
      </c>
      <c r="F341" s="995" t="str">
        <f>'7.15'!D319</f>
        <v>平层</v>
      </c>
      <c r="G341" s="197">
        <f t="shared" si="76"/>
        <v>1</v>
      </c>
      <c r="H341" s="995" t="str">
        <f>'7.15'!E319</f>
        <v>南北</v>
      </c>
      <c r="I341" s="197">
        <f t="shared" si="77"/>
        <v>1</v>
      </c>
      <c r="J341" s="995"/>
      <c r="K341" s="197">
        <f t="shared" si="78"/>
        <v>1</v>
      </c>
      <c r="L341" s="995"/>
      <c r="M341" s="197">
        <f t="shared" si="79"/>
        <v>1</v>
      </c>
      <c r="N341" s="995"/>
      <c r="O341" s="197">
        <f t="shared" si="80"/>
        <v>1</v>
      </c>
      <c r="P341" s="995"/>
      <c r="Q341" s="197">
        <f t="shared" si="81"/>
        <v>1</v>
      </c>
      <c r="R341" s="991">
        <f t="shared" ca="1" si="86"/>
        <v>16413</v>
      </c>
      <c r="S341" s="552">
        <f t="shared" ca="1" si="87"/>
        <v>1771127</v>
      </c>
      <c r="T341" s="2010">
        <f t="shared" ca="1" si="88"/>
        <v>177</v>
      </c>
      <c r="U341" s="2305">
        <f t="shared" si="82"/>
        <v>0</v>
      </c>
      <c r="V341" s="2305">
        <f t="shared" si="83"/>
        <v>0</v>
      </c>
      <c r="W341" s="2300"/>
      <c r="X341" s="2305">
        <f t="shared" si="84"/>
        <v>0</v>
      </c>
      <c r="Y341" s="2305">
        <f t="shared" si="85"/>
        <v>0</v>
      </c>
      <c r="Z341" s="2300"/>
    </row>
    <row r="342" spans="1:26">
      <c r="A342" s="292" t="str">
        <f>'7.15'!B320</f>
        <v>8幢2单元2201室</v>
      </c>
      <c r="B342" s="207">
        <f>'7.17'!G320</f>
        <v>107.91</v>
      </c>
      <c r="C342" s="197">
        <f t="shared" si="74"/>
        <v>1.01</v>
      </c>
      <c r="D342" s="995" t="s">
        <v>7608</v>
      </c>
      <c r="E342" s="197">
        <f t="shared" si="75"/>
        <v>1.02</v>
      </c>
      <c r="F342" s="995" t="str">
        <f>'7.15'!D320</f>
        <v>平层</v>
      </c>
      <c r="G342" s="197">
        <f t="shared" si="76"/>
        <v>1</v>
      </c>
      <c r="H342" s="995" t="str">
        <f>'7.15'!E320</f>
        <v>南北</v>
      </c>
      <c r="I342" s="197">
        <f t="shared" si="77"/>
        <v>1</v>
      </c>
      <c r="J342" s="995"/>
      <c r="K342" s="197">
        <f t="shared" si="78"/>
        <v>1</v>
      </c>
      <c r="L342" s="995"/>
      <c r="M342" s="197">
        <f t="shared" si="79"/>
        <v>1</v>
      </c>
      <c r="N342" s="995"/>
      <c r="O342" s="197">
        <f t="shared" si="80"/>
        <v>1</v>
      </c>
      <c r="P342" s="995"/>
      <c r="Q342" s="197">
        <f t="shared" si="81"/>
        <v>1</v>
      </c>
      <c r="R342" s="991">
        <f t="shared" ca="1" si="86"/>
        <v>16413</v>
      </c>
      <c r="S342" s="552">
        <f t="shared" ca="1" si="87"/>
        <v>1771127</v>
      </c>
      <c r="T342" s="2010">
        <f t="shared" ca="1" si="88"/>
        <v>177</v>
      </c>
      <c r="U342" s="2305">
        <f t="shared" si="82"/>
        <v>0</v>
      </c>
      <c r="V342" s="2305">
        <f t="shared" si="83"/>
        <v>0</v>
      </c>
      <c r="W342" s="2300"/>
      <c r="X342" s="2305">
        <f t="shared" si="84"/>
        <v>0</v>
      </c>
      <c r="Y342" s="2305">
        <f t="shared" si="85"/>
        <v>0</v>
      </c>
      <c r="Z342" s="2300"/>
    </row>
    <row r="343" spans="1:26">
      <c r="A343" s="292" t="str">
        <f>'7.15'!B321</f>
        <v>8幢2单元2301室</v>
      </c>
      <c r="B343" s="207">
        <f>'7.17'!G321</f>
        <v>107.91</v>
      </c>
      <c r="C343" s="197">
        <f t="shared" si="74"/>
        <v>1.01</v>
      </c>
      <c r="D343" s="995" t="s">
        <v>7608</v>
      </c>
      <c r="E343" s="197">
        <f t="shared" si="75"/>
        <v>1.02</v>
      </c>
      <c r="F343" s="995" t="str">
        <f>'7.15'!D321</f>
        <v>平层</v>
      </c>
      <c r="G343" s="197">
        <f t="shared" si="76"/>
        <v>1</v>
      </c>
      <c r="H343" s="995" t="str">
        <f>'7.15'!E321</f>
        <v>南北</v>
      </c>
      <c r="I343" s="197">
        <f t="shared" si="77"/>
        <v>1</v>
      </c>
      <c r="J343" s="995"/>
      <c r="K343" s="197">
        <f t="shared" si="78"/>
        <v>1</v>
      </c>
      <c r="L343" s="995"/>
      <c r="M343" s="197">
        <f t="shared" si="79"/>
        <v>1</v>
      </c>
      <c r="N343" s="995"/>
      <c r="O343" s="197">
        <f t="shared" si="80"/>
        <v>1</v>
      </c>
      <c r="P343" s="995"/>
      <c r="Q343" s="197">
        <f t="shared" si="81"/>
        <v>1</v>
      </c>
      <c r="R343" s="991">
        <f t="shared" ca="1" si="86"/>
        <v>16413</v>
      </c>
      <c r="S343" s="552">
        <f t="shared" ca="1" si="87"/>
        <v>1771127</v>
      </c>
      <c r="T343" s="2010">
        <f t="shared" ca="1" si="88"/>
        <v>177</v>
      </c>
      <c r="U343" s="2305">
        <f t="shared" si="82"/>
        <v>0</v>
      </c>
      <c r="V343" s="2305">
        <f t="shared" si="83"/>
        <v>0</v>
      </c>
      <c r="W343" s="2300"/>
      <c r="X343" s="2305">
        <f t="shared" si="84"/>
        <v>0</v>
      </c>
      <c r="Y343" s="2305">
        <f t="shared" si="85"/>
        <v>0</v>
      </c>
      <c r="Z343" s="2300"/>
    </row>
    <row r="344" spans="1:26">
      <c r="A344" s="292" t="str">
        <f>'7.15'!B322</f>
        <v>8幢2单元2401室</v>
      </c>
      <c r="B344" s="207">
        <f>'7.17'!G322</f>
        <v>107.91</v>
      </c>
      <c r="C344" s="197">
        <f t="shared" si="74"/>
        <v>1.01</v>
      </c>
      <c r="D344" s="995" t="s">
        <v>7608</v>
      </c>
      <c r="E344" s="197">
        <f t="shared" si="75"/>
        <v>1.02</v>
      </c>
      <c r="F344" s="995" t="str">
        <f>'7.15'!D322</f>
        <v>平层</v>
      </c>
      <c r="G344" s="197">
        <f t="shared" si="76"/>
        <v>1</v>
      </c>
      <c r="H344" s="995" t="str">
        <f>'7.15'!E322</f>
        <v>南北</v>
      </c>
      <c r="I344" s="197">
        <f t="shared" si="77"/>
        <v>1</v>
      </c>
      <c r="J344" s="995"/>
      <c r="K344" s="197">
        <f t="shared" si="78"/>
        <v>1</v>
      </c>
      <c r="L344" s="995"/>
      <c r="M344" s="197">
        <f t="shared" si="79"/>
        <v>1</v>
      </c>
      <c r="N344" s="995"/>
      <c r="O344" s="197">
        <f t="shared" si="80"/>
        <v>1</v>
      </c>
      <c r="P344" s="995"/>
      <c r="Q344" s="197">
        <f t="shared" si="81"/>
        <v>1</v>
      </c>
      <c r="R344" s="991">
        <f t="shared" ca="1" si="86"/>
        <v>16413</v>
      </c>
      <c r="S344" s="552">
        <f t="shared" ca="1" si="87"/>
        <v>1771127</v>
      </c>
      <c r="T344" s="2010">
        <f t="shared" ca="1" si="88"/>
        <v>177</v>
      </c>
      <c r="U344" s="2305">
        <f t="shared" si="82"/>
        <v>0</v>
      </c>
      <c r="V344" s="2305">
        <f t="shared" si="83"/>
        <v>0</v>
      </c>
      <c r="W344" s="2300"/>
      <c r="X344" s="2305">
        <f t="shared" si="84"/>
        <v>0</v>
      </c>
      <c r="Y344" s="2305">
        <f t="shared" si="85"/>
        <v>0</v>
      </c>
      <c r="Z344" s="2300"/>
    </row>
    <row r="345" spans="1:26">
      <c r="A345" s="292" t="str">
        <f>'7.15'!B323</f>
        <v>8幢2单元2501室</v>
      </c>
      <c r="B345" s="207">
        <f>'7.17'!G323</f>
        <v>107.91</v>
      </c>
      <c r="C345" s="197">
        <f t="shared" si="74"/>
        <v>1.01</v>
      </c>
      <c r="D345" s="995" t="s">
        <v>7608</v>
      </c>
      <c r="E345" s="197">
        <f t="shared" si="75"/>
        <v>1.02</v>
      </c>
      <c r="F345" s="995" t="str">
        <f>'7.15'!D323</f>
        <v>平层</v>
      </c>
      <c r="G345" s="197">
        <f t="shared" si="76"/>
        <v>1</v>
      </c>
      <c r="H345" s="995" t="str">
        <f>'7.15'!E323</f>
        <v>南北</v>
      </c>
      <c r="I345" s="197">
        <f t="shared" si="77"/>
        <v>1</v>
      </c>
      <c r="J345" s="995"/>
      <c r="K345" s="197">
        <f t="shared" si="78"/>
        <v>1</v>
      </c>
      <c r="L345" s="995"/>
      <c r="M345" s="197">
        <f t="shared" si="79"/>
        <v>1</v>
      </c>
      <c r="N345" s="995"/>
      <c r="O345" s="197">
        <f t="shared" si="80"/>
        <v>1</v>
      </c>
      <c r="P345" s="995"/>
      <c r="Q345" s="197">
        <f t="shared" si="81"/>
        <v>1</v>
      </c>
      <c r="R345" s="991">
        <f t="shared" ca="1" si="86"/>
        <v>16413</v>
      </c>
      <c r="S345" s="552">
        <f t="shared" ca="1" si="87"/>
        <v>1771127</v>
      </c>
      <c r="T345" s="2010">
        <f t="shared" ca="1" si="88"/>
        <v>177</v>
      </c>
      <c r="U345" s="2305">
        <f t="shared" si="82"/>
        <v>0</v>
      </c>
      <c r="V345" s="2305">
        <f t="shared" si="83"/>
        <v>0</v>
      </c>
      <c r="W345" s="2300"/>
      <c r="X345" s="2305">
        <f t="shared" si="84"/>
        <v>0</v>
      </c>
      <c r="Y345" s="2305">
        <f t="shared" si="85"/>
        <v>0</v>
      </c>
      <c r="Z345" s="2300"/>
    </row>
    <row r="346" spans="1:26">
      <c r="A346" s="292" t="str">
        <f>'7.15'!B324</f>
        <v>8幢2单元2601室</v>
      </c>
      <c r="B346" s="207">
        <f>'7.17'!G324</f>
        <v>107.91</v>
      </c>
      <c r="C346" s="197">
        <f t="shared" si="74"/>
        <v>1.01</v>
      </c>
      <c r="D346" s="995" t="s">
        <v>7608</v>
      </c>
      <c r="E346" s="197">
        <f t="shared" si="75"/>
        <v>1.02</v>
      </c>
      <c r="F346" s="995" t="str">
        <f>'7.15'!D324</f>
        <v>平层</v>
      </c>
      <c r="G346" s="197">
        <f t="shared" si="76"/>
        <v>1</v>
      </c>
      <c r="H346" s="995" t="str">
        <f>'7.15'!E324</f>
        <v>南北</v>
      </c>
      <c r="I346" s="197">
        <f t="shared" si="77"/>
        <v>1</v>
      </c>
      <c r="J346" s="995"/>
      <c r="K346" s="197">
        <f t="shared" si="78"/>
        <v>1</v>
      </c>
      <c r="L346" s="995"/>
      <c r="M346" s="197">
        <f t="shared" si="79"/>
        <v>1</v>
      </c>
      <c r="N346" s="995"/>
      <c r="O346" s="197">
        <f t="shared" si="80"/>
        <v>1</v>
      </c>
      <c r="P346" s="995"/>
      <c r="Q346" s="197">
        <f t="shared" si="81"/>
        <v>1</v>
      </c>
      <c r="R346" s="991">
        <f t="shared" ca="1" si="86"/>
        <v>16413</v>
      </c>
      <c r="S346" s="552">
        <f t="shared" ca="1" si="87"/>
        <v>1771127</v>
      </c>
      <c r="T346" s="2010">
        <f t="shared" ca="1" si="88"/>
        <v>177</v>
      </c>
      <c r="U346" s="2305">
        <f t="shared" si="82"/>
        <v>0</v>
      </c>
      <c r="V346" s="2305">
        <f t="shared" si="83"/>
        <v>0</v>
      </c>
      <c r="W346" s="2300"/>
      <c r="X346" s="2305">
        <f t="shared" si="84"/>
        <v>0</v>
      </c>
      <c r="Y346" s="2305">
        <f t="shared" si="85"/>
        <v>0</v>
      </c>
      <c r="Z346" s="2300"/>
    </row>
    <row r="347" spans="1:26">
      <c r="A347" s="292" t="str">
        <f>'7.15'!B325</f>
        <v>8幢2单元2701室</v>
      </c>
      <c r="B347" s="207">
        <f>'7.17'!G325</f>
        <v>107.91</v>
      </c>
      <c r="C347" s="197">
        <f t="shared" si="74"/>
        <v>1.01</v>
      </c>
      <c r="D347" s="995" t="s">
        <v>7608</v>
      </c>
      <c r="E347" s="197">
        <f t="shared" si="75"/>
        <v>1.02</v>
      </c>
      <c r="F347" s="995" t="str">
        <f>'7.15'!D325</f>
        <v>平层</v>
      </c>
      <c r="G347" s="197">
        <f t="shared" si="76"/>
        <v>1</v>
      </c>
      <c r="H347" s="995" t="str">
        <f>'7.15'!E325</f>
        <v>南北</v>
      </c>
      <c r="I347" s="197">
        <f t="shared" si="77"/>
        <v>1</v>
      </c>
      <c r="J347" s="995"/>
      <c r="K347" s="197">
        <f t="shared" si="78"/>
        <v>1</v>
      </c>
      <c r="L347" s="995"/>
      <c r="M347" s="197">
        <f t="shared" si="79"/>
        <v>1</v>
      </c>
      <c r="N347" s="995"/>
      <c r="O347" s="197">
        <f t="shared" si="80"/>
        <v>1</v>
      </c>
      <c r="P347" s="995"/>
      <c r="Q347" s="197">
        <f t="shared" si="81"/>
        <v>1</v>
      </c>
      <c r="R347" s="991">
        <f t="shared" ca="1" si="86"/>
        <v>16413</v>
      </c>
      <c r="S347" s="552">
        <f t="shared" ca="1" si="87"/>
        <v>1771127</v>
      </c>
      <c r="T347" s="2010">
        <f t="shared" ca="1" si="88"/>
        <v>177</v>
      </c>
      <c r="U347" s="2305">
        <f t="shared" si="82"/>
        <v>0</v>
      </c>
      <c r="V347" s="2305">
        <f t="shared" si="83"/>
        <v>0</v>
      </c>
      <c r="W347" s="2300"/>
      <c r="X347" s="2305">
        <f t="shared" si="84"/>
        <v>0</v>
      </c>
      <c r="Y347" s="2305">
        <f t="shared" si="85"/>
        <v>0</v>
      </c>
      <c r="Z347" s="2300"/>
    </row>
    <row r="348" spans="1:26">
      <c r="A348" s="292" t="str">
        <f>'7.15'!B326</f>
        <v>8幢2单元2801室</v>
      </c>
      <c r="B348" s="207">
        <f>'7.17'!G326</f>
        <v>107.91</v>
      </c>
      <c r="C348" s="197">
        <f t="shared" ref="C348:C411" si="89">IF(B348="",1,(LOOKUP(B348,$6:$6,$7:$7)-LOOKUP($B$27,$6:$6,$7:$7)+100)/100)</f>
        <v>1.01</v>
      </c>
      <c r="D348" s="995" t="s">
        <v>7608</v>
      </c>
      <c r="E348" s="197">
        <f t="shared" ref="E348:E411" si="90">(SUMIF($8:$8,D348,$9:$9)-SUMIF($8:$8,$D$27,$9:$9)+100)/100</f>
        <v>1.02</v>
      </c>
      <c r="F348" s="995" t="str">
        <f>'7.15'!D326</f>
        <v>平层</v>
      </c>
      <c r="G348" s="197">
        <f t="shared" ref="G348:G411" si="91">(SUMIF($10:$10,F348,$11:$11)-SUMIF($10:$10,$F$27,$11:$11)+100)/100</f>
        <v>1</v>
      </c>
      <c r="H348" s="995" t="str">
        <f>'7.15'!E326</f>
        <v>南北</v>
      </c>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ca="1" si="86"/>
        <v>16413</v>
      </c>
      <c r="S348" s="552">
        <f t="shared" ca="1" si="87"/>
        <v>1771127</v>
      </c>
      <c r="T348" s="2010">
        <f t="shared" ca="1" si="88"/>
        <v>177</v>
      </c>
      <c r="U348" s="2305">
        <f t="shared" ref="U348:U411" si="97">ROUND(W348*B348,0)</f>
        <v>0</v>
      </c>
      <c r="V348" s="2305">
        <f t="shared" ref="V348:V411" si="98">ROUND(W348*B348/10000,0)</f>
        <v>0</v>
      </c>
      <c r="W348" s="2300"/>
      <c r="X348" s="2305">
        <f t="shared" ref="X348:X411" si="99">ROUND(Z348*B348,0)</f>
        <v>0</v>
      </c>
      <c r="Y348" s="2305">
        <f t="shared" ref="Y348:Y411" si="100">ROUND(Z348*B348/10000,0)</f>
        <v>0</v>
      </c>
      <c r="Z348" s="2300"/>
    </row>
    <row r="349" spans="1:26">
      <c r="A349" s="292" t="str">
        <f>'7.15'!B327</f>
        <v>8幢2单元2901室</v>
      </c>
      <c r="B349" s="207">
        <f>'7.17'!G327</f>
        <v>107.91</v>
      </c>
      <c r="C349" s="197">
        <f t="shared" si="89"/>
        <v>1.01</v>
      </c>
      <c r="D349" s="995" t="s">
        <v>7608</v>
      </c>
      <c r="E349" s="197">
        <f t="shared" si="90"/>
        <v>1.02</v>
      </c>
      <c r="F349" s="995" t="str">
        <f>'7.15'!D327</f>
        <v>平层</v>
      </c>
      <c r="G349" s="197">
        <f t="shared" si="91"/>
        <v>1</v>
      </c>
      <c r="H349" s="995" t="str">
        <f>'7.15'!E327</f>
        <v>南北</v>
      </c>
      <c r="I349" s="197">
        <f t="shared" si="92"/>
        <v>1</v>
      </c>
      <c r="J349" s="995"/>
      <c r="K349" s="197">
        <f t="shared" si="93"/>
        <v>1</v>
      </c>
      <c r="L349" s="995"/>
      <c r="M349" s="197">
        <f t="shared" si="94"/>
        <v>1</v>
      </c>
      <c r="N349" s="995"/>
      <c r="O349" s="197">
        <f t="shared" si="95"/>
        <v>1</v>
      </c>
      <c r="P349" s="995"/>
      <c r="Q349" s="197">
        <f t="shared" si="96"/>
        <v>1</v>
      </c>
      <c r="R349" s="991">
        <f t="shared" ref="R349:R412" ca="1" si="101">IF(B349="",0,ROUND($R$27*C349*E349*G349*I349*K349*M349*O349*Q349,0))</f>
        <v>16413</v>
      </c>
      <c r="S349" s="552">
        <f t="shared" ref="S349:S412" ca="1" si="102">ROUND(R349*B349,0)</f>
        <v>1771127</v>
      </c>
      <c r="T349" s="2010">
        <f t="shared" ref="T349:T412" ca="1" si="103">ROUND(R349*B349/10000,0)</f>
        <v>177</v>
      </c>
      <c r="U349" s="2305">
        <f t="shared" si="97"/>
        <v>0</v>
      </c>
      <c r="V349" s="2305">
        <f t="shared" si="98"/>
        <v>0</v>
      </c>
      <c r="W349" s="2300"/>
      <c r="X349" s="2305">
        <f t="shared" si="99"/>
        <v>0</v>
      </c>
      <c r="Y349" s="2305">
        <f t="shared" si="100"/>
        <v>0</v>
      </c>
      <c r="Z349" s="2300"/>
    </row>
    <row r="350" spans="1:26">
      <c r="A350" s="292" t="str">
        <f>'7.15'!B328</f>
        <v>8幢2单元3001室</v>
      </c>
      <c r="B350" s="207">
        <f>'7.17'!G328</f>
        <v>93.87</v>
      </c>
      <c r="C350" s="197">
        <f t="shared" si="89"/>
        <v>1</v>
      </c>
      <c r="D350" s="995" t="s">
        <v>7608</v>
      </c>
      <c r="E350" s="197">
        <f t="shared" si="90"/>
        <v>1.02</v>
      </c>
      <c r="F350" s="995" t="str">
        <f>'7.15'!D328</f>
        <v>平层</v>
      </c>
      <c r="G350" s="197">
        <f t="shared" si="91"/>
        <v>1</v>
      </c>
      <c r="H350" s="995" t="str">
        <f>'7.15'!E328</f>
        <v>南北</v>
      </c>
      <c r="I350" s="197">
        <f t="shared" si="92"/>
        <v>1</v>
      </c>
      <c r="J350" s="995"/>
      <c r="K350" s="197">
        <f t="shared" si="93"/>
        <v>1</v>
      </c>
      <c r="L350" s="995"/>
      <c r="M350" s="197">
        <f t="shared" si="94"/>
        <v>1</v>
      </c>
      <c r="N350" s="995"/>
      <c r="O350" s="197">
        <f t="shared" si="95"/>
        <v>1</v>
      </c>
      <c r="P350" s="995"/>
      <c r="Q350" s="197">
        <f t="shared" si="96"/>
        <v>1</v>
      </c>
      <c r="R350" s="991">
        <f t="shared" ca="1" si="101"/>
        <v>16251</v>
      </c>
      <c r="S350" s="552">
        <f t="shared" ca="1" si="102"/>
        <v>1525481</v>
      </c>
      <c r="T350" s="2010">
        <f t="shared" ca="1" si="103"/>
        <v>153</v>
      </c>
      <c r="U350" s="2305">
        <f t="shared" si="97"/>
        <v>0</v>
      </c>
      <c r="V350" s="2305">
        <f t="shared" si="98"/>
        <v>0</v>
      </c>
      <c r="W350" s="2300"/>
      <c r="X350" s="2305">
        <f t="shared" si="99"/>
        <v>0</v>
      </c>
      <c r="Y350" s="2305">
        <f t="shared" si="100"/>
        <v>0</v>
      </c>
      <c r="Z350" s="2300"/>
    </row>
    <row r="351" spans="1:26">
      <c r="A351" s="292" t="str">
        <f>'7.15'!B329</f>
        <v>8幢2单元202室</v>
      </c>
      <c r="B351" s="207">
        <f>'7.17'!G329</f>
        <v>87.87</v>
      </c>
      <c r="C351" s="197">
        <f t="shared" si="89"/>
        <v>1</v>
      </c>
      <c r="D351" s="995" t="s">
        <v>7606</v>
      </c>
      <c r="E351" s="197">
        <f t="shared" si="90"/>
        <v>1</v>
      </c>
      <c r="F351" s="995" t="str">
        <f>'7.15'!D329</f>
        <v>平层</v>
      </c>
      <c r="G351" s="197">
        <f t="shared" si="91"/>
        <v>1</v>
      </c>
      <c r="H351" s="995" t="str">
        <f>'7.15'!E329</f>
        <v>南北</v>
      </c>
      <c r="I351" s="197">
        <f t="shared" si="92"/>
        <v>1</v>
      </c>
      <c r="J351" s="995"/>
      <c r="K351" s="197">
        <f t="shared" si="93"/>
        <v>1</v>
      </c>
      <c r="L351" s="995"/>
      <c r="M351" s="197">
        <f t="shared" si="94"/>
        <v>1</v>
      </c>
      <c r="N351" s="995"/>
      <c r="O351" s="197">
        <f t="shared" si="95"/>
        <v>1</v>
      </c>
      <c r="P351" s="995"/>
      <c r="Q351" s="197">
        <f t="shared" si="96"/>
        <v>1</v>
      </c>
      <c r="R351" s="991">
        <f t="shared" ca="1" si="101"/>
        <v>15932</v>
      </c>
      <c r="S351" s="552">
        <f t="shared" ca="1" si="102"/>
        <v>1399945</v>
      </c>
      <c r="T351" s="2010">
        <f t="shared" ca="1" si="103"/>
        <v>140</v>
      </c>
      <c r="U351" s="2305">
        <f t="shared" si="97"/>
        <v>0</v>
      </c>
      <c r="V351" s="2305">
        <f t="shared" si="98"/>
        <v>0</v>
      </c>
      <c r="W351" s="2300"/>
      <c r="X351" s="2305">
        <f t="shared" si="99"/>
        <v>0</v>
      </c>
      <c r="Y351" s="2305">
        <f t="shared" si="100"/>
        <v>0</v>
      </c>
      <c r="Z351" s="2300"/>
    </row>
    <row r="352" spans="1:26">
      <c r="A352" s="292" t="str">
        <f>'7.15'!B330</f>
        <v>8幢2单元302室</v>
      </c>
      <c r="B352" s="207">
        <f>'7.17'!G330</f>
        <v>87.87</v>
      </c>
      <c r="C352" s="197">
        <f t="shared" si="89"/>
        <v>1</v>
      </c>
      <c r="D352" s="995" t="s">
        <v>7606</v>
      </c>
      <c r="E352" s="197">
        <f t="shared" si="90"/>
        <v>1</v>
      </c>
      <c r="F352" s="995" t="str">
        <f>'7.15'!D330</f>
        <v>平层</v>
      </c>
      <c r="G352" s="197">
        <f t="shared" si="91"/>
        <v>1</v>
      </c>
      <c r="H352" s="995" t="str">
        <f>'7.15'!E330</f>
        <v>南北</v>
      </c>
      <c r="I352" s="197">
        <f t="shared" si="92"/>
        <v>1</v>
      </c>
      <c r="J352" s="995"/>
      <c r="K352" s="197">
        <f t="shared" si="93"/>
        <v>1</v>
      </c>
      <c r="L352" s="995"/>
      <c r="M352" s="197">
        <f t="shared" si="94"/>
        <v>1</v>
      </c>
      <c r="N352" s="995"/>
      <c r="O352" s="197">
        <f t="shared" si="95"/>
        <v>1</v>
      </c>
      <c r="P352" s="995"/>
      <c r="Q352" s="197">
        <f t="shared" si="96"/>
        <v>1</v>
      </c>
      <c r="R352" s="991">
        <f t="shared" ca="1" si="101"/>
        <v>15932</v>
      </c>
      <c r="S352" s="552">
        <f t="shared" ca="1" si="102"/>
        <v>1399945</v>
      </c>
      <c r="T352" s="2010">
        <f t="shared" ca="1" si="103"/>
        <v>140</v>
      </c>
      <c r="U352" s="2305">
        <f t="shared" si="97"/>
        <v>0</v>
      </c>
      <c r="V352" s="2305">
        <f t="shared" si="98"/>
        <v>0</v>
      </c>
      <c r="W352" s="2300"/>
      <c r="X352" s="2305">
        <f t="shared" si="99"/>
        <v>0</v>
      </c>
      <c r="Y352" s="2305">
        <f t="shared" si="100"/>
        <v>0</v>
      </c>
      <c r="Z352" s="2300"/>
    </row>
    <row r="353" spans="1:26">
      <c r="A353" s="292" t="str">
        <f>'7.15'!B331</f>
        <v>8幢2单元402室</v>
      </c>
      <c r="B353" s="207">
        <f>'7.17'!G331</f>
        <v>87.87</v>
      </c>
      <c r="C353" s="197">
        <f t="shared" si="89"/>
        <v>1</v>
      </c>
      <c r="D353" s="995" t="s">
        <v>7606</v>
      </c>
      <c r="E353" s="197">
        <f t="shared" si="90"/>
        <v>1</v>
      </c>
      <c r="F353" s="995" t="str">
        <f>'7.15'!D331</f>
        <v>平层</v>
      </c>
      <c r="G353" s="197">
        <f t="shared" si="91"/>
        <v>1</v>
      </c>
      <c r="H353" s="995" t="str">
        <f>'7.15'!E331</f>
        <v>南北</v>
      </c>
      <c r="I353" s="197">
        <f t="shared" si="92"/>
        <v>1</v>
      </c>
      <c r="J353" s="995"/>
      <c r="K353" s="197">
        <f t="shared" si="93"/>
        <v>1</v>
      </c>
      <c r="L353" s="995"/>
      <c r="M353" s="197">
        <f t="shared" si="94"/>
        <v>1</v>
      </c>
      <c r="N353" s="995"/>
      <c r="O353" s="197">
        <f t="shared" si="95"/>
        <v>1</v>
      </c>
      <c r="P353" s="995"/>
      <c r="Q353" s="197">
        <f t="shared" si="96"/>
        <v>1</v>
      </c>
      <c r="R353" s="991">
        <f t="shared" ca="1" si="101"/>
        <v>15932</v>
      </c>
      <c r="S353" s="552">
        <f t="shared" ca="1" si="102"/>
        <v>1399945</v>
      </c>
      <c r="T353" s="2010">
        <f t="shared" ca="1" si="103"/>
        <v>140</v>
      </c>
      <c r="U353" s="2305">
        <f t="shared" si="97"/>
        <v>0</v>
      </c>
      <c r="V353" s="2305">
        <f t="shared" si="98"/>
        <v>0</v>
      </c>
      <c r="W353" s="2300"/>
      <c r="X353" s="2305">
        <f t="shared" si="99"/>
        <v>0</v>
      </c>
      <c r="Y353" s="2305">
        <f t="shared" si="100"/>
        <v>0</v>
      </c>
      <c r="Z353" s="2300"/>
    </row>
    <row r="354" spans="1:26">
      <c r="A354" s="292" t="str">
        <f>'7.15'!B332</f>
        <v>8幢2单元502室</v>
      </c>
      <c r="B354" s="207">
        <f>'7.17'!G332</f>
        <v>87.87</v>
      </c>
      <c r="C354" s="197">
        <f t="shared" si="89"/>
        <v>1</v>
      </c>
      <c r="D354" s="995" t="s">
        <v>7606</v>
      </c>
      <c r="E354" s="197">
        <f t="shared" si="90"/>
        <v>1</v>
      </c>
      <c r="F354" s="995" t="str">
        <f>'7.15'!D332</f>
        <v>平层</v>
      </c>
      <c r="G354" s="197">
        <f t="shared" si="91"/>
        <v>1</v>
      </c>
      <c r="H354" s="995" t="str">
        <f>'7.15'!E332</f>
        <v>南北</v>
      </c>
      <c r="I354" s="197">
        <f t="shared" si="92"/>
        <v>1</v>
      </c>
      <c r="J354" s="995"/>
      <c r="K354" s="197">
        <f t="shared" si="93"/>
        <v>1</v>
      </c>
      <c r="L354" s="995"/>
      <c r="M354" s="197">
        <f t="shared" si="94"/>
        <v>1</v>
      </c>
      <c r="N354" s="995"/>
      <c r="O354" s="197">
        <f t="shared" si="95"/>
        <v>1</v>
      </c>
      <c r="P354" s="995"/>
      <c r="Q354" s="197">
        <f t="shared" si="96"/>
        <v>1</v>
      </c>
      <c r="R354" s="991">
        <f t="shared" ca="1" si="101"/>
        <v>15932</v>
      </c>
      <c r="S354" s="552">
        <f t="shared" ca="1" si="102"/>
        <v>1399945</v>
      </c>
      <c r="T354" s="2010">
        <f t="shared" ca="1" si="103"/>
        <v>140</v>
      </c>
      <c r="U354" s="2305">
        <f t="shared" si="97"/>
        <v>0</v>
      </c>
      <c r="V354" s="2305">
        <f t="shared" si="98"/>
        <v>0</v>
      </c>
      <c r="W354" s="2300"/>
      <c r="X354" s="2305">
        <f t="shared" si="99"/>
        <v>0</v>
      </c>
      <c r="Y354" s="2305">
        <f t="shared" si="100"/>
        <v>0</v>
      </c>
      <c r="Z354" s="2300"/>
    </row>
    <row r="355" spans="1:26">
      <c r="A355" s="292" t="str">
        <f>'7.15'!B333</f>
        <v>8幢2单元602室</v>
      </c>
      <c r="B355" s="207">
        <f>'7.17'!G333</f>
        <v>87.87</v>
      </c>
      <c r="C355" s="197">
        <f t="shared" si="89"/>
        <v>1</v>
      </c>
      <c r="D355" s="995" t="s">
        <v>7606</v>
      </c>
      <c r="E355" s="197">
        <f t="shared" si="90"/>
        <v>1</v>
      </c>
      <c r="F355" s="995" t="str">
        <f>'7.15'!D333</f>
        <v>平层</v>
      </c>
      <c r="G355" s="197">
        <f t="shared" si="91"/>
        <v>1</v>
      </c>
      <c r="H355" s="995" t="str">
        <f>'7.15'!E333</f>
        <v>南北</v>
      </c>
      <c r="I355" s="197">
        <f t="shared" si="92"/>
        <v>1</v>
      </c>
      <c r="J355" s="995"/>
      <c r="K355" s="197">
        <f t="shared" si="93"/>
        <v>1</v>
      </c>
      <c r="L355" s="995"/>
      <c r="M355" s="197">
        <f t="shared" si="94"/>
        <v>1</v>
      </c>
      <c r="N355" s="995"/>
      <c r="O355" s="197">
        <f t="shared" si="95"/>
        <v>1</v>
      </c>
      <c r="P355" s="995"/>
      <c r="Q355" s="197">
        <f t="shared" si="96"/>
        <v>1</v>
      </c>
      <c r="R355" s="991">
        <f t="shared" ca="1" si="101"/>
        <v>15932</v>
      </c>
      <c r="S355" s="552">
        <f t="shared" ca="1" si="102"/>
        <v>1399945</v>
      </c>
      <c r="T355" s="2010">
        <f t="shared" ca="1" si="103"/>
        <v>140</v>
      </c>
      <c r="U355" s="2305">
        <f t="shared" si="97"/>
        <v>0</v>
      </c>
      <c r="V355" s="2305">
        <f t="shared" si="98"/>
        <v>0</v>
      </c>
      <c r="W355" s="2300"/>
      <c r="X355" s="2305">
        <f t="shared" si="99"/>
        <v>0</v>
      </c>
      <c r="Y355" s="2305">
        <f t="shared" si="100"/>
        <v>0</v>
      </c>
      <c r="Z355" s="2300"/>
    </row>
    <row r="356" spans="1:26">
      <c r="A356" s="292" t="str">
        <f>'7.15'!B334</f>
        <v>8幢2单元702室</v>
      </c>
      <c r="B356" s="207">
        <f>'7.17'!G334</f>
        <v>87.87</v>
      </c>
      <c r="C356" s="197">
        <f t="shared" si="89"/>
        <v>1</v>
      </c>
      <c r="D356" s="995" t="s">
        <v>7606</v>
      </c>
      <c r="E356" s="197">
        <f t="shared" si="90"/>
        <v>1</v>
      </c>
      <c r="F356" s="995" t="str">
        <f>'7.15'!D334</f>
        <v>平层</v>
      </c>
      <c r="G356" s="197">
        <f t="shared" si="91"/>
        <v>1</v>
      </c>
      <c r="H356" s="995" t="str">
        <f>'7.15'!E334</f>
        <v>南北</v>
      </c>
      <c r="I356" s="197">
        <f t="shared" si="92"/>
        <v>1</v>
      </c>
      <c r="J356" s="995"/>
      <c r="K356" s="197">
        <f t="shared" si="93"/>
        <v>1</v>
      </c>
      <c r="L356" s="995"/>
      <c r="M356" s="197">
        <f t="shared" si="94"/>
        <v>1</v>
      </c>
      <c r="N356" s="995"/>
      <c r="O356" s="197">
        <f t="shared" si="95"/>
        <v>1</v>
      </c>
      <c r="P356" s="995"/>
      <c r="Q356" s="197">
        <f t="shared" si="96"/>
        <v>1</v>
      </c>
      <c r="R356" s="991">
        <f t="shared" ca="1" si="101"/>
        <v>15932</v>
      </c>
      <c r="S356" s="552">
        <f t="shared" ca="1" si="102"/>
        <v>1399945</v>
      </c>
      <c r="T356" s="2010">
        <f t="shared" ca="1" si="103"/>
        <v>140</v>
      </c>
      <c r="U356" s="2305">
        <f t="shared" si="97"/>
        <v>0</v>
      </c>
      <c r="V356" s="2305">
        <f t="shared" si="98"/>
        <v>0</v>
      </c>
      <c r="W356" s="2300"/>
      <c r="X356" s="2305">
        <f t="shared" si="99"/>
        <v>0</v>
      </c>
      <c r="Y356" s="2305">
        <f t="shared" si="100"/>
        <v>0</v>
      </c>
      <c r="Z356" s="2300"/>
    </row>
    <row r="357" spans="1:26">
      <c r="A357" s="292" t="str">
        <f>'7.15'!B335</f>
        <v>8幢2单元802室</v>
      </c>
      <c r="B357" s="207">
        <f>'7.17'!G335</f>
        <v>87.87</v>
      </c>
      <c r="C357" s="197">
        <f t="shared" si="89"/>
        <v>1</v>
      </c>
      <c r="D357" s="995" t="s">
        <v>7606</v>
      </c>
      <c r="E357" s="197">
        <f t="shared" si="90"/>
        <v>1</v>
      </c>
      <c r="F357" s="995" t="str">
        <f>'7.15'!D335</f>
        <v>平层</v>
      </c>
      <c r="G357" s="197">
        <f t="shared" si="91"/>
        <v>1</v>
      </c>
      <c r="H357" s="995" t="str">
        <f>'7.15'!E335</f>
        <v>南北</v>
      </c>
      <c r="I357" s="197">
        <f t="shared" si="92"/>
        <v>1</v>
      </c>
      <c r="J357" s="995"/>
      <c r="K357" s="197">
        <f t="shared" si="93"/>
        <v>1</v>
      </c>
      <c r="L357" s="995"/>
      <c r="M357" s="197">
        <f t="shared" si="94"/>
        <v>1</v>
      </c>
      <c r="N357" s="995"/>
      <c r="O357" s="197">
        <f t="shared" si="95"/>
        <v>1</v>
      </c>
      <c r="P357" s="995"/>
      <c r="Q357" s="197">
        <f t="shared" si="96"/>
        <v>1</v>
      </c>
      <c r="R357" s="991">
        <f t="shared" ca="1" si="101"/>
        <v>15932</v>
      </c>
      <c r="S357" s="552">
        <f t="shared" ca="1" si="102"/>
        <v>1399945</v>
      </c>
      <c r="T357" s="2010">
        <f t="shared" ca="1" si="103"/>
        <v>140</v>
      </c>
      <c r="U357" s="2305">
        <f t="shared" si="97"/>
        <v>0</v>
      </c>
      <c r="V357" s="2305">
        <f t="shared" si="98"/>
        <v>0</v>
      </c>
      <c r="W357" s="2300"/>
      <c r="X357" s="2305">
        <f t="shared" si="99"/>
        <v>0</v>
      </c>
      <c r="Y357" s="2305">
        <f t="shared" si="100"/>
        <v>0</v>
      </c>
      <c r="Z357" s="2300"/>
    </row>
    <row r="358" spans="1:26">
      <c r="A358" s="292" t="str">
        <f>'7.15'!B336</f>
        <v>8幢2单元902室</v>
      </c>
      <c r="B358" s="207">
        <f>'7.17'!G336</f>
        <v>87.87</v>
      </c>
      <c r="C358" s="197">
        <f t="shared" si="89"/>
        <v>1</v>
      </c>
      <c r="D358" s="995" t="s">
        <v>7606</v>
      </c>
      <c r="E358" s="197">
        <f t="shared" si="90"/>
        <v>1</v>
      </c>
      <c r="F358" s="995" t="str">
        <f>'7.15'!D336</f>
        <v>平层</v>
      </c>
      <c r="G358" s="197">
        <f t="shared" si="91"/>
        <v>1</v>
      </c>
      <c r="H358" s="995" t="str">
        <f>'7.15'!E336</f>
        <v>南北</v>
      </c>
      <c r="I358" s="197">
        <f t="shared" si="92"/>
        <v>1</v>
      </c>
      <c r="J358" s="995"/>
      <c r="K358" s="197">
        <f t="shared" si="93"/>
        <v>1</v>
      </c>
      <c r="L358" s="995"/>
      <c r="M358" s="197">
        <f t="shared" si="94"/>
        <v>1</v>
      </c>
      <c r="N358" s="995"/>
      <c r="O358" s="197">
        <f t="shared" si="95"/>
        <v>1</v>
      </c>
      <c r="P358" s="995"/>
      <c r="Q358" s="197">
        <f t="shared" si="96"/>
        <v>1</v>
      </c>
      <c r="R358" s="991">
        <f t="shared" ca="1" si="101"/>
        <v>15932</v>
      </c>
      <c r="S358" s="552">
        <f t="shared" ca="1" si="102"/>
        <v>1399945</v>
      </c>
      <c r="T358" s="2010">
        <f t="shared" ca="1" si="103"/>
        <v>140</v>
      </c>
      <c r="U358" s="2305">
        <f t="shared" si="97"/>
        <v>0</v>
      </c>
      <c r="V358" s="2305">
        <f t="shared" si="98"/>
        <v>0</v>
      </c>
      <c r="W358" s="2300"/>
      <c r="X358" s="2305">
        <f t="shared" si="99"/>
        <v>0</v>
      </c>
      <c r="Y358" s="2305">
        <f t="shared" si="100"/>
        <v>0</v>
      </c>
      <c r="Z358" s="2300"/>
    </row>
    <row r="359" spans="1:26">
      <c r="A359" s="292" t="str">
        <f>'7.15'!B337</f>
        <v>8幢2单元1002室</v>
      </c>
      <c r="B359" s="207">
        <f>'7.17'!G337</f>
        <v>87.87</v>
      </c>
      <c r="C359" s="197">
        <f t="shared" si="89"/>
        <v>1</v>
      </c>
      <c r="D359" s="995" t="s">
        <v>7606</v>
      </c>
      <c r="E359" s="197">
        <f t="shared" si="90"/>
        <v>1</v>
      </c>
      <c r="F359" s="995" t="str">
        <f>'7.15'!D337</f>
        <v>平层</v>
      </c>
      <c r="G359" s="197">
        <f t="shared" si="91"/>
        <v>1</v>
      </c>
      <c r="H359" s="995" t="str">
        <f>'7.15'!E337</f>
        <v>南北</v>
      </c>
      <c r="I359" s="197">
        <f t="shared" si="92"/>
        <v>1</v>
      </c>
      <c r="J359" s="995"/>
      <c r="K359" s="197">
        <f t="shared" si="93"/>
        <v>1</v>
      </c>
      <c r="L359" s="995"/>
      <c r="M359" s="197">
        <f t="shared" si="94"/>
        <v>1</v>
      </c>
      <c r="N359" s="995"/>
      <c r="O359" s="197">
        <f t="shared" si="95"/>
        <v>1</v>
      </c>
      <c r="P359" s="995"/>
      <c r="Q359" s="197">
        <f t="shared" si="96"/>
        <v>1</v>
      </c>
      <c r="R359" s="991">
        <f t="shared" ca="1" si="101"/>
        <v>15932</v>
      </c>
      <c r="S359" s="552">
        <f t="shared" ca="1" si="102"/>
        <v>1399945</v>
      </c>
      <c r="T359" s="2010">
        <f t="shared" ca="1" si="103"/>
        <v>140</v>
      </c>
      <c r="U359" s="2305">
        <f t="shared" si="97"/>
        <v>0</v>
      </c>
      <c r="V359" s="2305">
        <f t="shared" si="98"/>
        <v>0</v>
      </c>
      <c r="W359" s="2300"/>
      <c r="X359" s="2305">
        <f t="shared" si="99"/>
        <v>0</v>
      </c>
      <c r="Y359" s="2305">
        <f t="shared" si="100"/>
        <v>0</v>
      </c>
      <c r="Z359" s="2300"/>
    </row>
    <row r="360" spans="1:26">
      <c r="A360" s="292" t="str">
        <f>'7.15'!B338</f>
        <v>8幢2单元1102室</v>
      </c>
      <c r="B360" s="207">
        <f>'7.17'!G338</f>
        <v>87.87</v>
      </c>
      <c r="C360" s="197">
        <f t="shared" si="89"/>
        <v>1</v>
      </c>
      <c r="D360" s="995" t="s">
        <v>7609</v>
      </c>
      <c r="E360" s="197">
        <f t="shared" si="90"/>
        <v>1.04</v>
      </c>
      <c r="F360" s="995" t="str">
        <f>'7.15'!D338</f>
        <v>平层</v>
      </c>
      <c r="G360" s="197">
        <f t="shared" si="91"/>
        <v>1</v>
      </c>
      <c r="H360" s="995" t="str">
        <f>'7.15'!E338</f>
        <v>南北</v>
      </c>
      <c r="I360" s="197">
        <f t="shared" si="92"/>
        <v>1</v>
      </c>
      <c r="J360" s="995"/>
      <c r="K360" s="197">
        <f t="shared" si="93"/>
        <v>1</v>
      </c>
      <c r="L360" s="995"/>
      <c r="M360" s="197">
        <f t="shared" si="94"/>
        <v>1</v>
      </c>
      <c r="N360" s="995"/>
      <c r="O360" s="197">
        <f t="shared" si="95"/>
        <v>1</v>
      </c>
      <c r="P360" s="995"/>
      <c r="Q360" s="197">
        <f t="shared" si="96"/>
        <v>1</v>
      </c>
      <c r="R360" s="991">
        <f t="shared" ca="1" si="101"/>
        <v>16569</v>
      </c>
      <c r="S360" s="552">
        <f t="shared" ca="1" si="102"/>
        <v>1455918</v>
      </c>
      <c r="T360" s="2010">
        <f t="shared" ca="1" si="103"/>
        <v>146</v>
      </c>
      <c r="U360" s="2305">
        <f t="shared" si="97"/>
        <v>0</v>
      </c>
      <c r="V360" s="2305">
        <f t="shared" si="98"/>
        <v>0</v>
      </c>
      <c r="W360" s="2300"/>
      <c r="X360" s="2305">
        <f t="shared" si="99"/>
        <v>0</v>
      </c>
      <c r="Y360" s="2305">
        <f t="shared" si="100"/>
        <v>0</v>
      </c>
      <c r="Z360" s="2300"/>
    </row>
    <row r="361" spans="1:26">
      <c r="A361" s="292" t="str">
        <f>'7.15'!B339</f>
        <v>8幢2单元1202室</v>
      </c>
      <c r="B361" s="207">
        <f>'7.17'!G339</f>
        <v>87.87</v>
      </c>
      <c r="C361" s="197">
        <f t="shared" si="89"/>
        <v>1</v>
      </c>
      <c r="D361" s="995" t="s">
        <v>7609</v>
      </c>
      <c r="E361" s="197">
        <f t="shared" si="90"/>
        <v>1.04</v>
      </c>
      <c r="F361" s="995" t="str">
        <f>'7.15'!D339</f>
        <v>平层</v>
      </c>
      <c r="G361" s="197">
        <f t="shared" si="91"/>
        <v>1</v>
      </c>
      <c r="H361" s="995" t="str">
        <f>'7.15'!E339</f>
        <v>南北</v>
      </c>
      <c r="I361" s="197">
        <f t="shared" si="92"/>
        <v>1</v>
      </c>
      <c r="J361" s="995"/>
      <c r="K361" s="197">
        <f t="shared" si="93"/>
        <v>1</v>
      </c>
      <c r="L361" s="995"/>
      <c r="M361" s="197">
        <f t="shared" si="94"/>
        <v>1</v>
      </c>
      <c r="N361" s="995"/>
      <c r="O361" s="197">
        <f t="shared" si="95"/>
        <v>1</v>
      </c>
      <c r="P361" s="995"/>
      <c r="Q361" s="197">
        <f t="shared" si="96"/>
        <v>1</v>
      </c>
      <c r="R361" s="991">
        <f t="shared" ca="1" si="101"/>
        <v>16569</v>
      </c>
      <c r="S361" s="552">
        <f t="shared" ca="1" si="102"/>
        <v>1455918</v>
      </c>
      <c r="T361" s="2010">
        <f t="shared" ca="1" si="103"/>
        <v>146</v>
      </c>
      <c r="U361" s="2305">
        <f t="shared" si="97"/>
        <v>0</v>
      </c>
      <c r="V361" s="2305">
        <f t="shared" si="98"/>
        <v>0</v>
      </c>
      <c r="W361" s="2300"/>
      <c r="X361" s="2305">
        <f t="shared" si="99"/>
        <v>0</v>
      </c>
      <c r="Y361" s="2305">
        <f t="shared" si="100"/>
        <v>0</v>
      </c>
      <c r="Z361" s="2300"/>
    </row>
    <row r="362" spans="1:26">
      <c r="A362" s="292" t="str">
        <f>'7.15'!B340</f>
        <v>8幢2单元1302室</v>
      </c>
      <c r="B362" s="207">
        <f>'7.17'!G340</f>
        <v>87.87</v>
      </c>
      <c r="C362" s="197">
        <f t="shared" si="89"/>
        <v>1</v>
      </c>
      <c r="D362" s="995" t="s">
        <v>7609</v>
      </c>
      <c r="E362" s="197">
        <f t="shared" si="90"/>
        <v>1.04</v>
      </c>
      <c r="F362" s="995" t="str">
        <f>'7.15'!D340</f>
        <v>平层</v>
      </c>
      <c r="G362" s="197">
        <f t="shared" si="91"/>
        <v>1</v>
      </c>
      <c r="H362" s="995" t="str">
        <f>'7.15'!E340</f>
        <v>南北</v>
      </c>
      <c r="I362" s="197">
        <f t="shared" si="92"/>
        <v>1</v>
      </c>
      <c r="J362" s="995"/>
      <c r="K362" s="197">
        <f t="shared" si="93"/>
        <v>1</v>
      </c>
      <c r="L362" s="995"/>
      <c r="M362" s="197">
        <f t="shared" si="94"/>
        <v>1</v>
      </c>
      <c r="N362" s="995"/>
      <c r="O362" s="197">
        <f t="shared" si="95"/>
        <v>1</v>
      </c>
      <c r="P362" s="995"/>
      <c r="Q362" s="197">
        <f t="shared" si="96"/>
        <v>1</v>
      </c>
      <c r="R362" s="991">
        <f t="shared" ca="1" si="101"/>
        <v>16569</v>
      </c>
      <c r="S362" s="552">
        <f t="shared" ca="1" si="102"/>
        <v>1455918</v>
      </c>
      <c r="T362" s="2010">
        <f t="shared" ca="1" si="103"/>
        <v>146</v>
      </c>
      <c r="U362" s="2305">
        <f t="shared" si="97"/>
        <v>0</v>
      </c>
      <c r="V362" s="2305">
        <f t="shared" si="98"/>
        <v>0</v>
      </c>
      <c r="W362" s="2300"/>
      <c r="X362" s="2305">
        <f t="shared" si="99"/>
        <v>0</v>
      </c>
      <c r="Y362" s="2305">
        <f t="shared" si="100"/>
        <v>0</v>
      </c>
      <c r="Z362" s="2300"/>
    </row>
    <row r="363" spans="1:26">
      <c r="A363" s="292" t="str">
        <f>'7.15'!B341</f>
        <v>8幢2单元1402室</v>
      </c>
      <c r="B363" s="207">
        <f>'7.17'!G341</f>
        <v>87.87</v>
      </c>
      <c r="C363" s="197">
        <f t="shared" si="89"/>
        <v>1</v>
      </c>
      <c r="D363" s="995" t="s">
        <v>7609</v>
      </c>
      <c r="E363" s="197">
        <f t="shared" si="90"/>
        <v>1.04</v>
      </c>
      <c r="F363" s="995" t="str">
        <f>'7.15'!D341</f>
        <v>平层</v>
      </c>
      <c r="G363" s="197">
        <f t="shared" si="91"/>
        <v>1</v>
      </c>
      <c r="H363" s="995" t="str">
        <f>'7.15'!E341</f>
        <v>南北</v>
      </c>
      <c r="I363" s="197">
        <f t="shared" si="92"/>
        <v>1</v>
      </c>
      <c r="J363" s="995"/>
      <c r="K363" s="197">
        <f t="shared" si="93"/>
        <v>1</v>
      </c>
      <c r="L363" s="995"/>
      <c r="M363" s="197">
        <f t="shared" si="94"/>
        <v>1</v>
      </c>
      <c r="N363" s="995"/>
      <c r="O363" s="197">
        <f t="shared" si="95"/>
        <v>1</v>
      </c>
      <c r="P363" s="995"/>
      <c r="Q363" s="197">
        <f t="shared" si="96"/>
        <v>1</v>
      </c>
      <c r="R363" s="991">
        <f t="shared" ca="1" si="101"/>
        <v>16569</v>
      </c>
      <c r="S363" s="552">
        <f t="shared" ca="1" si="102"/>
        <v>1455918</v>
      </c>
      <c r="T363" s="2010">
        <f t="shared" ca="1" si="103"/>
        <v>146</v>
      </c>
      <c r="U363" s="2305">
        <f t="shared" si="97"/>
        <v>0</v>
      </c>
      <c r="V363" s="2305">
        <f t="shared" si="98"/>
        <v>0</v>
      </c>
      <c r="W363" s="2300"/>
      <c r="X363" s="2305">
        <f t="shared" si="99"/>
        <v>0</v>
      </c>
      <c r="Y363" s="2305">
        <f t="shared" si="100"/>
        <v>0</v>
      </c>
      <c r="Z363" s="2300"/>
    </row>
    <row r="364" spans="1:26">
      <c r="A364" s="292" t="str">
        <f>'7.15'!B342</f>
        <v>8幢2单元1502室</v>
      </c>
      <c r="B364" s="207">
        <f>'7.17'!G342</f>
        <v>87.87</v>
      </c>
      <c r="C364" s="197">
        <f t="shared" si="89"/>
        <v>1</v>
      </c>
      <c r="D364" s="995" t="s">
        <v>7609</v>
      </c>
      <c r="E364" s="197">
        <f t="shared" si="90"/>
        <v>1.04</v>
      </c>
      <c r="F364" s="995" t="str">
        <f>'7.15'!D342</f>
        <v>平层</v>
      </c>
      <c r="G364" s="197">
        <f t="shared" si="91"/>
        <v>1</v>
      </c>
      <c r="H364" s="995" t="str">
        <f>'7.15'!E342</f>
        <v>南北</v>
      </c>
      <c r="I364" s="197">
        <f t="shared" si="92"/>
        <v>1</v>
      </c>
      <c r="J364" s="995"/>
      <c r="K364" s="197">
        <f t="shared" si="93"/>
        <v>1</v>
      </c>
      <c r="L364" s="995"/>
      <c r="M364" s="197">
        <f t="shared" si="94"/>
        <v>1</v>
      </c>
      <c r="N364" s="995"/>
      <c r="O364" s="197">
        <f t="shared" si="95"/>
        <v>1</v>
      </c>
      <c r="P364" s="995"/>
      <c r="Q364" s="197">
        <f t="shared" si="96"/>
        <v>1</v>
      </c>
      <c r="R364" s="991">
        <f t="shared" ca="1" si="101"/>
        <v>16569</v>
      </c>
      <c r="S364" s="552">
        <f t="shared" ca="1" si="102"/>
        <v>1455918</v>
      </c>
      <c r="T364" s="2010">
        <f t="shared" ca="1" si="103"/>
        <v>146</v>
      </c>
      <c r="U364" s="2305">
        <f t="shared" si="97"/>
        <v>0</v>
      </c>
      <c r="V364" s="2305">
        <f t="shared" si="98"/>
        <v>0</v>
      </c>
      <c r="W364" s="2300"/>
      <c r="X364" s="2305">
        <f t="shared" si="99"/>
        <v>0</v>
      </c>
      <c r="Y364" s="2305">
        <f t="shared" si="100"/>
        <v>0</v>
      </c>
      <c r="Z364" s="2300"/>
    </row>
    <row r="365" spans="1:26">
      <c r="A365" s="292" t="str">
        <f>'7.15'!B343</f>
        <v>8幢2单元1602室</v>
      </c>
      <c r="B365" s="207">
        <f>'7.17'!G343</f>
        <v>87.87</v>
      </c>
      <c r="C365" s="197">
        <f t="shared" si="89"/>
        <v>1</v>
      </c>
      <c r="D365" s="995" t="s">
        <v>7609</v>
      </c>
      <c r="E365" s="197">
        <f t="shared" si="90"/>
        <v>1.04</v>
      </c>
      <c r="F365" s="995" t="str">
        <f>'7.15'!D343</f>
        <v>平层</v>
      </c>
      <c r="G365" s="197">
        <f t="shared" si="91"/>
        <v>1</v>
      </c>
      <c r="H365" s="995" t="str">
        <f>'7.15'!E343</f>
        <v>南北</v>
      </c>
      <c r="I365" s="197">
        <f t="shared" si="92"/>
        <v>1</v>
      </c>
      <c r="J365" s="995"/>
      <c r="K365" s="197">
        <f t="shared" si="93"/>
        <v>1</v>
      </c>
      <c r="L365" s="995"/>
      <c r="M365" s="197">
        <f t="shared" si="94"/>
        <v>1</v>
      </c>
      <c r="N365" s="995"/>
      <c r="O365" s="197">
        <f t="shared" si="95"/>
        <v>1</v>
      </c>
      <c r="P365" s="995"/>
      <c r="Q365" s="197">
        <f t="shared" si="96"/>
        <v>1</v>
      </c>
      <c r="R365" s="991">
        <f t="shared" ca="1" si="101"/>
        <v>16569</v>
      </c>
      <c r="S365" s="552">
        <f t="shared" ca="1" si="102"/>
        <v>1455918</v>
      </c>
      <c r="T365" s="2010">
        <f t="shared" ca="1" si="103"/>
        <v>146</v>
      </c>
      <c r="U365" s="2305">
        <f t="shared" si="97"/>
        <v>0</v>
      </c>
      <c r="V365" s="2305">
        <f t="shared" si="98"/>
        <v>0</v>
      </c>
      <c r="W365" s="2300"/>
      <c r="X365" s="2305">
        <f t="shared" si="99"/>
        <v>0</v>
      </c>
      <c r="Y365" s="2305">
        <f t="shared" si="100"/>
        <v>0</v>
      </c>
      <c r="Z365" s="2300"/>
    </row>
    <row r="366" spans="1:26">
      <c r="A366" s="292" t="str">
        <f>'7.15'!B344</f>
        <v>8幢2单元1702室</v>
      </c>
      <c r="B366" s="207">
        <f>'7.17'!G344</f>
        <v>87.87</v>
      </c>
      <c r="C366" s="197">
        <f t="shared" si="89"/>
        <v>1</v>
      </c>
      <c r="D366" s="995" t="s">
        <v>7609</v>
      </c>
      <c r="E366" s="197">
        <f t="shared" si="90"/>
        <v>1.04</v>
      </c>
      <c r="F366" s="995" t="str">
        <f>'7.15'!D344</f>
        <v>平层</v>
      </c>
      <c r="G366" s="197">
        <f t="shared" si="91"/>
        <v>1</v>
      </c>
      <c r="H366" s="995" t="str">
        <f>'7.15'!E344</f>
        <v>南北</v>
      </c>
      <c r="I366" s="197">
        <f t="shared" si="92"/>
        <v>1</v>
      </c>
      <c r="J366" s="995"/>
      <c r="K366" s="197">
        <f t="shared" si="93"/>
        <v>1</v>
      </c>
      <c r="L366" s="995"/>
      <c r="M366" s="197">
        <f t="shared" si="94"/>
        <v>1</v>
      </c>
      <c r="N366" s="995"/>
      <c r="O366" s="197">
        <f t="shared" si="95"/>
        <v>1</v>
      </c>
      <c r="P366" s="995"/>
      <c r="Q366" s="197">
        <f t="shared" si="96"/>
        <v>1</v>
      </c>
      <c r="R366" s="991">
        <f t="shared" ca="1" si="101"/>
        <v>16569</v>
      </c>
      <c r="S366" s="552">
        <f t="shared" ca="1" si="102"/>
        <v>1455918</v>
      </c>
      <c r="T366" s="2010">
        <f t="shared" ca="1" si="103"/>
        <v>146</v>
      </c>
      <c r="U366" s="2305">
        <f t="shared" si="97"/>
        <v>0</v>
      </c>
      <c r="V366" s="2305">
        <f t="shared" si="98"/>
        <v>0</v>
      </c>
      <c r="W366" s="2300"/>
      <c r="X366" s="2305">
        <f t="shared" si="99"/>
        <v>0</v>
      </c>
      <c r="Y366" s="2305">
        <f t="shared" si="100"/>
        <v>0</v>
      </c>
      <c r="Z366" s="2300"/>
    </row>
    <row r="367" spans="1:26">
      <c r="A367" s="292" t="str">
        <f>'7.15'!B345</f>
        <v>8幢2单元1802室</v>
      </c>
      <c r="B367" s="207">
        <f>'7.17'!G345</f>
        <v>87.87</v>
      </c>
      <c r="C367" s="197">
        <f t="shared" si="89"/>
        <v>1</v>
      </c>
      <c r="D367" s="995" t="s">
        <v>7609</v>
      </c>
      <c r="E367" s="197">
        <f t="shared" si="90"/>
        <v>1.04</v>
      </c>
      <c r="F367" s="995" t="str">
        <f>'7.15'!D345</f>
        <v>平层</v>
      </c>
      <c r="G367" s="197">
        <f t="shared" si="91"/>
        <v>1</v>
      </c>
      <c r="H367" s="995" t="str">
        <f>'7.15'!E345</f>
        <v>南北</v>
      </c>
      <c r="I367" s="197">
        <f t="shared" si="92"/>
        <v>1</v>
      </c>
      <c r="J367" s="995"/>
      <c r="K367" s="197">
        <f t="shared" si="93"/>
        <v>1</v>
      </c>
      <c r="L367" s="995"/>
      <c r="M367" s="197">
        <f t="shared" si="94"/>
        <v>1</v>
      </c>
      <c r="N367" s="995"/>
      <c r="O367" s="197">
        <f t="shared" si="95"/>
        <v>1</v>
      </c>
      <c r="P367" s="995"/>
      <c r="Q367" s="197">
        <f t="shared" si="96"/>
        <v>1</v>
      </c>
      <c r="R367" s="991">
        <f t="shared" ca="1" si="101"/>
        <v>16569</v>
      </c>
      <c r="S367" s="552">
        <f t="shared" ca="1" si="102"/>
        <v>1455918</v>
      </c>
      <c r="T367" s="2010">
        <f t="shared" ca="1" si="103"/>
        <v>146</v>
      </c>
      <c r="U367" s="2305">
        <f t="shared" si="97"/>
        <v>0</v>
      </c>
      <c r="V367" s="2305">
        <f t="shared" si="98"/>
        <v>0</v>
      </c>
      <c r="W367" s="2300"/>
      <c r="X367" s="2305">
        <f t="shared" si="99"/>
        <v>0</v>
      </c>
      <c r="Y367" s="2305">
        <f t="shared" si="100"/>
        <v>0</v>
      </c>
      <c r="Z367" s="2300"/>
    </row>
    <row r="368" spans="1:26">
      <c r="A368" s="292" t="str">
        <f>'7.15'!B346</f>
        <v>8幢2单元1902室</v>
      </c>
      <c r="B368" s="207">
        <f>'7.17'!G346</f>
        <v>87.87</v>
      </c>
      <c r="C368" s="197">
        <f t="shared" si="89"/>
        <v>1</v>
      </c>
      <c r="D368" s="995" t="s">
        <v>7609</v>
      </c>
      <c r="E368" s="197">
        <f t="shared" si="90"/>
        <v>1.04</v>
      </c>
      <c r="F368" s="995" t="str">
        <f>'7.15'!D346</f>
        <v>平层</v>
      </c>
      <c r="G368" s="197">
        <f t="shared" si="91"/>
        <v>1</v>
      </c>
      <c r="H368" s="995" t="str">
        <f>'7.15'!E346</f>
        <v>南北</v>
      </c>
      <c r="I368" s="197">
        <f t="shared" si="92"/>
        <v>1</v>
      </c>
      <c r="J368" s="995"/>
      <c r="K368" s="197">
        <f t="shared" si="93"/>
        <v>1</v>
      </c>
      <c r="L368" s="995"/>
      <c r="M368" s="197">
        <f t="shared" si="94"/>
        <v>1</v>
      </c>
      <c r="N368" s="995"/>
      <c r="O368" s="197">
        <f t="shared" si="95"/>
        <v>1</v>
      </c>
      <c r="P368" s="995"/>
      <c r="Q368" s="197">
        <f t="shared" si="96"/>
        <v>1</v>
      </c>
      <c r="R368" s="991">
        <f t="shared" ca="1" si="101"/>
        <v>16569</v>
      </c>
      <c r="S368" s="552">
        <f t="shared" ca="1" si="102"/>
        <v>1455918</v>
      </c>
      <c r="T368" s="2010">
        <f t="shared" ca="1" si="103"/>
        <v>146</v>
      </c>
      <c r="U368" s="2305">
        <f t="shared" si="97"/>
        <v>0</v>
      </c>
      <c r="V368" s="2305">
        <f t="shared" si="98"/>
        <v>0</v>
      </c>
      <c r="W368" s="2300"/>
      <c r="X368" s="2305">
        <f t="shared" si="99"/>
        <v>0</v>
      </c>
      <c r="Y368" s="2305">
        <f t="shared" si="100"/>
        <v>0</v>
      </c>
      <c r="Z368" s="2300"/>
    </row>
    <row r="369" spans="1:26">
      <c r="A369" s="292" t="str">
        <f>'7.15'!B347</f>
        <v>8幢2单元2002室</v>
      </c>
      <c r="B369" s="207">
        <f>'7.17'!G347</f>
        <v>87.87</v>
      </c>
      <c r="C369" s="197">
        <f t="shared" si="89"/>
        <v>1</v>
      </c>
      <c r="D369" s="995" t="s">
        <v>7609</v>
      </c>
      <c r="E369" s="197">
        <f t="shared" si="90"/>
        <v>1.04</v>
      </c>
      <c r="F369" s="995" t="str">
        <f>'7.15'!D347</f>
        <v>平层</v>
      </c>
      <c r="G369" s="197">
        <f t="shared" si="91"/>
        <v>1</v>
      </c>
      <c r="H369" s="995" t="str">
        <f>'7.15'!E347</f>
        <v>南北</v>
      </c>
      <c r="I369" s="197">
        <f t="shared" si="92"/>
        <v>1</v>
      </c>
      <c r="J369" s="995"/>
      <c r="K369" s="197">
        <f t="shared" si="93"/>
        <v>1</v>
      </c>
      <c r="L369" s="995"/>
      <c r="M369" s="197">
        <f t="shared" si="94"/>
        <v>1</v>
      </c>
      <c r="N369" s="995"/>
      <c r="O369" s="197">
        <f t="shared" si="95"/>
        <v>1</v>
      </c>
      <c r="P369" s="995"/>
      <c r="Q369" s="197">
        <f t="shared" si="96"/>
        <v>1</v>
      </c>
      <c r="R369" s="991">
        <f t="shared" ca="1" si="101"/>
        <v>16569</v>
      </c>
      <c r="S369" s="552">
        <f t="shared" ca="1" si="102"/>
        <v>1455918</v>
      </c>
      <c r="T369" s="2010">
        <f t="shared" ca="1" si="103"/>
        <v>146</v>
      </c>
      <c r="U369" s="2305">
        <f t="shared" si="97"/>
        <v>0</v>
      </c>
      <c r="V369" s="2305">
        <f t="shared" si="98"/>
        <v>0</v>
      </c>
      <c r="W369" s="2300"/>
      <c r="X369" s="2305">
        <f t="shared" si="99"/>
        <v>0</v>
      </c>
      <c r="Y369" s="2305">
        <f t="shared" si="100"/>
        <v>0</v>
      </c>
      <c r="Z369" s="2300"/>
    </row>
    <row r="370" spans="1:26">
      <c r="A370" s="292" t="str">
        <f>'7.15'!B348</f>
        <v>8幢2单元2102室</v>
      </c>
      <c r="B370" s="207">
        <f>'7.17'!G348</f>
        <v>87.87</v>
      </c>
      <c r="C370" s="197">
        <f t="shared" si="89"/>
        <v>1</v>
      </c>
      <c r="D370" s="995" t="s">
        <v>7608</v>
      </c>
      <c r="E370" s="197">
        <f t="shared" si="90"/>
        <v>1.02</v>
      </c>
      <c r="F370" s="995" t="str">
        <f>'7.15'!D348</f>
        <v>平层</v>
      </c>
      <c r="G370" s="197">
        <f t="shared" si="91"/>
        <v>1</v>
      </c>
      <c r="H370" s="995" t="str">
        <f>'7.15'!E348</f>
        <v>南北</v>
      </c>
      <c r="I370" s="197">
        <f t="shared" si="92"/>
        <v>1</v>
      </c>
      <c r="J370" s="995"/>
      <c r="K370" s="197">
        <f t="shared" si="93"/>
        <v>1</v>
      </c>
      <c r="L370" s="995"/>
      <c r="M370" s="197">
        <f t="shared" si="94"/>
        <v>1</v>
      </c>
      <c r="N370" s="995"/>
      <c r="O370" s="197">
        <f t="shared" si="95"/>
        <v>1</v>
      </c>
      <c r="P370" s="995"/>
      <c r="Q370" s="197">
        <f t="shared" si="96"/>
        <v>1</v>
      </c>
      <c r="R370" s="991">
        <f t="shared" ca="1" si="101"/>
        <v>16251</v>
      </c>
      <c r="S370" s="552">
        <f t="shared" ca="1" si="102"/>
        <v>1427975</v>
      </c>
      <c r="T370" s="2010">
        <f t="shared" ca="1" si="103"/>
        <v>143</v>
      </c>
      <c r="U370" s="2305">
        <f t="shared" si="97"/>
        <v>0</v>
      </c>
      <c r="V370" s="2305">
        <f t="shared" si="98"/>
        <v>0</v>
      </c>
      <c r="W370" s="2300"/>
      <c r="X370" s="2305">
        <f t="shared" si="99"/>
        <v>0</v>
      </c>
      <c r="Y370" s="2305">
        <f t="shared" si="100"/>
        <v>0</v>
      </c>
      <c r="Z370" s="2300"/>
    </row>
    <row r="371" spans="1:26">
      <c r="A371" s="292" t="str">
        <f>'7.15'!B349</f>
        <v>8幢2单元2202室</v>
      </c>
      <c r="B371" s="207">
        <f>'7.17'!G349</f>
        <v>87.87</v>
      </c>
      <c r="C371" s="197">
        <f t="shared" si="89"/>
        <v>1</v>
      </c>
      <c r="D371" s="995" t="s">
        <v>7608</v>
      </c>
      <c r="E371" s="197">
        <f t="shared" si="90"/>
        <v>1.02</v>
      </c>
      <c r="F371" s="995" t="str">
        <f>'7.15'!D349</f>
        <v>平层</v>
      </c>
      <c r="G371" s="197">
        <f t="shared" si="91"/>
        <v>1</v>
      </c>
      <c r="H371" s="995" t="str">
        <f>'7.15'!E349</f>
        <v>南北</v>
      </c>
      <c r="I371" s="197">
        <f t="shared" si="92"/>
        <v>1</v>
      </c>
      <c r="J371" s="995"/>
      <c r="K371" s="197">
        <f t="shared" si="93"/>
        <v>1</v>
      </c>
      <c r="L371" s="995"/>
      <c r="M371" s="197">
        <f t="shared" si="94"/>
        <v>1</v>
      </c>
      <c r="N371" s="995"/>
      <c r="O371" s="197">
        <f t="shared" si="95"/>
        <v>1</v>
      </c>
      <c r="P371" s="995"/>
      <c r="Q371" s="197">
        <f t="shared" si="96"/>
        <v>1</v>
      </c>
      <c r="R371" s="991">
        <f t="shared" ca="1" si="101"/>
        <v>16251</v>
      </c>
      <c r="S371" s="552">
        <f t="shared" ca="1" si="102"/>
        <v>1427975</v>
      </c>
      <c r="T371" s="2010">
        <f t="shared" ca="1" si="103"/>
        <v>143</v>
      </c>
      <c r="U371" s="2305">
        <f t="shared" si="97"/>
        <v>0</v>
      </c>
      <c r="V371" s="2305">
        <f t="shared" si="98"/>
        <v>0</v>
      </c>
      <c r="W371" s="2300"/>
      <c r="X371" s="2305">
        <f t="shared" si="99"/>
        <v>0</v>
      </c>
      <c r="Y371" s="2305">
        <f t="shared" si="100"/>
        <v>0</v>
      </c>
      <c r="Z371" s="2300"/>
    </row>
    <row r="372" spans="1:26">
      <c r="A372" s="292" t="str">
        <f>'7.15'!B350</f>
        <v>8幢2单元2302室</v>
      </c>
      <c r="B372" s="207">
        <f>'7.17'!G350</f>
        <v>87.87</v>
      </c>
      <c r="C372" s="197">
        <f t="shared" si="89"/>
        <v>1</v>
      </c>
      <c r="D372" s="995" t="s">
        <v>7608</v>
      </c>
      <c r="E372" s="197">
        <f t="shared" si="90"/>
        <v>1.02</v>
      </c>
      <c r="F372" s="995" t="str">
        <f>'7.15'!D350</f>
        <v>平层</v>
      </c>
      <c r="G372" s="197">
        <f t="shared" si="91"/>
        <v>1</v>
      </c>
      <c r="H372" s="995" t="str">
        <f>'7.15'!E350</f>
        <v>南北</v>
      </c>
      <c r="I372" s="197">
        <f t="shared" si="92"/>
        <v>1</v>
      </c>
      <c r="J372" s="995"/>
      <c r="K372" s="197">
        <f t="shared" si="93"/>
        <v>1</v>
      </c>
      <c r="L372" s="995"/>
      <c r="M372" s="197">
        <f t="shared" si="94"/>
        <v>1</v>
      </c>
      <c r="N372" s="995"/>
      <c r="O372" s="197">
        <f t="shared" si="95"/>
        <v>1</v>
      </c>
      <c r="P372" s="995"/>
      <c r="Q372" s="197">
        <f t="shared" si="96"/>
        <v>1</v>
      </c>
      <c r="R372" s="991">
        <f t="shared" ca="1" si="101"/>
        <v>16251</v>
      </c>
      <c r="S372" s="552">
        <f t="shared" ca="1" si="102"/>
        <v>1427975</v>
      </c>
      <c r="T372" s="2010">
        <f t="shared" ca="1" si="103"/>
        <v>143</v>
      </c>
      <c r="U372" s="2305">
        <f t="shared" si="97"/>
        <v>0</v>
      </c>
      <c r="V372" s="2305">
        <f t="shared" si="98"/>
        <v>0</v>
      </c>
      <c r="W372" s="2300"/>
      <c r="X372" s="2305">
        <f t="shared" si="99"/>
        <v>0</v>
      </c>
      <c r="Y372" s="2305">
        <f t="shared" si="100"/>
        <v>0</v>
      </c>
      <c r="Z372" s="2300"/>
    </row>
    <row r="373" spans="1:26">
      <c r="A373" s="292" t="str">
        <f>'7.15'!B351</f>
        <v>8幢2单元2402室</v>
      </c>
      <c r="B373" s="207">
        <f>'7.17'!G351</f>
        <v>87.87</v>
      </c>
      <c r="C373" s="197">
        <f t="shared" si="89"/>
        <v>1</v>
      </c>
      <c r="D373" s="995" t="s">
        <v>7608</v>
      </c>
      <c r="E373" s="197">
        <f t="shared" si="90"/>
        <v>1.02</v>
      </c>
      <c r="F373" s="995" t="str">
        <f>'7.15'!D351</f>
        <v>平层</v>
      </c>
      <c r="G373" s="197">
        <f t="shared" si="91"/>
        <v>1</v>
      </c>
      <c r="H373" s="995" t="str">
        <f>'7.15'!E351</f>
        <v>南北</v>
      </c>
      <c r="I373" s="197">
        <f t="shared" si="92"/>
        <v>1</v>
      </c>
      <c r="J373" s="995"/>
      <c r="K373" s="197">
        <f t="shared" si="93"/>
        <v>1</v>
      </c>
      <c r="L373" s="995"/>
      <c r="M373" s="197">
        <f t="shared" si="94"/>
        <v>1</v>
      </c>
      <c r="N373" s="995"/>
      <c r="O373" s="197">
        <f t="shared" si="95"/>
        <v>1</v>
      </c>
      <c r="P373" s="995"/>
      <c r="Q373" s="197">
        <f t="shared" si="96"/>
        <v>1</v>
      </c>
      <c r="R373" s="991">
        <f t="shared" ca="1" si="101"/>
        <v>16251</v>
      </c>
      <c r="S373" s="552">
        <f t="shared" ca="1" si="102"/>
        <v>1427975</v>
      </c>
      <c r="T373" s="2010">
        <f t="shared" ca="1" si="103"/>
        <v>143</v>
      </c>
      <c r="U373" s="2305">
        <f t="shared" si="97"/>
        <v>0</v>
      </c>
      <c r="V373" s="2305">
        <f t="shared" si="98"/>
        <v>0</v>
      </c>
      <c r="W373" s="2300"/>
      <c r="X373" s="2305">
        <f t="shared" si="99"/>
        <v>0</v>
      </c>
      <c r="Y373" s="2305">
        <f t="shared" si="100"/>
        <v>0</v>
      </c>
      <c r="Z373" s="2300"/>
    </row>
    <row r="374" spans="1:26">
      <c r="A374" s="292" t="str">
        <f>'7.15'!B352</f>
        <v>8幢2单元2502室</v>
      </c>
      <c r="B374" s="207">
        <f>'7.17'!G352</f>
        <v>87.87</v>
      </c>
      <c r="C374" s="197">
        <f t="shared" si="89"/>
        <v>1</v>
      </c>
      <c r="D374" s="995" t="s">
        <v>7608</v>
      </c>
      <c r="E374" s="197">
        <f t="shared" si="90"/>
        <v>1.02</v>
      </c>
      <c r="F374" s="995" t="str">
        <f>'7.15'!D352</f>
        <v>平层</v>
      </c>
      <c r="G374" s="197">
        <f t="shared" si="91"/>
        <v>1</v>
      </c>
      <c r="H374" s="995" t="str">
        <f>'7.15'!E352</f>
        <v>南北</v>
      </c>
      <c r="I374" s="197">
        <f t="shared" si="92"/>
        <v>1</v>
      </c>
      <c r="J374" s="995"/>
      <c r="K374" s="197">
        <f t="shared" si="93"/>
        <v>1</v>
      </c>
      <c r="L374" s="995"/>
      <c r="M374" s="197">
        <f t="shared" si="94"/>
        <v>1</v>
      </c>
      <c r="N374" s="995"/>
      <c r="O374" s="197">
        <f t="shared" si="95"/>
        <v>1</v>
      </c>
      <c r="P374" s="995"/>
      <c r="Q374" s="197">
        <f t="shared" si="96"/>
        <v>1</v>
      </c>
      <c r="R374" s="991">
        <f t="shared" ca="1" si="101"/>
        <v>16251</v>
      </c>
      <c r="S374" s="552">
        <f t="shared" ca="1" si="102"/>
        <v>1427975</v>
      </c>
      <c r="T374" s="2010">
        <f t="shared" ca="1" si="103"/>
        <v>143</v>
      </c>
      <c r="U374" s="2305">
        <f t="shared" si="97"/>
        <v>0</v>
      </c>
      <c r="V374" s="2305">
        <f t="shared" si="98"/>
        <v>0</v>
      </c>
      <c r="W374" s="2300"/>
      <c r="X374" s="2305">
        <f t="shared" si="99"/>
        <v>0</v>
      </c>
      <c r="Y374" s="2305">
        <f t="shared" si="100"/>
        <v>0</v>
      </c>
      <c r="Z374" s="2300"/>
    </row>
    <row r="375" spans="1:26">
      <c r="A375" s="292" t="str">
        <f>'7.15'!B353</f>
        <v>8幢2单元2602室</v>
      </c>
      <c r="B375" s="207">
        <f>'7.17'!G353</f>
        <v>87.87</v>
      </c>
      <c r="C375" s="197">
        <f t="shared" si="89"/>
        <v>1</v>
      </c>
      <c r="D375" s="995" t="s">
        <v>7608</v>
      </c>
      <c r="E375" s="197">
        <f t="shared" si="90"/>
        <v>1.02</v>
      </c>
      <c r="F375" s="995" t="str">
        <f>'7.15'!D353</f>
        <v>平层</v>
      </c>
      <c r="G375" s="197">
        <f t="shared" si="91"/>
        <v>1</v>
      </c>
      <c r="H375" s="995" t="str">
        <f>'7.15'!E353</f>
        <v>南北</v>
      </c>
      <c r="I375" s="197">
        <f t="shared" si="92"/>
        <v>1</v>
      </c>
      <c r="J375" s="995"/>
      <c r="K375" s="197">
        <f t="shared" si="93"/>
        <v>1</v>
      </c>
      <c r="L375" s="995"/>
      <c r="M375" s="197">
        <f t="shared" si="94"/>
        <v>1</v>
      </c>
      <c r="N375" s="995"/>
      <c r="O375" s="197">
        <f t="shared" si="95"/>
        <v>1</v>
      </c>
      <c r="P375" s="995"/>
      <c r="Q375" s="197">
        <f t="shared" si="96"/>
        <v>1</v>
      </c>
      <c r="R375" s="991">
        <f t="shared" ca="1" si="101"/>
        <v>16251</v>
      </c>
      <c r="S375" s="552">
        <f t="shared" ca="1" si="102"/>
        <v>1427975</v>
      </c>
      <c r="T375" s="2010">
        <f t="shared" ca="1" si="103"/>
        <v>143</v>
      </c>
      <c r="U375" s="2305">
        <f t="shared" si="97"/>
        <v>0</v>
      </c>
      <c r="V375" s="2305">
        <f t="shared" si="98"/>
        <v>0</v>
      </c>
      <c r="W375" s="2300"/>
      <c r="X375" s="2305">
        <f t="shared" si="99"/>
        <v>0</v>
      </c>
      <c r="Y375" s="2305">
        <f t="shared" si="100"/>
        <v>0</v>
      </c>
      <c r="Z375" s="2300"/>
    </row>
    <row r="376" spans="1:26">
      <c r="A376" s="292" t="str">
        <f>'7.15'!B354</f>
        <v>8幢2单元2702室</v>
      </c>
      <c r="B376" s="207">
        <f>'7.17'!G354</f>
        <v>87.87</v>
      </c>
      <c r="C376" s="197">
        <f t="shared" si="89"/>
        <v>1</v>
      </c>
      <c r="D376" s="995" t="s">
        <v>7608</v>
      </c>
      <c r="E376" s="197">
        <f t="shared" si="90"/>
        <v>1.02</v>
      </c>
      <c r="F376" s="995" t="str">
        <f>'7.15'!D354</f>
        <v>平层</v>
      </c>
      <c r="G376" s="197">
        <f t="shared" si="91"/>
        <v>1</v>
      </c>
      <c r="H376" s="995" t="str">
        <f>'7.15'!E354</f>
        <v>南北</v>
      </c>
      <c r="I376" s="197">
        <f t="shared" si="92"/>
        <v>1</v>
      </c>
      <c r="J376" s="995"/>
      <c r="K376" s="197">
        <f t="shared" si="93"/>
        <v>1</v>
      </c>
      <c r="L376" s="995"/>
      <c r="M376" s="197">
        <f t="shared" si="94"/>
        <v>1</v>
      </c>
      <c r="N376" s="995"/>
      <c r="O376" s="197">
        <f t="shared" si="95"/>
        <v>1</v>
      </c>
      <c r="P376" s="995"/>
      <c r="Q376" s="197">
        <f t="shared" si="96"/>
        <v>1</v>
      </c>
      <c r="R376" s="991">
        <f t="shared" ca="1" si="101"/>
        <v>16251</v>
      </c>
      <c r="S376" s="552">
        <f t="shared" ca="1" si="102"/>
        <v>1427975</v>
      </c>
      <c r="T376" s="2010">
        <f t="shared" ca="1" si="103"/>
        <v>143</v>
      </c>
      <c r="U376" s="2305">
        <f t="shared" si="97"/>
        <v>0</v>
      </c>
      <c r="V376" s="2305">
        <f t="shared" si="98"/>
        <v>0</v>
      </c>
      <c r="W376" s="2300"/>
      <c r="X376" s="2305">
        <f t="shared" si="99"/>
        <v>0</v>
      </c>
      <c r="Y376" s="2305">
        <f t="shared" si="100"/>
        <v>0</v>
      </c>
      <c r="Z376" s="2300"/>
    </row>
    <row r="377" spans="1:26">
      <c r="A377" s="292" t="str">
        <f>'7.15'!B355</f>
        <v>8幢2单元2802室</v>
      </c>
      <c r="B377" s="207">
        <f>'7.17'!G355</f>
        <v>87.87</v>
      </c>
      <c r="C377" s="197">
        <f t="shared" si="89"/>
        <v>1</v>
      </c>
      <c r="D377" s="995" t="s">
        <v>7608</v>
      </c>
      <c r="E377" s="197">
        <f t="shared" si="90"/>
        <v>1.02</v>
      </c>
      <c r="F377" s="995" t="str">
        <f>'7.15'!D355</f>
        <v>平层</v>
      </c>
      <c r="G377" s="197">
        <f t="shared" si="91"/>
        <v>1</v>
      </c>
      <c r="H377" s="995" t="str">
        <f>'7.15'!E355</f>
        <v>南北</v>
      </c>
      <c r="I377" s="197">
        <f t="shared" si="92"/>
        <v>1</v>
      </c>
      <c r="J377" s="995"/>
      <c r="K377" s="197">
        <f t="shared" si="93"/>
        <v>1</v>
      </c>
      <c r="L377" s="995"/>
      <c r="M377" s="197">
        <f t="shared" si="94"/>
        <v>1</v>
      </c>
      <c r="N377" s="995"/>
      <c r="O377" s="197">
        <f t="shared" si="95"/>
        <v>1</v>
      </c>
      <c r="P377" s="995"/>
      <c r="Q377" s="197">
        <f t="shared" si="96"/>
        <v>1</v>
      </c>
      <c r="R377" s="991">
        <f t="shared" ca="1" si="101"/>
        <v>16251</v>
      </c>
      <c r="S377" s="552">
        <f t="shared" ca="1" si="102"/>
        <v>1427975</v>
      </c>
      <c r="T377" s="2010">
        <f t="shared" ca="1" si="103"/>
        <v>143</v>
      </c>
      <c r="U377" s="2305">
        <f t="shared" si="97"/>
        <v>0</v>
      </c>
      <c r="V377" s="2305">
        <f t="shared" si="98"/>
        <v>0</v>
      </c>
      <c r="W377" s="2300"/>
      <c r="X377" s="2305">
        <f t="shared" si="99"/>
        <v>0</v>
      </c>
      <c r="Y377" s="2305">
        <f t="shared" si="100"/>
        <v>0</v>
      </c>
      <c r="Z377" s="2300"/>
    </row>
    <row r="378" spans="1:26">
      <c r="A378" s="292" t="str">
        <f>'7.15'!B356</f>
        <v>8幢2单元2902室</v>
      </c>
      <c r="B378" s="207">
        <f>'7.17'!G356</f>
        <v>87.87</v>
      </c>
      <c r="C378" s="197">
        <f t="shared" si="89"/>
        <v>1</v>
      </c>
      <c r="D378" s="995" t="s">
        <v>7608</v>
      </c>
      <c r="E378" s="197">
        <f t="shared" si="90"/>
        <v>1.02</v>
      </c>
      <c r="F378" s="995" t="str">
        <f>'7.15'!D356</f>
        <v>平层</v>
      </c>
      <c r="G378" s="197">
        <f t="shared" si="91"/>
        <v>1</v>
      </c>
      <c r="H378" s="995" t="str">
        <f>'7.15'!E356</f>
        <v>南北</v>
      </c>
      <c r="I378" s="197">
        <f t="shared" si="92"/>
        <v>1</v>
      </c>
      <c r="J378" s="995"/>
      <c r="K378" s="197">
        <f t="shared" si="93"/>
        <v>1</v>
      </c>
      <c r="L378" s="995"/>
      <c r="M378" s="197">
        <f t="shared" si="94"/>
        <v>1</v>
      </c>
      <c r="N378" s="995"/>
      <c r="O378" s="197">
        <f t="shared" si="95"/>
        <v>1</v>
      </c>
      <c r="P378" s="995"/>
      <c r="Q378" s="197">
        <f t="shared" si="96"/>
        <v>1</v>
      </c>
      <c r="R378" s="991">
        <f t="shared" ca="1" si="101"/>
        <v>16251</v>
      </c>
      <c r="S378" s="552">
        <f t="shared" ca="1" si="102"/>
        <v>1427975</v>
      </c>
      <c r="T378" s="2010">
        <f t="shared" ca="1" si="103"/>
        <v>143</v>
      </c>
      <c r="U378" s="2305">
        <f t="shared" si="97"/>
        <v>0</v>
      </c>
      <c r="V378" s="2305">
        <f t="shared" si="98"/>
        <v>0</v>
      </c>
      <c r="W378" s="2300"/>
      <c r="X378" s="2305">
        <f t="shared" si="99"/>
        <v>0</v>
      </c>
      <c r="Y378" s="2305">
        <f t="shared" si="100"/>
        <v>0</v>
      </c>
      <c r="Z378" s="2300"/>
    </row>
    <row r="379" spans="1:26">
      <c r="A379" s="292" t="str">
        <f>'7.15'!B357</f>
        <v>8幢2单元3002室</v>
      </c>
      <c r="B379" s="207">
        <f>'7.17'!G357</f>
        <v>88.11</v>
      </c>
      <c r="C379" s="197">
        <f t="shared" si="89"/>
        <v>1</v>
      </c>
      <c r="D379" s="995" t="s">
        <v>7608</v>
      </c>
      <c r="E379" s="197">
        <f t="shared" si="90"/>
        <v>1.02</v>
      </c>
      <c r="F379" s="995" t="str">
        <f>'7.15'!D357</f>
        <v>平层</v>
      </c>
      <c r="G379" s="197">
        <f t="shared" si="91"/>
        <v>1</v>
      </c>
      <c r="H379" s="995" t="str">
        <f>'7.15'!E357</f>
        <v>南北</v>
      </c>
      <c r="I379" s="197">
        <f t="shared" si="92"/>
        <v>1</v>
      </c>
      <c r="J379" s="995"/>
      <c r="K379" s="197">
        <f t="shared" si="93"/>
        <v>1</v>
      </c>
      <c r="L379" s="995"/>
      <c r="M379" s="197">
        <f t="shared" si="94"/>
        <v>1</v>
      </c>
      <c r="N379" s="995"/>
      <c r="O379" s="197">
        <f t="shared" si="95"/>
        <v>1</v>
      </c>
      <c r="P379" s="995"/>
      <c r="Q379" s="197">
        <f t="shared" si="96"/>
        <v>1</v>
      </c>
      <c r="R379" s="991">
        <f t="shared" ca="1" si="101"/>
        <v>16251</v>
      </c>
      <c r="S379" s="552">
        <f t="shared" ca="1" si="102"/>
        <v>1431876</v>
      </c>
      <c r="T379" s="2010">
        <f t="shared" ca="1" si="103"/>
        <v>143</v>
      </c>
      <c r="U379" s="2305">
        <f t="shared" si="97"/>
        <v>0</v>
      </c>
      <c r="V379" s="2305">
        <f t="shared" si="98"/>
        <v>0</v>
      </c>
      <c r="W379" s="2300"/>
      <c r="X379" s="2305">
        <f t="shared" si="99"/>
        <v>0</v>
      </c>
      <c r="Y379" s="2305">
        <f t="shared" si="100"/>
        <v>0</v>
      </c>
      <c r="Z379" s="2300"/>
    </row>
    <row r="380" spans="1:26">
      <c r="A380" s="292" t="str">
        <f>'7.15'!B358</f>
        <v>8幢2单元203室</v>
      </c>
      <c r="B380" s="207">
        <f>'7.17'!G358</f>
        <v>127.04</v>
      </c>
      <c r="C380" s="197">
        <f t="shared" si="89"/>
        <v>0.98</v>
      </c>
      <c r="D380" s="995" t="s">
        <v>7606</v>
      </c>
      <c r="E380" s="197">
        <f t="shared" si="90"/>
        <v>1</v>
      </c>
      <c r="F380" s="995" t="str">
        <f>'7.15'!D358</f>
        <v>平层</v>
      </c>
      <c r="G380" s="197">
        <f t="shared" si="91"/>
        <v>1</v>
      </c>
      <c r="H380" s="995" t="str">
        <f>'7.15'!E358</f>
        <v>南北西</v>
      </c>
      <c r="I380" s="197">
        <f t="shared" si="92"/>
        <v>1.01</v>
      </c>
      <c r="J380" s="995"/>
      <c r="K380" s="197">
        <f t="shared" si="93"/>
        <v>1</v>
      </c>
      <c r="L380" s="995"/>
      <c r="M380" s="197">
        <f t="shared" si="94"/>
        <v>1</v>
      </c>
      <c r="N380" s="995"/>
      <c r="O380" s="197">
        <f t="shared" si="95"/>
        <v>1</v>
      </c>
      <c r="P380" s="995"/>
      <c r="Q380" s="197">
        <f t="shared" si="96"/>
        <v>1</v>
      </c>
      <c r="R380" s="991">
        <f t="shared" ca="1" si="101"/>
        <v>15769</v>
      </c>
      <c r="S380" s="552">
        <f t="shared" ca="1" si="102"/>
        <v>2003294</v>
      </c>
      <c r="T380" s="2010">
        <f t="shared" ca="1" si="103"/>
        <v>200</v>
      </c>
      <c r="U380" s="2305">
        <f t="shared" si="97"/>
        <v>0</v>
      </c>
      <c r="V380" s="2305">
        <f t="shared" si="98"/>
        <v>0</v>
      </c>
      <c r="W380" s="2300"/>
      <c r="X380" s="2305">
        <f t="shared" si="99"/>
        <v>0</v>
      </c>
      <c r="Y380" s="2305">
        <f t="shared" si="100"/>
        <v>0</v>
      </c>
      <c r="Z380" s="2300"/>
    </row>
    <row r="381" spans="1:26">
      <c r="A381" s="292" t="str">
        <f>'7.15'!B359</f>
        <v>8幢2单元303室</v>
      </c>
      <c r="B381" s="207">
        <f>'7.17'!G359</f>
        <v>127.04</v>
      </c>
      <c r="C381" s="197">
        <f t="shared" si="89"/>
        <v>0.98</v>
      </c>
      <c r="D381" s="995" t="s">
        <v>7606</v>
      </c>
      <c r="E381" s="197">
        <f t="shared" si="90"/>
        <v>1</v>
      </c>
      <c r="F381" s="995" t="str">
        <f>'7.15'!D359</f>
        <v>平层</v>
      </c>
      <c r="G381" s="197">
        <f t="shared" si="91"/>
        <v>1</v>
      </c>
      <c r="H381" s="995" t="str">
        <f>'7.15'!E359</f>
        <v>南北西</v>
      </c>
      <c r="I381" s="197">
        <f t="shared" si="92"/>
        <v>1.01</v>
      </c>
      <c r="J381" s="995"/>
      <c r="K381" s="197">
        <f t="shared" si="93"/>
        <v>1</v>
      </c>
      <c r="L381" s="995"/>
      <c r="M381" s="197">
        <f t="shared" si="94"/>
        <v>1</v>
      </c>
      <c r="N381" s="995"/>
      <c r="O381" s="197">
        <f t="shared" si="95"/>
        <v>1</v>
      </c>
      <c r="P381" s="995"/>
      <c r="Q381" s="197">
        <f t="shared" si="96"/>
        <v>1</v>
      </c>
      <c r="R381" s="991">
        <f t="shared" ca="1" si="101"/>
        <v>15769</v>
      </c>
      <c r="S381" s="552">
        <f t="shared" ca="1" si="102"/>
        <v>2003294</v>
      </c>
      <c r="T381" s="2010">
        <f t="shared" ca="1" si="103"/>
        <v>200</v>
      </c>
      <c r="U381" s="2305">
        <f t="shared" si="97"/>
        <v>0</v>
      </c>
      <c r="V381" s="2305">
        <f t="shared" si="98"/>
        <v>0</v>
      </c>
      <c r="W381" s="2300"/>
      <c r="X381" s="2305">
        <f t="shared" si="99"/>
        <v>0</v>
      </c>
      <c r="Y381" s="2305">
        <f t="shared" si="100"/>
        <v>0</v>
      </c>
      <c r="Z381" s="2300"/>
    </row>
    <row r="382" spans="1:26">
      <c r="A382" s="292" t="str">
        <f>'7.15'!B360</f>
        <v>8幢2单元403室</v>
      </c>
      <c r="B382" s="207">
        <f>'7.17'!G360</f>
        <v>127.04</v>
      </c>
      <c r="C382" s="197">
        <f t="shared" si="89"/>
        <v>0.98</v>
      </c>
      <c r="D382" s="995" t="s">
        <v>7606</v>
      </c>
      <c r="E382" s="197">
        <f t="shared" si="90"/>
        <v>1</v>
      </c>
      <c r="F382" s="995" t="str">
        <f>'7.15'!D360</f>
        <v>平层</v>
      </c>
      <c r="G382" s="197">
        <f t="shared" si="91"/>
        <v>1</v>
      </c>
      <c r="H382" s="995" t="str">
        <f>'7.15'!E360</f>
        <v>南北西</v>
      </c>
      <c r="I382" s="197">
        <f t="shared" si="92"/>
        <v>1.01</v>
      </c>
      <c r="J382" s="995"/>
      <c r="K382" s="197">
        <f t="shared" si="93"/>
        <v>1</v>
      </c>
      <c r="L382" s="995"/>
      <c r="M382" s="197">
        <f t="shared" si="94"/>
        <v>1</v>
      </c>
      <c r="N382" s="995"/>
      <c r="O382" s="197">
        <f t="shared" si="95"/>
        <v>1</v>
      </c>
      <c r="P382" s="995"/>
      <c r="Q382" s="197">
        <f t="shared" si="96"/>
        <v>1</v>
      </c>
      <c r="R382" s="991">
        <f t="shared" ca="1" si="101"/>
        <v>15769</v>
      </c>
      <c r="S382" s="552">
        <f t="shared" ca="1" si="102"/>
        <v>2003294</v>
      </c>
      <c r="T382" s="2010">
        <f t="shared" ca="1" si="103"/>
        <v>200</v>
      </c>
      <c r="U382" s="2305">
        <f t="shared" si="97"/>
        <v>0</v>
      </c>
      <c r="V382" s="2305">
        <f t="shared" si="98"/>
        <v>0</v>
      </c>
      <c r="W382" s="2300"/>
      <c r="X382" s="2305">
        <f t="shared" si="99"/>
        <v>0</v>
      </c>
      <c r="Y382" s="2305">
        <f t="shared" si="100"/>
        <v>0</v>
      </c>
      <c r="Z382" s="2300"/>
    </row>
    <row r="383" spans="1:26">
      <c r="A383" s="292" t="str">
        <f>'7.15'!B361</f>
        <v>8幢2单元503室</v>
      </c>
      <c r="B383" s="207">
        <f>'7.17'!G361</f>
        <v>127.04</v>
      </c>
      <c r="C383" s="197">
        <f t="shared" si="89"/>
        <v>0.98</v>
      </c>
      <c r="D383" s="995" t="s">
        <v>7606</v>
      </c>
      <c r="E383" s="197">
        <f t="shared" si="90"/>
        <v>1</v>
      </c>
      <c r="F383" s="995" t="str">
        <f>'7.15'!D361</f>
        <v>平层</v>
      </c>
      <c r="G383" s="197">
        <f t="shared" si="91"/>
        <v>1</v>
      </c>
      <c r="H383" s="995" t="str">
        <f>'7.15'!E361</f>
        <v>南北西</v>
      </c>
      <c r="I383" s="197">
        <f t="shared" si="92"/>
        <v>1.01</v>
      </c>
      <c r="J383" s="995"/>
      <c r="K383" s="197">
        <f t="shared" si="93"/>
        <v>1</v>
      </c>
      <c r="L383" s="995"/>
      <c r="M383" s="197">
        <f t="shared" si="94"/>
        <v>1</v>
      </c>
      <c r="N383" s="995"/>
      <c r="O383" s="197">
        <f t="shared" si="95"/>
        <v>1</v>
      </c>
      <c r="P383" s="995"/>
      <c r="Q383" s="197">
        <f t="shared" si="96"/>
        <v>1</v>
      </c>
      <c r="R383" s="991">
        <f t="shared" ca="1" si="101"/>
        <v>15769</v>
      </c>
      <c r="S383" s="552">
        <f t="shared" ca="1" si="102"/>
        <v>2003294</v>
      </c>
      <c r="T383" s="2010">
        <f t="shared" ca="1" si="103"/>
        <v>200</v>
      </c>
      <c r="U383" s="2305">
        <f t="shared" si="97"/>
        <v>0</v>
      </c>
      <c r="V383" s="2305">
        <f t="shared" si="98"/>
        <v>0</v>
      </c>
      <c r="W383" s="2300"/>
      <c r="X383" s="2305">
        <f t="shared" si="99"/>
        <v>0</v>
      </c>
      <c r="Y383" s="2305">
        <f t="shared" si="100"/>
        <v>0</v>
      </c>
      <c r="Z383" s="2300"/>
    </row>
    <row r="384" spans="1:26">
      <c r="A384" s="292" t="str">
        <f>'7.15'!B362</f>
        <v>8幢2单元603室</v>
      </c>
      <c r="B384" s="207">
        <f>'7.17'!G362</f>
        <v>127.04</v>
      </c>
      <c r="C384" s="197">
        <f t="shared" si="89"/>
        <v>0.98</v>
      </c>
      <c r="D384" s="995" t="s">
        <v>7606</v>
      </c>
      <c r="E384" s="197">
        <f t="shared" si="90"/>
        <v>1</v>
      </c>
      <c r="F384" s="995" t="str">
        <f>'7.15'!D362</f>
        <v>平层</v>
      </c>
      <c r="G384" s="197">
        <f t="shared" si="91"/>
        <v>1</v>
      </c>
      <c r="H384" s="995" t="str">
        <f>'7.15'!E362</f>
        <v>南北西</v>
      </c>
      <c r="I384" s="197">
        <f t="shared" si="92"/>
        <v>1.01</v>
      </c>
      <c r="J384" s="995"/>
      <c r="K384" s="197">
        <f t="shared" si="93"/>
        <v>1</v>
      </c>
      <c r="L384" s="995"/>
      <c r="M384" s="197">
        <f t="shared" si="94"/>
        <v>1</v>
      </c>
      <c r="N384" s="995"/>
      <c r="O384" s="197">
        <f t="shared" si="95"/>
        <v>1</v>
      </c>
      <c r="P384" s="995"/>
      <c r="Q384" s="197">
        <f t="shared" si="96"/>
        <v>1</v>
      </c>
      <c r="R384" s="991">
        <f t="shared" ca="1" si="101"/>
        <v>15769</v>
      </c>
      <c r="S384" s="552">
        <f t="shared" ca="1" si="102"/>
        <v>2003294</v>
      </c>
      <c r="T384" s="2010">
        <f t="shared" ca="1" si="103"/>
        <v>200</v>
      </c>
      <c r="U384" s="2305">
        <f t="shared" si="97"/>
        <v>0</v>
      </c>
      <c r="V384" s="2305">
        <f t="shared" si="98"/>
        <v>0</v>
      </c>
      <c r="W384" s="2300"/>
      <c r="X384" s="2305">
        <f t="shared" si="99"/>
        <v>0</v>
      </c>
      <c r="Y384" s="2305">
        <f t="shared" si="100"/>
        <v>0</v>
      </c>
      <c r="Z384" s="2300"/>
    </row>
    <row r="385" spans="1:26">
      <c r="A385" s="292" t="str">
        <f>'7.15'!B363</f>
        <v>8幢2单元703室</v>
      </c>
      <c r="B385" s="207">
        <f>'7.17'!G363</f>
        <v>127.04</v>
      </c>
      <c r="C385" s="197">
        <f t="shared" si="89"/>
        <v>0.98</v>
      </c>
      <c r="D385" s="995" t="s">
        <v>7606</v>
      </c>
      <c r="E385" s="197">
        <f t="shared" si="90"/>
        <v>1</v>
      </c>
      <c r="F385" s="995" t="str">
        <f>'7.15'!D363</f>
        <v>平层</v>
      </c>
      <c r="G385" s="197">
        <f t="shared" si="91"/>
        <v>1</v>
      </c>
      <c r="H385" s="995" t="str">
        <f>'7.15'!E363</f>
        <v>南北西</v>
      </c>
      <c r="I385" s="197">
        <f t="shared" si="92"/>
        <v>1.01</v>
      </c>
      <c r="J385" s="995"/>
      <c r="K385" s="197">
        <f t="shared" si="93"/>
        <v>1</v>
      </c>
      <c r="L385" s="995"/>
      <c r="M385" s="197">
        <f t="shared" si="94"/>
        <v>1</v>
      </c>
      <c r="N385" s="995"/>
      <c r="O385" s="197">
        <f t="shared" si="95"/>
        <v>1</v>
      </c>
      <c r="P385" s="995"/>
      <c r="Q385" s="197">
        <f t="shared" si="96"/>
        <v>1</v>
      </c>
      <c r="R385" s="991">
        <f t="shared" ca="1" si="101"/>
        <v>15769</v>
      </c>
      <c r="S385" s="552">
        <f t="shared" ca="1" si="102"/>
        <v>2003294</v>
      </c>
      <c r="T385" s="2010">
        <f t="shared" ca="1" si="103"/>
        <v>200</v>
      </c>
      <c r="U385" s="2305">
        <f t="shared" si="97"/>
        <v>0</v>
      </c>
      <c r="V385" s="2305">
        <f t="shared" si="98"/>
        <v>0</v>
      </c>
      <c r="W385" s="2300"/>
      <c r="X385" s="2305">
        <f t="shared" si="99"/>
        <v>0</v>
      </c>
      <c r="Y385" s="2305">
        <f t="shared" si="100"/>
        <v>0</v>
      </c>
      <c r="Z385" s="2300"/>
    </row>
    <row r="386" spans="1:26">
      <c r="A386" s="292" t="str">
        <f>'7.15'!B364</f>
        <v>8幢2单元803室</v>
      </c>
      <c r="B386" s="207">
        <f>'7.17'!G364</f>
        <v>127.04</v>
      </c>
      <c r="C386" s="197">
        <f t="shared" si="89"/>
        <v>0.98</v>
      </c>
      <c r="D386" s="995" t="s">
        <v>7606</v>
      </c>
      <c r="E386" s="197">
        <f t="shared" si="90"/>
        <v>1</v>
      </c>
      <c r="F386" s="995" t="str">
        <f>'7.15'!D364</f>
        <v>平层</v>
      </c>
      <c r="G386" s="197">
        <f t="shared" si="91"/>
        <v>1</v>
      </c>
      <c r="H386" s="995" t="str">
        <f>'7.15'!E364</f>
        <v>南北西</v>
      </c>
      <c r="I386" s="197">
        <f t="shared" si="92"/>
        <v>1.01</v>
      </c>
      <c r="J386" s="995"/>
      <c r="K386" s="197">
        <f t="shared" si="93"/>
        <v>1</v>
      </c>
      <c r="L386" s="995"/>
      <c r="M386" s="197">
        <f t="shared" si="94"/>
        <v>1</v>
      </c>
      <c r="N386" s="995"/>
      <c r="O386" s="197">
        <f t="shared" si="95"/>
        <v>1</v>
      </c>
      <c r="P386" s="995"/>
      <c r="Q386" s="197">
        <f t="shared" si="96"/>
        <v>1</v>
      </c>
      <c r="R386" s="991">
        <f t="shared" ca="1" si="101"/>
        <v>15769</v>
      </c>
      <c r="S386" s="552">
        <f t="shared" ca="1" si="102"/>
        <v>2003294</v>
      </c>
      <c r="T386" s="2010">
        <f t="shared" ca="1" si="103"/>
        <v>200</v>
      </c>
      <c r="U386" s="2305">
        <f t="shared" si="97"/>
        <v>0</v>
      </c>
      <c r="V386" s="2305">
        <f t="shared" si="98"/>
        <v>0</v>
      </c>
      <c r="W386" s="2300"/>
      <c r="X386" s="2305">
        <f t="shared" si="99"/>
        <v>0</v>
      </c>
      <c r="Y386" s="2305">
        <f t="shared" si="100"/>
        <v>0</v>
      </c>
      <c r="Z386" s="2300"/>
    </row>
    <row r="387" spans="1:26">
      <c r="A387" s="292" t="str">
        <f>'7.15'!B365</f>
        <v>8幢2单元903室</v>
      </c>
      <c r="B387" s="207">
        <f>'7.17'!G365</f>
        <v>127.04</v>
      </c>
      <c r="C387" s="197">
        <f t="shared" si="89"/>
        <v>0.98</v>
      </c>
      <c r="D387" s="995" t="s">
        <v>7606</v>
      </c>
      <c r="E387" s="197">
        <f t="shared" si="90"/>
        <v>1</v>
      </c>
      <c r="F387" s="995" t="str">
        <f>'7.15'!D365</f>
        <v>平层</v>
      </c>
      <c r="G387" s="197">
        <f t="shared" si="91"/>
        <v>1</v>
      </c>
      <c r="H387" s="995" t="str">
        <f>'7.15'!E365</f>
        <v>南北西</v>
      </c>
      <c r="I387" s="197">
        <f t="shared" si="92"/>
        <v>1.01</v>
      </c>
      <c r="J387" s="995"/>
      <c r="K387" s="197">
        <f t="shared" si="93"/>
        <v>1</v>
      </c>
      <c r="L387" s="995"/>
      <c r="M387" s="197">
        <f t="shared" si="94"/>
        <v>1</v>
      </c>
      <c r="N387" s="995"/>
      <c r="O387" s="197">
        <f t="shared" si="95"/>
        <v>1</v>
      </c>
      <c r="P387" s="995"/>
      <c r="Q387" s="197">
        <f t="shared" si="96"/>
        <v>1</v>
      </c>
      <c r="R387" s="991">
        <f t="shared" ca="1" si="101"/>
        <v>15769</v>
      </c>
      <c r="S387" s="552">
        <f t="shared" ca="1" si="102"/>
        <v>2003294</v>
      </c>
      <c r="T387" s="2010">
        <f t="shared" ca="1" si="103"/>
        <v>200</v>
      </c>
      <c r="U387" s="2305">
        <f t="shared" si="97"/>
        <v>0</v>
      </c>
      <c r="V387" s="2305">
        <f t="shared" si="98"/>
        <v>0</v>
      </c>
      <c r="W387" s="2300"/>
      <c r="X387" s="2305">
        <f t="shared" si="99"/>
        <v>0</v>
      </c>
      <c r="Y387" s="2305">
        <f t="shared" si="100"/>
        <v>0</v>
      </c>
      <c r="Z387" s="2300"/>
    </row>
    <row r="388" spans="1:26">
      <c r="A388" s="292" t="str">
        <f>'7.15'!B366</f>
        <v>8幢2单元1003室</v>
      </c>
      <c r="B388" s="207">
        <f>'7.17'!G366</f>
        <v>127.04</v>
      </c>
      <c r="C388" s="197">
        <f t="shared" si="89"/>
        <v>0.98</v>
      </c>
      <c r="D388" s="995" t="s">
        <v>7606</v>
      </c>
      <c r="E388" s="197">
        <f t="shared" si="90"/>
        <v>1</v>
      </c>
      <c r="F388" s="995" t="str">
        <f>'7.15'!D366</f>
        <v>平层</v>
      </c>
      <c r="G388" s="197">
        <f t="shared" si="91"/>
        <v>1</v>
      </c>
      <c r="H388" s="995" t="str">
        <f>'7.15'!E366</f>
        <v>南北西</v>
      </c>
      <c r="I388" s="197">
        <f t="shared" si="92"/>
        <v>1.01</v>
      </c>
      <c r="J388" s="995"/>
      <c r="K388" s="197">
        <f t="shared" si="93"/>
        <v>1</v>
      </c>
      <c r="L388" s="995"/>
      <c r="M388" s="197">
        <f t="shared" si="94"/>
        <v>1</v>
      </c>
      <c r="N388" s="995"/>
      <c r="O388" s="197">
        <f t="shared" si="95"/>
        <v>1</v>
      </c>
      <c r="P388" s="995"/>
      <c r="Q388" s="197">
        <f t="shared" si="96"/>
        <v>1</v>
      </c>
      <c r="R388" s="991">
        <f t="shared" ca="1" si="101"/>
        <v>15769</v>
      </c>
      <c r="S388" s="552">
        <f t="shared" ca="1" si="102"/>
        <v>2003294</v>
      </c>
      <c r="T388" s="2010">
        <f t="shared" ca="1" si="103"/>
        <v>200</v>
      </c>
      <c r="U388" s="2305">
        <f t="shared" si="97"/>
        <v>0</v>
      </c>
      <c r="V388" s="2305">
        <f t="shared" si="98"/>
        <v>0</v>
      </c>
      <c r="W388" s="2300"/>
      <c r="X388" s="2305">
        <f t="shared" si="99"/>
        <v>0</v>
      </c>
      <c r="Y388" s="2305">
        <f t="shared" si="100"/>
        <v>0</v>
      </c>
      <c r="Z388" s="2300"/>
    </row>
    <row r="389" spans="1:26">
      <c r="A389" s="292" t="str">
        <f>'7.15'!B367</f>
        <v>8幢2单元1103室</v>
      </c>
      <c r="B389" s="207">
        <f>'7.17'!G367</f>
        <v>127.04</v>
      </c>
      <c r="C389" s="197">
        <f t="shared" si="89"/>
        <v>0.98</v>
      </c>
      <c r="D389" s="995" t="s">
        <v>7609</v>
      </c>
      <c r="E389" s="197">
        <f t="shared" si="90"/>
        <v>1.04</v>
      </c>
      <c r="F389" s="995" t="str">
        <f>'7.15'!D367</f>
        <v>平层</v>
      </c>
      <c r="G389" s="197">
        <f t="shared" si="91"/>
        <v>1</v>
      </c>
      <c r="H389" s="995" t="str">
        <f>'7.15'!E367</f>
        <v>南北西</v>
      </c>
      <c r="I389" s="197">
        <f t="shared" si="92"/>
        <v>1.01</v>
      </c>
      <c r="J389" s="995"/>
      <c r="K389" s="197">
        <f t="shared" si="93"/>
        <v>1</v>
      </c>
      <c r="L389" s="995"/>
      <c r="M389" s="197">
        <f t="shared" si="94"/>
        <v>1</v>
      </c>
      <c r="N389" s="995"/>
      <c r="O389" s="197">
        <f t="shared" si="95"/>
        <v>1</v>
      </c>
      <c r="P389" s="995"/>
      <c r="Q389" s="197">
        <f t="shared" si="96"/>
        <v>1</v>
      </c>
      <c r="R389" s="991">
        <f t="shared" ca="1" si="101"/>
        <v>16400</v>
      </c>
      <c r="S389" s="552">
        <f t="shared" ca="1" si="102"/>
        <v>2083456</v>
      </c>
      <c r="T389" s="2010">
        <f t="shared" ca="1" si="103"/>
        <v>208</v>
      </c>
      <c r="U389" s="2305">
        <f t="shared" si="97"/>
        <v>0</v>
      </c>
      <c r="V389" s="2305">
        <f t="shared" si="98"/>
        <v>0</v>
      </c>
      <c r="W389" s="2300"/>
      <c r="X389" s="2305">
        <f t="shared" si="99"/>
        <v>0</v>
      </c>
      <c r="Y389" s="2305">
        <f t="shared" si="100"/>
        <v>0</v>
      </c>
      <c r="Z389" s="2300"/>
    </row>
    <row r="390" spans="1:26">
      <c r="A390" s="292" t="str">
        <f>'7.15'!B368</f>
        <v>8幢2单元1203室</v>
      </c>
      <c r="B390" s="207">
        <f>'7.17'!G368</f>
        <v>127.04</v>
      </c>
      <c r="C390" s="197">
        <f t="shared" si="89"/>
        <v>0.98</v>
      </c>
      <c r="D390" s="995" t="s">
        <v>7609</v>
      </c>
      <c r="E390" s="197">
        <f t="shared" si="90"/>
        <v>1.04</v>
      </c>
      <c r="F390" s="995" t="str">
        <f>'7.15'!D368</f>
        <v>平层</v>
      </c>
      <c r="G390" s="197">
        <f t="shared" si="91"/>
        <v>1</v>
      </c>
      <c r="H390" s="995" t="str">
        <f>'7.15'!E368</f>
        <v>南北西</v>
      </c>
      <c r="I390" s="197">
        <f t="shared" si="92"/>
        <v>1.01</v>
      </c>
      <c r="J390" s="995"/>
      <c r="K390" s="197">
        <f t="shared" si="93"/>
        <v>1</v>
      </c>
      <c r="L390" s="995"/>
      <c r="M390" s="197">
        <f t="shared" si="94"/>
        <v>1</v>
      </c>
      <c r="N390" s="995"/>
      <c r="O390" s="197">
        <f t="shared" si="95"/>
        <v>1</v>
      </c>
      <c r="P390" s="995"/>
      <c r="Q390" s="197">
        <f t="shared" si="96"/>
        <v>1</v>
      </c>
      <c r="R390" s="991">
        <f t="shared" ca="1" si="101"/>
        <v>16400</v>
      </c>
      <c r="S390" s="552">
        <f t="shared" ca="1" si="102"/>
        <v>2083456</v>
      </c>
      <c r="T390" s="2010">
        <f t="shared" ca="1" si="103"/>
        <v>208</v>
      </c>
      <c r="U390" s="2305">
        <f t="shared" si="97"/>
        <v>0</v>
      </c>
      <c r="V390" s="2305">
        <f t="shared" si="98"/>
        <v>0</v>
      </c>
      <c r="W390" s="2300"/>
      <c r="X390" s="2305">
        <f t="shared" si="99"/>
        <v>0</v>
      </c>
      <c r="Y390" s="2305">
        <f t="shared" si="100"/>
        <v>0</v>
      </c>
      <c r="Z390" s="2300"/>
    </row>
    <row r="391" spans="1:26">
      <c r="A391" s="292" t="str">
        <f>'7.15'!B369</f>
        <v>8幢2单元1303室</v>
      </c>
      <c r="B391" s="207">
        <f>'7.17'!G369</f>
        <v>127.04</v>
      </c>
      <c r="C391" s="197">
        <f t="shared" si="89"/>
        <v>0.98</v>
      </c>
      <c r="D391" s="995" t="s">
        <v>7609</v>
      </c>
      <c r="E391" s="197">
        <f t="shared" si="90"/>
        <v>1.04</v>
      </c>
      <c r="F391" s="995" t="str">
        <f>'7.15'!D369</f>
        <v>平层</v>
      </c>
      <c r="G391" s="197">
        <f t="shared" si="91"/>
        <v>1</v>
      </c>
      <c r="H391" s="995" t="str">
        <f>'7.15'!E369</f>
        <v>南北西</v>
      </c>
      <c r="I391" s="197">
        <f t="shared" si="92"/>
        <v>1.01</v>
      </c>
      <c r="J391" s="995"/>
      <c r="K391" s="197">
        <f t="shared" si="93"/>
        <v>1</v>
      </c>
      <c r="L391" s="995"/>
      <c r="M391" s="197">
        <f t="shared" si="94"/>
        <v>1</v>
      </c>
      <c r="N391" s="995"/>
      <c r="O391" s="197">
        <f t="shared" si="95"/>
        <v>1</v>
      </c>
      <c r="P391" s="995"/>
      <c r="Q391" s="197">
        <f t="shared" si="96"/>
        <v>1</v>
      </c>
      <c r="R391" s="991">
        <f t="shared" ca="1" si="101"/>
        <v>16400</v>
      </c>
      <c r="S391" s="552">
        <f t="shared" ca="1" si="102"/>
        <v>2083456</v>
      </c>
      <c r="T391" s="2010">
        <f t="shared" ca="1" si="103"/>
        <v>208</v>
      </c>
      <c r="U391" s="2305">
        <f t="shared" si="97"/>
        <v>0</v>
      </c>
      <c r="V391" s="2305">
        <f t="shared" si="98"/>
        <v>0</v>
      </c>
      <c r="W391" s="2300"/>
      <c r="X391" s="2305">
        <f t="shared" si="99"/>
        <v>0</v>
      </c>
      <c r="Y391" s="2305">
        <f t="shared" si="100"/>
        <v>0</v>
      </c>
      <c r="Z391" s="2300"/>
    </row>
    <row r="392" spans="1:26">
      <c r="A392" s="292" t="str">
        <f>'7.15'!B370</f>
        <v>8幢2单元1403室</v>
      </c>
      <c r="B392" s="207">
        <f>'7.17'!G370</f>
        <v>127.04</v>
      </c>
      <c r="C392" s="197">
        <f t="shared" si="89"/>
        <v>0.98</v>
      </c>
      <c r="D392" s="995" t="s">
        <v>7609</v>
      </c>
      <c r="E392" s="197">
        <f t="shared" si="90"/>
        <v>1.04</v>
      </c>
      <c r="F392" s="995" t="str">
        <f>'7.15'!D370</f>
        <v>平层</v>
      </c>
      <c r="G392" s="197">
        <f t="shared" si="91"/>
        <v>1</v>
      </c>
      <c r="H392" s="995" t="str">
        <f>'7.15'!E370</f>
        <v>南北西</v>
      </c>
      <c r="I392" s="197">
        <f t="shared" si="92"/>
        <v>1.01</v>
      </c>
      <c r="J392" s="995"/>
      <c r="K392" s="197">
        <f t="shared" si="93"/>
        <v>1</v>
      </c>
      <c r="L392" s="995"/>
      <c r="M392" s="197">
        <f t="shared" si="94"/>
        <v>1</v>
      </c>
      <c r="N392" s="995"/>
      <c r="O392" s="197">
        <f t="shared" si="95"/>
        <v>1</v>
      </c>
      <c r="P392" s="995"/>
      <c r="Q392" s="197">
        <f t="shared" si="96"/>
        <v>1</v>
      </c>
      <c r="R392" s="991">
        <f t="shared" ca="1" si="101"/>
        <v>16400</v>
      </c>
      <c r="S392" s="552">
        <f t="shared" ca="1" si="102"/>
        <v>2083456</v>
      </c>
      <c r="T392" s="2010">
        <f t="shared" ca="1" si="103"/>
        <v>208</v>
      </c>
      <c r="U392" s="2305">
        <f t="shared" si="97"/>
        <v>0</v>
      </c>
      <c r="V392" s="2305">
        <f t="shared" si="98"/>
        <v>0</v>
      </c>
      <c r="W392" s="2300"/>
      <c r="X392" s="2305">
        <f t="shared" si="99"/>
        <v>0</v>
      </c>
      <c r="Y392" s="2305">
        <f t="shared" si="100"/>
        <v>0</v>
      </c>
      <c r="Z392" s="2300"/>
    </row>
    <row r="393" spans="1:26">
      <c r="A393" s="292" t="str">
        <f>'7.15'!B371</f>
        <v>8幢2单元1503室</v>
      </c>
      <c r="B393" s="207">
        <f>'7.17'!G371</f>
        <v>127.04</v>
      </c>
      <c r="C393" s="197">
        <f t="shared" si="89"/>
        <v>0.98</v>
      </c>
      <c r="D393" s="995" t="s">
        <v>7609</v>
      </c>
      <c r="E393" s="197">
        <f t="shared" si="90"/>
        <v>1.04</v>
      </c>
      <c r="F393" s="995" t="str">
        <f>'7.15'!D371</f>
        <v>平层</v>
      </c>
      <c r="G393" s="197">
        <f t="shared" si="91"/>
        <v>1</v>
      </c>
      <c r="H393" s="995" t="str">
        <f>'7.15'!E371</f>
        <v>南北西</v>
      </c>
      <c r="I393" s="197">
        <f t="shared" si="92"/>
        <v>1.01</v>
      </c>
      <c r="J393" s="995"/>
      <c r="K393" s="197">
        <f t="shared" si="93"/>
        <v>1</v>
      </c>
      <c r="L393" s="995"/>
      <c r="M393" s="197">
        <f t="shared" si="94"/>
        <v>1</v>
      </c>
      <c r="N393" s="995"/>
      <c r="O393" s="197">
        <f t="shared" si="95"/>
        <v>1</v>
      </c>
      <c r="P393" s="995"/>
      <c r="Q393" s="197">
        <f t="shared" si="96"/>
        <v>1</v>
      </c>
      <c r="R393" s="991">
        <f t="shared" ca="1" si="101"/>
        <v>16400</v>
      </c>
      <c r="S393" s="552">
        <f t="shared" ca="1" si="102"/>
        <v>2083456</v>
      </c>
      <c r="T393" s="2010">
        <f t="shared" ca="1" si="103"/>
        <v>208</v>
      </c>
      <c r="U393" s="2305">
        <f t="shared" si="97"/>
        <v>0</v>
      </c>
      <c r="V393" s="2305">
        <f t="shared" si="98"/>
        <v>0</v>
      </c>
      <c r="W393" s="2300"/>
      <c r="X393" s="2305">
        <f t="shared" si="99"/>
        <v>0</v>
      </c>
      <c r="Y393" s="2305">
        <f t="shared" si="100"/>
        <v>0</v>
      </c>
      <c r="Z393" s="2300"/>
    </row>
    <row r="394" spans="1:26">
      <c r="A394" s="292" t="str">
        <f>'7.15'!B372</f>
        <v>8幢2单元1603室</v>
      </c>
      <c r="B394" s="207">
        <f>'7.17'!G372</f>
        <v>127.04</v>
      </c>
      <c r="C394" s="197">
        <f t="shared" si="89"/>
        <v>0.98</v>
      </c>
      <c r="D394" s="995" t="s">
        <v>7609</v>
      </c>
      <c r="E394" s="197">
        <f t="shared" si="90"/>
        <v>1.04</v>
      </c>
      <c r="F394" s="995" t="str">
        <f>'7.15'!D372</f>
        <v>平层</v>
      </c>
      <c r="G394" s="197">
        <f t="shared" si="91"/>
        <v>1</v>
      </c>
      <c r="H394" s="995" t="str">
        <f>'7.15'!E372</f>
        <v>南北西</v>
      </c>
      <c r="I394" s="197">
        <f t="shared" si="92"/>
        <v>1.01</v>
      </c>
      <c r="J394" s="995"/>
      <c r="K394" s="197">
        <f t="shared" si="93"/>
        <v>1</v>
      </c>
      <c r="L394" s="995"/>
      <c r="M394" s="197">
        <f t="shared" si="94"/>
        <v>1</v>
      </c>
      <c r="N394" s="995"/>
      <c r="O394" s="197">
        <f t="shared" si="95"/>
        <v>1</v>
      </c>
      <c r="P394" s="995"/>
      <c r="Q394" s="197">
        <f t="shared" si="96"/>
        <v>1</v>
      </c>
      <c r="R394" s="991">
        <f t="shared" ca="1" si="101"/>
        <v>16400</v>
      </c>
      <c r="S394" s="552">
        <f t="shared" ca="1" si="102"/>
        <v>2083456</v>
      </c>
      <c r="T394" s="2010">
        <f t="shared" ca="1" si="103"/>
        <v>208</v>
      </c>
      <c r="U394" s="2305">
        <f t="shared" si="97"/>
        <v>0</v>
      </c>
      <c r="V394" s="2305">
        <f t="shared" si="98"/>
        <v>0</v>
      </c>
      <c r="W394" s="2300"/>
      <c r="X394" s="2305">
        <f t="shared" si="99"/>
        <v>0</v>
      </c>
      <c r="Y394" s="2305">
        <f t="shared" si="100"/>
        <v>0</v>
      </c>
      <c r="Z394" s="2300"/>
    </row>
    <row r="395" spans="1:26">
      <c r="A395" s="292" t="str">
        <f>'7.15'!B373</f>
        <v>8幢2单元1703室</v>
      </c>
      <c r="B395" s="207">
        <f>'7.17'!G373</f>
        <v>127.04</v>
      </c>
      <c r="C395" s="197">
        <f t="shared" si="89"/>
        <v>0.98</v>
      </c>
      <c r="D395" s="995" t="s">
        <v>7609</v>
      </c>
      <c r="E395" s="197">
        <f t="shared" si="90"/>
        <v>1.04</v>
      </c>
      <c r="F395" s="995" t="str">
        <f>'7.15'!D373</f>
        <v>平层</v>
      </c>
      <c r="G395" s="197">
        <f t="shared" si="91"/>
        <v>1</v>
      </c>
      <c r="H395" s="995" t="str">
        <f>'7.15'!E373</f>
        <v>南北西</v>
      </c>
      <c r="I395" s="197">
        <f t="shared" si="92"/>
        <v>1.01</v>
      </c>
      <c r="J395" s="995"/>
      <c r="K395" s="197">
        <f t="shared" si="93"/>
        <v>1</v>
      </c>
      <c r="L395" s="995"/>
      <c r="M395" s="197">
        <f t="shared" si="94"/>
        <v>1</v>
      </c>
      <c r="N395" s="995"/>
      <c r="O395" s="197">
        <f t="shared" si="95"/>
        <v>1</v>
      </c>
      <c r="P395" s="995"/>
      <c r="Q395" s="197">
        <f t="shared" si="96"/>
        <v>1</v>
      </c>
      <c r="R395" s="991">
        <f t="shared" ca="1" si="101"/>
        <v>16400</v>
      </c>
      <c r="S395" s="552">
        <f t="shared" ca="1" si="102"/>
        <v>2083456</v>
      </c>
      <c r="T395" s="2010">
        <f t="shared" ca="1" si="103"/>
        <v>208</v>
      </c>
      <c r="U395" s="2305">
        <f t="shared" si="97"/>
        <v>0</v>
      </c>
      <c r="V395" s="2305">
        <f t="shared" si="98"/>
        <v>0</v>
      </c>
      <c r="W395" s="2300"/>
      <c r="X395" s="2305">
        <f t="shared" si="99"/>
        <v>0</v>
      </c>
      <c r="Y395" s="2305">
        <f t="shared" si="100"/>
        <v>0</v>
      </c>
      <c r="Z395" s="2300"/>
    </row>
    <row r="396" spans="1:26">
      <c r="A396" s="292" t="str">
        <f>'7.15'!B374</f>
        <v>8幢2单元1803室</v>
      </c>
      <c r="B396" s="207">
        <f>'7.17'!G374</f>
        <v>127.04</v>
      </c>
      <c r="C396" s="197">
        <f t="shared" si="89"/>
        <v>0.98</v>
      </c>
      <c r="D396" s="995" t="s">
        <v>7609</v>
      </c>
      <c r="E396" s="197">
        <f t="shared" si="90"/>
        <v>1.04</v>
      </c>
      <c r="F396" s="995" t="str">
        <f>'7.15'!D374</f>
        <v>平层</v>
      </c>
      <c r="G396" s="197">
        <f t="shared" si="91"/>
        <v>1</v>
      </c>
      <c r="H396" s="995" t="str">
        <f>'7.15'!E374</f>
        <v>南北西</v>
      </c>
      <c r="I396" s="197">
        <f t="shared" si="92"/>
        <v>1.01</v>
      </c>
      <c r="J396" s="995"/>
      <c r="K396" s="197">
        <f t="shared" si="93"/>
        <v>1</v>
      </c>
      <c r="L396" s="995"/>
      <c r="M396" s="197">
        <f t="shared" si="94"/>
        <v>1</v>
      </c>
      <c r="N396" s="995"/>
      <c r="O396" s="197">
        <f t="shared" si="95"/>
        <v>1</v>
      </c>
      <c r="P396" s="995"/>
      <c r="Q396" s="197">
        <f t="shared" si="96"/>
        <v>1</v>
      </c>
      <c r="R396" s="991">
        <f t="shared" ca="1" si="101"/>
        <v>16400</v>
      </c>
      <c r="S396" s="552">
        <f t="shared" ca="1" si="102"/>
        <v>2083456</v>
      </c>
      <c r="T396" s="2010">
        <f t="shared" ca="1" si="103"/>
        <v>208</v>
      </c>
      <c r="U396" s="2305">
        <f t="shared" si="97"/>
        <v>0</v>
      </c>
      <c r="V396" s="2305">
        <f t="shared" si="98"/>
        <v>0</v>
      </c>
      <c r="W396" s="2300"/>
      <c r="X396" s="2305">
        <f t="shared" si="99"/>
        <v>0</v>
      </c>
      <c r="Y396" s="2305">
        <f t="shared" si="100"/>
        <v>0</v>
      </c>
      <c r="Z396" s="2300"/>
    </row>
    <row r="397" spans="1:26">
      <c r="A397" s="292" t="str">
        <f>'7.15'!B375</f>
        <v>8幢2单元1903室</v>
      </c>
      <c r="B397" s="207">
        <f>'7.17'!G375</f>
        <v>127.04</v>
      </c>
      <c r="C397" s="197">
        <f t="shared" si="89"/>
        <v>0.98</v>
      </c>
      <c r="D397" s="995" t="s">
        <v>7609</v>
      </c>
      <c r="E397" s="197">
        <f t="shared" si="90"/>
        <v>1.04</v>
      </c>
      <c r="F397" s="995" t="str">
        <f>'7.15'!D375</f>
        <v>平层</v>
      </c>
      <c r="G397" s="197">
        <f t="shared" si="91"/>
        <v>1</v>
      </c>
      <c r="H397" s="995" t="str">
        <f>'7.15'!E375</f>
        <v>南北西</v>
      </c>
      <c r="I397" s="197">
        <f t="shared" si="92"/>
        <v>1.01</v>
      </c>
      <c r="J397" s="995"/>
      <c r="K397" s="197">
        <f t="shared" si="93"/>
        <v>1</v>
      </c>
      <c r="L397" s="995"/>
      <c r="M397" s="197">
        <f t="shared" si="94"/>
        <v>1</v>
      </c>
      <c r="N397" s="995"/>
      <c r="O397" s="197">
        <f t="shared" si="95"/>
        <v>1</v>
      </c>
      <c r="P397" s="995"/>
      <c r="Q397" s="197">
        <f t="shared" si="96"/>
        <v>1</v>
      </c>
      <c r="R397" s="991">
        <f t="shared" ca="1" si="101"/>
        <v>16400</v>
      </c>
      <c r="S397" s="552">
        <f t="shared" ca="1" si="102"/>
        <v>2083456</v>
      </c>
      <c r="T397" s="2010">
        <f t="shared" ca="1" si="103"/>
        <v>208</v>
      </c>
      <c r="U397" s="2305">
        <f t="shared" si="97"/>
        <v>0</v>
      </c>
      <c r="V397" s="2305">
        <f t="shared" si="98"/>
        <v>0</v>
      </c>
      <c r="W397" s="2300"/>
      <c r="X397" s="2305">
        <f t="shared" si="99"/>
        <v>0</v>
      </c>
      <c r="Y397" s="2305">
        <f t="shared" si="100"/>
        <v>0</v>
      </c>
      <c r="Z397" s="2300"/>
    </row>
    <row r="398" spans="1:26">
      <c r="A398" s="292" t="str">
        <f>'7.15'!B376</f>
        <v>8幢2单元2003室</v>
      </c>
      <c r="B398" s="207">
        <f>'7.17'!G376</f>
        <v>127.04</v>
      </c>
      <c r="C398" s="197">
        <f t="shared" si="89"/>
        <v>0.98</v>
      </c>
      <c r="D398" s="995" t="s">
        <v>7609</v>
      </c>
      <c r="E398" s="197">
        <f t="shared" si="90"/>
        <v>1.04</v>
      </c>
      <c r="F398" s="995" t="str">
        <f>'7.15'!D376</f>
        <v>平层</v>
      </c>
      <c r="G398" s="197">
        <f t="shared" si="91"/>
        <v>1</v>
      </c>
      <c r="H398" s="995" t="str">
        <f>'7.15'!E376</f>
        <v>南北西</v>
      </c>
      <c r="I398" s="197">
        <f t="shared" si="92"/>
        <v>1.01</v>
      </c>
      <c r="J398" s="995"/>
      <c r="K398" s="197">
        <f t="shared" si="93"/>
        <v>1</v>
      </c>
      <c r="L398" s="995"/>
      <c r="M398" s="197">
        <f t="shared" si="94"/>
        <v>1</v>
      </c>
      <c r="N398" s="995"/>
      <c r="O398" s="197">
        <f t="shared" si="95"/>
        <v>1</v>
      </c>
      <c r="P398" s="995"/>
      <c r="Q398" s="197">
        <f t="shared" si="96"/>
        <v>1</v>
      </c>
      <c r="R398" s="991">
        <f t="shared" ca="1" si="101"/>
        <v>16400</v>
      </c>
      <c r="S398" s="552">
        <f t="shared" ca="1" si="102"/>
        <v>2083456</v>
      </c>
      <c r="T398" s="2010">
        <f t="shared" ca="1" si="103"/>
        <v>208</v>
      </c>
      <c r="U398" s="2305">
        <f t="shared" si="97"/>
        <v>0</v>
      </c>
      <c r="V398" s="2305">
        <f t="shared" si="98"/>
        <v>0</v>
      </c>
      <c r="W398" s="2300"/>
      <c r="X398" s="2305">
        <f t="shared" si="99"/>
        <v>0</v>
      </c>
      <c r="Y398" s="2305">
        <f t="shared" si="100"/>
        <v>0</v>
      </c>
      <c r="Z398" s="2300"/>
    </row>
    <row r="399" spans="1:26">
      <c r="A399" s="292" t="str">
        <f>'7.15'!B377</f>
        <v>8幢2单元2103室</v>
      </c>
      <c r="B399" s="207">
        <f>'7.17'!G377</f>
        <v>127.04</v>
      </c>
      <c r="C399" s="197">
        <f t="shared" si="89"/>
        <v>0.98</v>
      </c>
      <c r="D399" s="995" t="s">
        <v>7608</v>
      </c>
      <c r="E399" s="197">
        <f t="shared" si="90"/>
        <v>1.02</v>
      </c>
      <c r="F399" s="995" t="str">
        <f>'7.15'!D377</f>
        <v>平层</v>
      </c>
      <c r="G399" s="197">
        <f t="shared" si="91"/>
        <v>1</v>
      </c>
      <c r="H399" s="995" t="str">
        <f>'7.15'!E377</f>
        <v>南北西</v>
      </c>
      <c r="I399" s="197">
        <f t="shared" si="92"/>
        <v>1.01</v>
      </c>
      <c r="J399" s="995"/>
      <c r="K399" s="197">
        <f t="shared" si="93"/>
        <v>1</v>
      </c>
      <c r="L399" s="995"/>
      <c r="M399" s="197">
        <f t="shared" si="94"/>
        <v>1</v>
      </c>
      <c r="N399" s="995"/>
      <c r="O399" s="197">
        <f t="shared" si="95"/>
        <v>1</v>
      </c>
      <c r="P399" s="995"/>
      <c r="Q399" s="197">
        <f t="shared" si="96"/>
        <v>1</v>
      </c>
      <c r="R399" s="991">
        <f t="shared" ca="1" si="101"/>
        <v>16085</v>
      </c>
      <c r="S399" s="552">
        <f t="shared" ca="1" si="102"/>
        <v>2043438</v>
      </c>
      <c r="T399" s="2010">
        <f t="shared" ca="1" si="103"/>
        <v>204</v>
      </c>
      <c r="U399" s="2305">
        <f t="shared" si="97"/>
        <v>0</v>
      </c>
      <c r="V399" s="2305">
        <f t="shared" si="98"/>
        <v>0</v>
      </c>
      <c r="W399" s="2300"/>
      <c r="X399" s="2305">
        <f t="shared" si="99"/>
        <v>0</v>
      </c>
      <c r="Y399" s="2305">
        <f t="shared" si="100"/>
        <v>0</v>
      </c>
      <c r="Z399" s="2300"/>
    </row>
    <row r="400" spans="1:26">
      <c r="A400" s="292" t="str">
        <f>'7.15'!B378</f>
        <v>8幢2单元2203室</v>
      </c>
      <c r="B400" s="207">
        <f>'7.17'!G378</f>
        <v>127.04</v>
      </c>
      <c r="C400" s="197">
        <f t="shared" si="89"/>
        <v>0.98</v>
      </c>
      <c r="D400" s="995" t="s">
        <v>7608</v>
      </c>
      <c r="E400" s="197">
        <f t="shared" si="90"/>
        <v>1.02</v>
      </c>
      <c r="F400" s="995" t="str">
        <f>'7.15'!D378</f>
        <v>平层</v>
      </c>
      <c r="G400" s="197">
        <f t="shared" si="91"/>
        <v>1</v>
      </c>
      <c r="H400" s="995" t="str">
        <f>'7.15'!E378</f>
        <v>南北西</v>
      </c>
      <c r="I400" s="197">
        <f t="shared" si="92"/>
        <v>1.01</v>
      </c>
      <c r="J400" s="995"/>
      <c r="K400" s="197">
        <f t="shared" si="93"/>
        <v>1</v>
      </c>
      <c r="L400" s="995"/>
      <c r="M400" s="197">
        <f t="shared" si="94"/>
        <v>1</v>
      </c>
      <c r="N400" s="995"/>
      <c r="O400" s="197">
        <f t="shared" si="95"/>
        <v>1</v>
      </c>
      <c r="P400" s="995"/>
      <c r="Q400" s="197">
        <f t="shared" si="96"/>
        <v>1</v>
      </c>
      <c r="R400" s="991">
        <f t="shared" ca="1" si="101"/>
        <v>16085</v>
      </c>
      <c r="S400" s="552">
        <f t="shared" ca="1" si="102"/>
        <v>2043438</v>
      </c>
      <c r="T400" s="2010">
        <f t="shared" ca="1" si="103"/>
        <v>204</v>
      </c>
      <c r="U400" s="2305">
        <f t="shared" si="97"/>
        <v>0</v>
      </c>
      <c r="V400" s="2305">
        <f t="shared" si="98"/>
        <v>0</v>
      </c>
      <c r="W400" s="2300"/>
      <c r="X400" s="2305">
        <f t="shared" si="99"/>
        <v>0</v>
      </c>
      <c r="Y400" s="2305">
        <f t="shared" si="100"/>
        <v>0</v>
      </c>
      <c r="Z400" s="2300"/>
    </row>
    <row r="401" spans="1:26">
      <c r="A401" s="292" t="str">
        <f>'7.15'!B379</f>
        <v>8幢2单元2303室</v>
      </c>
      <c r="B401" s="207">
        <f>'7.17'!G379</f>
        <v>127.04</v>
      </c>
      <c r="C401" s="197">
        <f t="shared" si="89"/>
        <v>0.98</v>
      </c>
      <c r="D401" s="995" t="s">
        <v>7608</v>
      </c>
      <c r="E401" s="197">
        <f t="shared" si="90"/>
        <v>1.02</v>
      </c>
      <c r="F401" s="995" t="str">
        <f>'7.15'!D379</f>
        <v>平层</v>
      </c>
      <c r="G401" s="197">
        <f t="shared" si="91"/>
        <v>1</v>
      </c>
      <c r="H401" s="995" t="str">
        <f>'7.15'!E379</f>
        <v>南北西</v>
      </c>
      <c r="I401" s="197">
        <f t="shared" si="92"/>
        <v>1.01</v>
      </c>
      <c r="J401" s="995"/>
      <c r="K401" s="197">
        <f t="shared" si="93"/>
        <v>1</v>
      </c>
      <c r="L401" s="995"/>
      <c r="M401" s="197">
        <f t="shared" si="94"/>
        <v>1</v>
      </c>
      <c r="N401" s="995"/>
      <c r="O401" s="197">
        <f t="shared" si="95"/>
        <v>1</v>
      </c>
      <c r="P401" s="995"/>
      <c r="Q401" s="197">
        <f t="shared" si="96"/>
        <v>1</v>
      </c>
      <c r="R401" s="991">
        <f t="shared" ca="1" si="101"/>
        <v>16085</v>
      </c>
      <c r="S401" s="552">
        <f t="shared" ca="1" si="102"/>
        <v>2043438</v>
      </c>
      <c r="T401" s="2010">
        <f t="shared" ca="1" si="103"/>
        <v>204</v>
      </c>
      <c r="U401" s="2305">
        <f t="shared" si="97"/>
        <v>0</v>
      </c>
      <c r="V401" s="2305">
        <f t="shared" si="98"/>
        <v>0</v>
      </c>
      <c r="W401" s="2300"/>
      <c r="X401" s="2305">
        <f t="shared" si="99"/>
        <v>0</v>
      </c>
      <c r="Y401" s="2305">
        <f t="shared" si="100"/>
        <v>0</v>
      </c>
      <c r="Z401" s="2300"/>
    </row>
    <row r="402" spans="1:26">
      <c r="A402" s="292" t="str">
        <f>'7.15'!B380</f>
        <v>8幢2单元2403室</v>
      </c>
      <c r="B402" s="207">
        <f>'7.17'!G380</f>
        <v>127.04</v>
      </c>
      <c r="C402" s="197">
        <f t="shared" si="89"/>
        <v>0.98</v>
      </c>
      <c r="D402" s="995" t="s">
        <v>7608</v>
      </c>
      <c r="E402" s="197">
        <f t="shared" si="90"/>
        <v>1.02</v>
      </c>
      <c r="F402" s="995" t="str">
        <f>'7.15'!D380</f>
        <v>平层</v>
      </c>
      <c r="G402" s="197">
        <f t="shared" si="91"/>
        <v>1</v>
      </c>
      <c r="H402" s="995" t="str">
        <f>'7.15'!E380</f>
        <v>南北西</v>
      </c>
      <c r="I402" s="197">
        <f t="shared" si="92"/>
        <v>1.01</v>
      </c>
      <c r="J402" s="995"/>
      <c r="K402" s="197">
        <f t="shared" si="93"/>
        <v>1</v>
      </c>
      <c r="L402" s="995"/>
      <c r="M402" s="197">
        <f t="shared" si="94"/>
        <v>1</v>
      </c>
      <c r="N402" s="995"/>
      <c r="O402" s="197">
        <f t="shared" si="95"/>
        <v>1</v>
      </c>
      <c r="P402" s="995"/>
      <c r="Q402" s="197">
        <f t="shared" si="96"/>
        <v>1</v>
      </c>
      <c r="R402" s="991">
        <f t="shared" ca="1" si="101"/>
        <v>16085</v>
      </c>
      <c r="S402" s="552">
        <f t="shared" ca="1" si="102"/>
        <v>2043438</v>
      </c>
      <c r="T402" s="2010">
        <f t="shared" ca="1" si="103"/>
        <v>204</v>
      </c>
      <c r="U402" s="2305">
        <f t="shared" si="97"/>
        <v>0</v>
      </c>
      <c r="V402" s="2305">
        <f t="shared" si="98"/>
        <v>0</v>
      </c>
      <c r="W402" s="2300"/>
      <c r="X402" s="2305">
        <f t="shared" si="99"/>
        <v>0</v>
      </c>
      <c r="Y402" s="2305">
        <f t="shared" si="100"/>
        <v>0</v>
      </c>
      <c r="Z402" s="2300"/>
    </row>
    <row r="403" spans="1:26">
      <c r="A403" s="292" t="str">
        <f>'7.15'!B381</f>
        <v>8幢2单元2503室</v>
      </c>
      <c r="B403" s="207">
        <f>'7.17'!G381</f>
        <v>127.04</v>
      </c>
      <c r="C403" s="197">
        <f t="shared" si="89"/>
        <v>0.98</v>
      </c>
      <c r="D403" s="995" t="s">
        <v>7608</v>
      </c>
      <c r="E403" s="197">
        <f t="shared" si="90"/>
        <v>1.02</v>
      </c>
      <c r="F403" s="995" t="str">
        <f>'7.15'!D381</f>
        <v>平层</v>
      </c>
      <c r="G403" s="197">
        <f t="shared" si="91"/>
        <v>1</v>
      </c>
      <c r="H403" s="995" t="str">
        <f>'7.15'!E381</f>
        <v>南北西</v>
      </c>
      <c r="I403" s="197">
        <f t="shared" si="92"/>
        <v>1.01</v>
      </c>
      <c r="J403" s="995"/>
      <c r="K403" s="197">
        <f t="shared" si="93"/>
        <v>1</v>
      </c>
      <c r="L403" s="995"/>
      <c r="M403" s="197">
        <f t="shared" si="94"/>
        <v>1</v>
      </c>
      <c r="N403" s="995"/>
      <c r="O403" s="197">
        <f t="shared" si="95"/>
        <v>1</v>
      </c>
      <c r="P403" s="995"/>
      <c r="Q403" s="197">
        <f t="shared" si="96"/>
        <v>1</v>
      </c>
      <c r="R403" s="991">
        <f t="shared" ca="1" si="101"/>
        <v>16085</v>
      </c>
      <c r="S403" s="552">
        <f t="shared" ca="1" si="102"/>
        <v>2043438</v>
      </c>
      <c r="T403" s="2010">
        <f t="shared" ca="1" si="103"/>
        <v>204</v>
      </c>
      <c r="U403" s="2305">
        <f t="shared" si="97"/>
        <v>0</v>
      </c>
      <c r="V403" s="2305">
        <f t="shared" si="98"/>
        <v>0</v>
      </c>
      <c r="W403" s="2300"/>
      <c r="X403" s="2305">
        <f t="shared" si="99"/>
        <v>0</v>
      </c>
      <c r="Y403" s="2305">
        <f t="shared" si="100"/>
        <v>0</v>
      </c>
      <c r="Z403" s="2300"/>
    </row>
    <row r="404" spans="1:26">
      <c r="A404" s="292" t="str">
        <f>'7.15'!B382</f>
        <v>8幢2单元2603室</v>
      </c>
      <c r="B404" s="207">
        <f>'7.17'!G382</f>
        <v>127.04</v>
      </c>
      <c r="C404" s="197">
        <f t="shared" si="89"/>
        <v>0.98</v>
      </c>
      <c r="D404" s="995" t="s">
        <v>7608</v>
      </c>
      <c r="E404" s="197">
        <f t="shared" si="90"/>
        <v>1.02</v>
      </c>
      <c r="F404" s="995" t="str">
        <f>'7.15'!D382</f>
        <v>平层</v>
      </c>
      <c r="G404" s="197">
        <f t="shared" si="91"/>
        <v>1</v>
      </c>
      <c r="H404" s="995" t="str">
        <f>'7.15'!E382</f>
        <v>南北西</v>
      </c>
      <c r="I404" s="197">
        <f t="shared" si="92"/>
        <v>1.01</v>
      </c>
      <c r="J404" s="995"/>
      <c r="K404" s="197">
        <f t="shared" si="93"/>
        <v>1</v>
      </c>
      <c r="L404" s="995"/>
      <c r="M404" s="197">
        <f t="shared" si="94"/>
        <v>1</v>
      </c>
      <c r="N404" s="995"/>
      <c r="O404" s="197">
        <f t="shared" si="95"/>
        <v>1</v>
      </c>
      <c r="P404" s="995"/>
      <c r="Q404" s="197">
        <f t="shared" si="96"/>
        <v>1</v>
      </c>
      <c r="R404" s="991">
        <f t="shared" ca="1" si="101"/>
        <v>16085</v>
      </c>
      <c r="S404" s="552">
        <f t="shared" ca="1" si="102"/>
        <v>2043438</v>
      </c>
      <c r="T404" s="2010">
        <f t="shared" ca="1" si="103"/>
        <v>204</v>
      </c>
      <c r="U404" s="2305">
        <f t="shared" si="97"/>
        <v>0</v>
      </c>
      <c r="V404" s="2305">
        <f t="shared" si="98"/>
        <v>0</v>
      </c>
      <c r="W404" s="2300"/>
      <c r="X404" s="2305">
        <f t="shared" si="99"/>
        <v>0</v>
      </c>
      <c r="Y404" s="2305">
        <f t="shared" si="100"/>
        <v>0</v>
      </c>
      <c r="Z404" s="2300"/>
    </row>
    <row r="405" spans="1:26">
      <c r="A405" s="292" t="str">
        <f>'7.15'!B383</f>
        <v>8幢2单元2703室</v>
      </c>
      <c r="B405" s="207">
        <f>'7.17'!G383</f>
        <v>127.04</v>
      </c>
      <c r="C405" s="197">
        <f t="shared" si="89"/>
        <v>0.98</v>
      </c>
      <c r="D405" s="995" t="s">
        <v>7608</v>
      </c>
      <c r="E405" s="197">
        <f t="shared" si="90"/>
        <v>1.02</v>
      </c>
      <c r="F405" s="995" t="str">
        <f>'7.15'!D383</f>
        <v>平层</v>
      </c>
      <c r="G405" s="197">
        <f t="shared" si="91"/>
        <v>1</v>
      </c>
      <c r="H405" s="995" t="str">
        <f>'7.15'!E383</f>
        <v>南北西</v>
      </c>
      <c r="I405" s="197">
        <f t="shared" si="92"/>
        <v>1.01</v>
      </c>
      <c r="J405" s="995"/>
      <c r="K405" s="197">
        <f t="shared" si="93"/>
        <v>1</v>
      </c>
      <c r="L405" s="995"/>
      <c r="M405" s="197">
        <f t="shared" si="94"/>
        <v>1</v>
      </c>
      <c r="N405" s="995"/>
      <c r="O405" s="197">
        <f t="shared" si="95"/>
        <v>1</v>
      </c>
      <c r="P405" s="995"/>
      <c r="Q405" s="197">
        <f t="shared" si="96"/>
        <v>1</v>
      </c>
      <c r="R405" s="991">
        <f t="shared" ca="1" si="101"/>
        <v>16085</v>
      </c>
      <c r="S405" s="552">
        <f t="shared" ca="1" si="102"/>
        <v>2043438</v>
      </c>
      <c r="T405" s="2010">
        <f t="shared" ca="1" si="103"/>
        <v>204</v>
      </c>
      <c r="U405" s="2305">
        <f t="shared" si="97"/>
        <v>0</v>
      </c>
      <c r="V405" s="2305">
        <f t="shared" si="98"/>
        <v>0</v>
      </c>
      <c r="W405" s="2300"/>
      <c r="X405" s="2305">
        <f t="shared" si="99"/>
        <v>0</v>
      </c>
      <c r="Y405" s="2305">
        <f t="shared" si="100"/>
        <v>0</v>
      </c>
      <c r="Z405" s="2300"/>
    </row>
    <row r="406" spans="1:26">
      <c r="A406" s="292" t="str">
        <f>'7.15'!B384</f>
        <v>8幢2单元2803室</v>
      </c>
      <c r="B406" s="207">
        <f>'7.17'!G384</f>
        <v>127.04</v>
      </c>
      <c r="C406" s="197">
        <f t="shared" si="89"/>
        <v>0.98</v>
      </c>
      <c r="D406" s="995" t="s">
        <v>7608</v>
      </c>
      <c r="E406" s="197">
        <f t="shared" si="90"/>
        <v>1.02</v>
      </c>
      <c r="F406" s="995" t="str">
        <f>'7.15'!D384</f>
        <v>平层</v>
      </c>
      <c r="G406" s="197">
        <f t="shared" si="91"/>
        <v>1</v>
      </c>
      <c r="H406" s="995" t="str">
        <f>'7.15'!E384</f>
        <v>南北西</v>
      </c>
      <c r="I406" s="197">
        <f t="shared" si="92"/>
        <v>1.01</v>
      </c>
      <c r="J406" s="995"/>
      <c r="K406" s="197">
        <f t="shared" si="93"/>
        <v>1</v>
      </c>
      <c r="L406" s="995"/>
      <c r="M406" s="197">
        <f t="shared" si="94"/>
        <v>1</v>
      </c>
      <c r="N406" s="995"/>
      <c r="O406" s="197">
        <f t="shared" si="95"/>
        <v>1</v>
      </c>
      <c r="P406" s="995"/>
      <c r="Q406" s="197">
        <f t="shared" si="96"/>
        <v>1</v>
      </c>
      <c r="R406" s="991">
        <f t="shared" ca="1" si="101"/>
        <v>16085</v>
      </c>
      <c r="S406" s="552">
        <f t="shared" ca="1" si="102"/>
        <v>2043438</v>
      </c>
      <c r="T406" s="2010">
        <f t="shared" ca="1" si="103"/>
        <v>204</v>
      </c>
      <c r="U406" s="2305">
        <f t="shared" si="97"/>
        <v>0</v>
      </c>
      <c r="V406" s="2305">
        <f t="shared" si="98"/>
        <v>0</v>
      </c>
      <c r="W406" s="2300"/>
      <c r="X406" s="2305">
        <f t="shared" si="99"/>
        <v>0</v>
      </c>
      <c r="Y406" s="2305">
        <f t="shared" si="100"/>
        <v>0</v>
      </c>
      <c r="Z406" s="2300"/>
    </row>
    <row r="407" spans="1:26">
      <c r="A407" s="292" t="str">
        <f>'7.15'!B385</f>
        <v>8幢2单元2903室</v>
      </c>
      <c r="B407" s="207">
        <f>'7.17'!G385</f>
        <v>127.04</v>
      </c>
      <c r="C407" s="197">
        <f t="shared" si="89"/>
        <v>0.98</v>
      </c>
      <c r="D407" s="995" t="s">
        <v>7608</v>
      </c>
      <c r="E407" s="197">
        <f t="shared" si="90"/>
        <v>1.02</v>
      </c>
      <c r="F407" s="995" t="str">
        <f>'7.15'!D385</f>
        <v>平层</v>
      </c>
      <c r="G407" s="197">
        <f t="shared" si="91"/>
        <v>1</v>
      </c>
      <c r="H407" s="995" t="str">
        <f>'7.15'!E385</f>
        <v>南北西</v>
      </c>
      <c r="I407" s="197">
        <f t="shared" si="92"/>
        <v>1.01</v>
      </c>
      <c r="J407" s="995"/>
      <c r="K407" s="197">
        <f t="shared" si="93"/>
        <v>1</v>
      </c>
      <c r="L407" s="995"/>
      <c r="M407" s="197">
        <f t="shared" si="94"/>
        <v>1</v>
      </c>
      <c r="N407" s="995"/>
      <c r="O407" s="197">
        <f t="shared" si="95"/>
        <v>1</v>
      </c>
      <c r="P407" s="995"/>
      <c r="Q407" s="197">
        <f t="shared" si="96"/>
        <v>1</v>
      </c>
      <c r="R407" s="991">
        <f t="shared" ca="1" si="101"/>
        <v>16085</v>
      </c>
      <c r="S407" s="552">
        <f t="shared" ca="1" si="102"/>
        <v>2043438</v>
      </c>
      <c r="T407" s="2010">
        <f t="shared" ca="1" si="103"/>
        <v>204</v>
      </c>
      <c r="U407" s="2305">
        <f t="shared" si="97"/>
        <v>0</v>
      </c>
      <c r="V407" s="2305">
        <f t="shared" si="98"/>
        <v>0</v>
      </c>
      <c r="W407" s="2300"/>
      <c r="X407" s="2305">
        <f t="shared" si="99"/>
        <v>0</v>
      </c>
      <c r="Y407" s="2305">
        <f t="shared" si="100"/>
        <v>0</v>
      </c>
      <c r="Z407" s="2300"/>
    </row>
    <row r="408" spans="1:26">
      <c r="A408" s="292" t="str">
        <f>'7.15'!B386</f>
        <v>8幢2单元3003室</v>
      </c>
      <c r="B408" s="207">
        <f>'7.17'!G386</f>
        <v>104.77</v>
      </c>
      <c r="C408" s="197">
        <f t="shared" si="89"/>
        <v>1.01</v>
      </c>
      <c r="D408" s="995" t="s">
        <v>7608</v>
      </c>
      <c r="E408" s="197">
        <f t="shared" si="90"/>
        <v>1.02</v>
      </c>
      <c r="F408" s="995" t="str">
        <f>'7.15'!D386</f>
        <v>平层</v>
      </c>
      <c r="G408" s="197">
        <f t="shared" si="91"/>
        <v>1</v>
      </c>
      <c r="H408" s="995" t="str">
        <f>'7.15'!E386</f>
        <v>南北西</v>
      </c>
      <c r="I408" s="197">
        <f t="shared" si="92"/>
        <v>1.01</v>
      </c>
      <c r="J408" s="995"/>
      <c r="K408" s="197">
        <f t="shared" si="93"/>
        <v>1</v>
      </c>
      <c r="L408" s="995"/>
      <c r="M408" s="197">
        <f t="shared" si="94"/>
        <v>1</v>
      </c>
      <c r="N408" s="995"/>
      <c r="O408" s="197">
        <f t="shared" si="95"/>
        <v>1</v>
      </c>
      <c r="P408" s="995"/>
      <c r="Q408" s="197">
        <f t="shared" si="96"/>
        <v>1</v>
      </c>
      <c r="R408" s="991">
        <f t="shared" ca="1" si="101"/>
        <v>16577</v>
      </c>
      <c r="S408" s="552">
        <f t="shared" ca="1" si="102"/>
        <v>1736772</v>
      </c>
      <c r="T408" s="2010">
        <f t="shared" ca="1" si="103"/>
        <v>174</v>
      </c>
      <c r="U408" s="2305">
        <f t="shared" si="97"/>
        <v>0</v>
      </c>
      <c r="V408" s="2305">
        <f t="shared" si="98"/>
        <v>0</v>
      </c>
      <c r="W408" s="2300"/>
      <c r="X408" s="2305">
        <f t="shared" si="99"/>
        <v>0</v>
      </c>
      <c r="Y408" s="2305">
        <f t="shared" si="100"/>
        <v>0</v>
      </c>
      <c r="Z408" s="2300"/>
    </row>
    <row r="409" spans="1:26">
      <c r="A409" s="292" t="str">
        <f>'7.15'!B387</f>
        <v>9幢1单元201室</v>
      </c>
      <c r="B409" s="207">
        <f>'7.17'!G387</f>
        <v>137.88</v>
      </c>
      <c r="C409" s="197">
        <f t="shared" si="89"/>
        <v>0.98</v>
      </c>
      <c r="D409" s="995" t="s">
        <v>7606</v>
      </c>
      <c r="E409" s="197">
        <f t="shared" si="90"/>
        <v>1</v>
      </c>
      <c r="F409" s="995" t="str">
        <f>'7.15'!D387</f>
        <v>平层</v>
      </c>
      <c r="G409" s="197">
        <f t="shared" si="91"/>
        <v>1</v>
      </c>
      <c r="H409" s="995" t="str">
        <f>'7.15'!E387</f>
        <v>南北东</v>
      </c>
      <c r="I409" s="197">
        <f t="shared" si="92"/>
        <v>1.02</v>
      </c>
      <c r="J409" s="995"/>
      <c r="K409" s="197">
        <f t="shared" si="93"/>
        <v>1</v>
      </c>
      <c r="L409" s="995"/>
      <c r="M409" s="197">
        <f t="shared" si="94"/>
        <v>1</v>
      </c>
      <c r="N409" s="995"/>
      <c r="O409" s="197">
        <f t="shared" si="95"/>
        <v>1</v>
      </c>
      <c r="P409" s="995"/>
      <c r="Q409" s="197">
        <f t="shared" si="96"/>
        <v>1</v>
      </c>
      <c r="R409" s="991">
        <f t="shared" ca="1" si="101"/>
        <v>15926</v>
      </c>
      <c r="S409" s="552">
        <f t="shared" ca="1" si="102"/>
        <v>2195877</v>
      </c>
      <c r="T409" s="2010">
        <f t="shared" ca="1" si="103"/>
        <v>220</v>
      </c>
      <c r="U409" s="2305">
        <f t="shared" si="97"/>
        <v>0</v>
      </c>
      <c r="V409" s="2305">
        <f t="shared" si="98"/>
        <v>0</v>
      </c>
      <c r="W409" s="2300"/>
      <c r="X409" s="2305">
        <f t="shared" si="99"/>
        <v>0</v>
      </c>
      <c r="Y409" s="2305">
        <f t="shared" si="100"/>
        <v>0</v>
      </c>
      <c r="Z409" s="2300"/>
    </row>
    <row r="410" spans="1:26">
      <c r="A410" s="292" t="str">
        <f>'7.15'!B388</f>
        <v>9幢1单元301室</v>
      </c>
      <c r="B410" s="207">
        <f>'7.17'!G388</f>
        <v>137.88</v>
      </c>
      <c r="C410" s="197">
        <f t="shared" si="89"/>
        <v>0.98</v>
      </c>
      <c r="D410" s="995" t="s">
        <v>7606</v>
      </c>
      <c r="E410" s="197">
        <f t="shared" si="90"/>
        <v>1</v>
      </c>
      <c r="F410" s="995" t="str">
        <f>'7.15'!D388</f>
        <v>平层</v>
      </c>
      <c r="G410" s="197">
        <f t="shared" si="91"/>
        <v>1</v>
      </c>
      <c r="H410" s="995" t="str">
        <f>'7.15'!E388</f>
        <v>南北东</v>
      </c>
      <c r="I410" s="197">
        <f t="shared" si="92"/>
        <v>1.02</v>
      </c>
      <c r="J410" s="995"/>
      <c r="K410" s="197">
        <f t="shared" si="93"/>
        <v>1</v>
      </c>
      <c r="L410" s="995"/>
      <c r="M410" s="197">
        <f t="shared" si="94"/>
        <v>1</v>
      </c>
      <c r="N410" s="995"/>
      <c r="O410" s="197">
        <f t="shared" si="95"/>
        <v>1</v>
      </c>
      <c r="P410" s="995"/>
      <c r="Q410" s="197">
        <f t="shared" si="96"/>
        <v>1</v>
      </c>
      <c r="R410" s="991">
        <f t="shared" ca="1" si="101"/>
        <v>15926</v>
      </c>
      <c r="S410" s="552">
        <f t="shared" ca="1" si="102"/>
        <v>2195877</v>
      </c>
      <c r="T410" s="2010">
        <f t="shared" ca="1" si="103"/>
        <v>220</v>
      </c>
      <c r="U410" s="2305">
        <f t="shared" si="97"/>
        <v>0</v>
      </c>
      <c r="V410" s="2305">
        <f t="shared" si="98"/>
        <v>0</v>
      </c>
      <c r="W410" s="2300"/>
      <c r="X410" s="2305">
        <f t="shared" si="99"/>
        <v>0</v>
      </c>
      <c r="Y410" s="2305">
        <f t="shared" si="100"/>
        <v>0</v>
      </c>
      <c r="Z410" s="2300"/>
    </row>
    <row r="411" spans="1:26">
      <c r="A411" s="292" t="str">
        <f>'7.15'!B389</f>
        <v>9幢1单元401室</v>
      </c>
      <c r="B411" s="207">
        <f>'7.17'!G389</f>
        <v>137.88</v>
      </c>
      <c r="C411" s="197">
        <f t="shared" si="89"/>
        <v>0.98</v>
      </c>
      <c r="D411" s="995" t="s">
        <v>7606</v>
      </c>
      <c r="E411" s="197">
        <f t="shared" si="90"/>
        <v>1</v>
      </c>
      <c r="F411" s="995" t="str">
        <f>'7.15'!D389</f>
        <v>平层</v>
      </c>
      <c r="G411" s="197">
        <f t="shared" si="91"/>
        <v>1</v>
      </c>
      <c r="H411" s="995" t="str">
        <f>'7.15'!E389</f>
        <v>南北东</v>
      </c>
      <c r="I411" s="197">
        <f t="shared" si="92"/>
        <v>1.02</v>
      </c>
      <c r="J411" s="995"/>
      <c r="K411" s="197">
        <f t="shared" si="93"/>
        <v>1</v>
      </c>
      <c r="L411" s="995"/>
      <c r="M411" s="197">
        <f t="shared" si="94"/>
        <v>1</v>
      </c>
      <c r="N411" s="995"/>
      <c r="O411" s="197">
        <f t="shared" si="95"/>
        <v>1</v>
      </c>
      <c r="P411" s="995"/>
      <c r="Q411" s="197">
        <f t="shared" si="96"/>
        <v>1</v>
      </c>
      <c r="R411" s="991">
        <f t="shared" ca="1" si="101"/>
        <v>15926</v>
      </c>
      <c r="S411" s="552">
        <f t="shared" ca="1" si="102"/>
        <v>2195877</v>
      </c>
      <c r="T411" s="2010">
        <f t="shared" ca="1" si="103"/>
        <v>220</v>
      </c>
      <c r="U411" s="2305">
        <f t="shared" si="97"/>
        <v>0</v>
      </c>
      <c r="V411" s="2305">
        <f t="shared" si="98"/>
        <v>0</v>
      </c>
      <c r="W411" s="2300"/>
      <c r="X411" s="2305">
        <f t="shared" si="99"/>
        <v>0</v>
      </c>
      <c r="Y411" s="2305">
        <f t="shared" si="100"/>
        <v>0</v>
      </c>
      <c r="Z411" s="2300"/>
    </row>
    <row r="412" spans="1:26">
      <c r="A412" s="292" t="str">
        <f>'7.15'!B390</f>
        <v>9幢1单元501室</v>
      </c>
      <c r="B412" s="207">
        <f>'7.17'!G390</f>
        <v>137.88</v>
      </c>
      <c r="C412" s="197">
        <f t="shared" ref="C412:C475" si="104">IF(B412="",1,(LOOKUP(B412,$6:$6,$7:$7)-LOOKUP($B$27,$6:$6,$7:$7)+100)/100)</f>
        <v>0.98</v>
      </c>
      <c r="D412" s="995" t="s">
        <v>7606</v>
      </c>
      <c r="E412" s="197">
        <f t="shared" ref="E412:E475" si="105">(SUMIF($8:$8,D412,$9:$9)-SUMIF($8:$8,$D$27,$9:$9)+100)/100</f>
        <v>1</v>
      </c>
      <c r="F412" s="995" t="str">
        <f>'7.15'!D390</f>
        <v>平层</v>
      </c>
      <c r="G412" s="197">
        <f t="shared" ref="G412:G475" si="106">(SUMIF($10:$10,F412,$11:$11)-SUMIF($10:$10,$F$27,$11:$11)+100)/100</f>
        <v>1</v>
      </c>
      <c r="H412" s="995" t="str">
        <f>'7.15'!E390</f>
        <v>南北东</v>
      </c>
      <c r="I412" s="197">
        <f t="shared" ref="I412:I475" si="107">(SUMIF($12:$12,H412,$13:$13)-SUMIF($12:$12,$H$27,$13:$13)+100)/100</f>
        <v>1.02</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ca="1" si="101"/>
        <v>15926</v>
      </c>
      <c r="S412" s="552">
        <f t="shared" ca="1" si="102"/>
        <v>2195877</v>
      </c>
      <c r="T412" s="2010">
        <f t="shared" ca="1" si="103"/>
        <v>220</v>
      </c>
      <c r="U412" s="2305">
        <f t="shared" ref="U412:U475" si="112">ROUND(W412*B412,0)</f>
        <v>0</v>
      </c>
      <c r="V412" s="2305">
        <f t="shared" ref="V412:V475" si="113">ROUND(W412*B412/10000,0)</f>
        <v>0</v>
      </c>
      <c r="W412" s="2300"/>
      <c r="X412" s="2305">
        <f t="shared" ref="X412:X475" si="114">ROUND(Z412*B412,0)</f>
        <v>0</v>
      </c>
      <c r="Y412" s="2305">
        <f t="shared" ref="Y412:Y475" si="115">ROUND(Z412*B412/10000,0)</f>
        <v>0</v>
      </c>
      <c r="Z412" s="2300"/>
    </row>
    <row r="413" spans="1:26">
      <c r="A413" s="292" t="str">
        <f>'7.15'!B391</f>
        <v>9幢1单元601室</v>
      </c>
      <c r="B413" s="207">
        <f>'7.17'!G391</f>
        <v>137.88</v>
      </c>
      <c r="C413" s="197">
        <f t="shared" si="104"/>
        <v>0.98</v>
      </c>
      <c r="D413" s="995" t="s">
        <v>7606</v>
      </c>
      <c r="E413" s="197">
        <f t="shared" si="105"/>
        <v>1</v>
      </c>
      <c r="F413" s="995" t="str">
        <f>'7.15'!D391</f>
        <v>平层</v>
      </c>
      <c r="G413" s="197">
        <f t="shared" si="106"/>
        <v>1</v>
      </c>
      <c r="H413" s="995" t="str">
        <f>'7.15'!E391</f>
        <v>南北东</v>
      </c>
      <c r="I413" s="197">
        <f t="shared" si="107"/>
        <v>1.02</v>
      </c>
      <c r="J413" s="995"/>
      <c r="K413" s="197">
        <f t="shared" si="108"/>
        <v>1</v>
      </c>
      <c r="L413" s="995"/>
      <c r="M413" s="197">
        <f t="shared" si="109"/>
        <v>1</v>
      </c>
      <c r="N413" s="995"/>
      <c r="O413" s="197">
        <f t="shared" si="110"/>
        <v>1</v>
      </c>
      <c r="P413" s="995"/>
      <c r="Q413" s="197">
        <f t="shared" si="111"/>
        <v>1</v>
      </c>
      <c r="R413" s="991">
        <f t="shared" ref="R413:R476" ca="1" si="116">IF(B413="",0,ROUND($R$27*C413*E413*G413*I413*K413*M413*O413*Q413,0))</f>
        <v>15926</v>
      </c>
      <c r="S413" s="552">
        <f t="shared" ref="S413:S476" ca="1" si="117">ROUND(R413*B413,0)</f>
        <v>2195877</v>
      </c>
      <c r="T413" s="2010">
        <f t="shared" ref="T413:T476" ca="1" si="118">ROUND(R413*B413/10000,0)</f>
        <v>220</v>
      </c>
      <c r="U413" s="2305">
        <f t="shared" si="112"/>
        <v>0</v>
      </c>
      <c r="V413" s="2305">
        <f t="shared" si="113"/>
        <v>0</v>
      </c>
      <c r="W413" s="2300"/>
      <c r="X413" s="2305">
        <f t="shared" si="114"/>
        <v>0</v>
      </c>
      <c r="Y413" s="2305">
        <f t="shared" si="115"/>
        <v>0</v>
      </c>
      <c r="Z413" s="2300"/>
    </row>
    <row r="414" spans="1:26">
      <c r="A414" s="292" t="str">
        <f>'7.15'!B392</f>
        <v>9幢1单元701室</v>
      </c>
      <c r="B414" s="207">
        <f>'7.17'!G392</f>
        <v>137.88</v>
      </c>
      <c r="C414" s="197">
        <f t="shared" si="104"/>
        <v>0.98</v>
      </c>
      <c r="D414" s="995" t="s">
        <v>7606</v>
      </c>
      <c r="E414" s="197">
        <f t="shared" si="105"/>
        <v>1</v>
      </c>
      <c r="F414" s="995" t="str">
        <f>'7.15'!D392</f>
        <v>平层</v>
      </c>
      <c r="G414" s="197">
        <f t="shared" si="106"/>
        <v>1</v>
      </c>
      <c r="H414" s="995" t="str">
        <f>'7.15'!E392</f>
        <v>南北东</v>
      </c>
      <c r="I414" s="197">
        <f t="shared" si="107"/>
        <v>1.02</v>
      </c>
      <c r="J414" s="995"/>
      <c r="K414" s="197">
        <f t="shared" si="108"/>
        <v>1</v>
      </c>
      <c r="L414" s="995"/>
      <c r="M414" s="197">
        <f t="shared" si="109"/>
        <v>1</v>
      </c>
      <c r="N414" s="995"/>
      <c r="O414" s="197">
        <f t="shared" si="110"/>
        <v>1</v>
      </c>
      <c r="P414" s="995"/>
      <c r="Q414" s="197">
        <f t="shared" si="111"/>
        <v>1</v>
      </c>
      <c r="R414" s="991">
        <f t="shared" ca="1" si="116"/>
        <v>15926</v>
      </c>
      <c r="S414" s="552">
        <f t="shared" ca="1" si="117"/>
        <v>2195877</v>
      </c>
      <c r="T414" s="2010">
        <f t="shared" ca="1" si="118"/>
        <v>220</v>
      </c>
      <c r="U414" s="2305">
        <f t="shared" si="112"/>
        <v>0</v>
      </c>
      <c r="V414" s="2305">
        <f t="shared" si="113"/>
        <v>0</v>
      </c>
      <c r="W414" s="2300"/>
      <c r="X414" s="2305">
        <f t="shared" si="114"/>
        <v>0</v>
      </c>
      <c r="Y414" s="2305">
        <f t="shared" si="115"/>
        <v>0</v>
      </c>
      <c r="Z414" s="2300"/>
    </row>
    <row r="415" spans="1:26">
      <c r="A415" s="292" t="str">
        <f>'7.15'!B393</f>
        <v>9幢1单元801室</v>
      </c>
      <c r="B415" s="207">
        <f>'7.17'!G393</f>
        <v>137.88</v>
      </c>
      <c r="C415" s="197">
        <f t="shared" si="104"/>
        <v>0.98</v>
      </c>
      <c r="D415" s="995" t="s">
        <v>7606</v>
      </c>
      <c r="E415" s="197">
        <f t="shared" si="105"/>
        <v>1</v>
      </c>
      <c r="F415" s="995" t="str">
        <f>'7.15'!D393</f>
        <v>平层</v>
      </c>
      <c r="G415" s="197">
        <f t="shared" si="106"/>
        <v>1</v>
      </c>
      <c r="H415" s="995" t="str">
        <f>'7.15'!E393</f>
        <v>南北东</v>
      </c>
      <c r="I415" s="197">
        <f t="shared" si="107"/>
        <v>1.02</v>
      </c>
      <c r="J415" s="995"/>
      <c r="K415" s="197">
        <f t="shared" si="108"/>
        <v>1</v>
      </c>
      <c r="L415" s="995"/>
      <c r="M415" s="197">
        <f t="shared" si="109"/>
        <v>1</v>
      </c>
      <c r="N415" s="995"/>
      <c r="O415" s="197">
        <f t="shared" si="110"/>
        <v>1</v>
      </c>
      <c r="P415" s="995"/>
      <c r="Q415" s="197">
        <f t="shared" si="111"/>
        <v>1</v>
      </c>
      <c r="R415" s="991">
        <f t="shared" ca="1" si="116"/>
        <v>15926</v>
      </c>
      <c r="S415" s="552">
        <f t="shared" ca="1" si="117"/>
        <v>2195877</v>
      </c>
      <c r="T415" s="2010">
        <f t="shared" ca="1" si="118"/>
        <v>220</v>
      </c>
      <c r="U415" s="2305">
        <f t="shared" si="112"/>
        <v>0</v>
      </c>
      <c r="V415" s="2305">
        <f t="shared" si="113"/>
        <v>0</v>
      </c>
      <c r="W415" s="2300"/>
      <c r="X415" s="2305">
        <f t="shared" si="114"/>
        <v>0</v>
      </c>
      <c r="Y415" s="2305">
        <f t="shared" si="115"/>
        <v>0</v>
      </c>
      <c r="Z415" s="2300"/>
    </row>
    <row r="416" spans="1:26">
      <c r="A416" s="292" t="str">
        <f>'7.15'!B394</f>
        <v>9幢1单元901室</v>
      </c>
      <c r="B416" s="207">
        <f>'7.17'!G394</f>
        <v>137.88</v>
      </c>
      <c r="C416" s="197">
        <f t="shared" si="104"/>
        <v>0.98</v>
      </c>
      <c r="D416" s="995" t="s">
        <v>7606</v>
      </c>
      <c r="E416" s="197">
        <f t="shared" si="105"/>
        <v>1</v>
      </c>
      <c r="F416" s="995" t="str">
        <f>'7.15'!D394</f>
        <v>平层</v>
      </c>
      <c r="G416" s="197">
        <f t="shared" si="106"/>
        <v>1</v>
      </c>
      <c r="H416" s="995" t="str">
        <f>'7.15'!E394</f>
        <v>南北东</v>
      </c>
      <c r="I416" s="197">
        <f t="shared" si="107"/>
        <v>1.02</v>
      </c>
      <c r="J416" s="995"/>
      <c r="K416" s="197">
        <f t="shared" si="108"/>
        <v>1</v>
      </c>
      <c r="L416" s="995"/>
      <c r="M416" s="197">
        <f t="shared" si="109"/>
        <v>1</v>
      </c>
      <c r="N416" s="995"/>
      <c r="O416" s="197">
        <f t="shared" si="110"/>
        <v>1</v>
      </c>
      <c r="P416" s="995"/>
      <c r="Q416" s="197">
        <f t="shared" si="111"/>
        <v>1</v>
      </c>
      <c r="R416" s="991">
        <f t="shared" ca="1" si="116"/>
        <v>15926</v>
      </c>
      <c r="S416" s="552">
        <f t="shared" ca="1" si="117"/>
        <v>2195877</v>
      </c>
      <c r="T416" s="2010">
        <f t="shared" ca="1" si="118"/>
        <v>220</v>
      </c>
      <c r="U416" s="2305">
        <f t="shared" si="112"/>
        <v>0</v>
      </c>
      <c r="V416" s="2305">
        <f t="shared" si="113"/>
        <v>0</v>
      </c>
      <c r="W416" s="2300"/>
      <c r="X416" s="2305">
        <f t="shared" si="114"/>
        <v>0</v>
      </c>
      <c r="Y416" s="2305">
        <f t="shared" si="115"/>
        <v>0</v>
      </c>
      <c r="Z416" s="2300"/>
    </row>
    <row r="417" spans="1:26">
      <c r="A417" s="292" t="str">
        <f>'7.15'!B395</f>
        <v>9幢1单元1001室</v>
      </c>
      <c r="B417" s="207">
        <f>'7.17'!G395</f>
        <v>137.88</v>
      </c>
      <c r="C417" s="197">
        <f t="shared" si="104"/>
        <v>0.98</v>
      </c>
      <c r="D417" s="995" t="s">
        <v>7606</v>
      </c>
      <c r="E417" s="197">
        <f t="shared" si="105"/>
        <v>1</v>
      </c>
      <c r="F417" s="995" t="str">
        <f>'7.15'!D395</f>
        <v>平层</v>
      </c>
      <c r="G417" s="197">
        <f t="shared" si="106"/>
        <v>1</v>
      </c>
      <c r="H417" s="995" t="str">
        <f>'7.15'!E395</f>
        <v>南北东</v>
      </c>
      <c r="I417" s="197">
        <f t="shared" si="107"/>
        <v>1.02</v>
      </c>
      <c r="J417" s="995"/>
      <c r="K417" s="197">
        <f t="shared" si="108"/>
        <v>1</v>
      </c>
      <c r="L417" s="995"/>
      <c r="M417" s="197">
        <f t="shared" si="109"/>
        <v>1</v>
      </c>
      <c r="N417" s="995"/>
      <c r="O417" s="197">
        <f t="shared" si="110"/>
        <v>1</v>
      </c>
      <c r="P417" s="995"/>
      <c r="Q417" s="197">
        <f t="shared" si="111"/>
        <v>1</v>
      </c>
      <c r="R417" s="991">
        <f t="shared" ca="1" si="116"/>
        <v>15926</v>
      </c>
      <c r="S417" s="552">
        <f t="shared" ca="1" si="117"/>
        <v>2195877</v>
      </c>
      <c r="T417" s="2010">
        <f t="shared" ca="1" si="118"/>
        <v>220</v>
      </c>
      <c r="U417" s="2305">
        <f t="shared" si="112"/>
        <v>0</v>
      </c>
      <c r="V417" s="2305">
        <f t="shared" si="113"/>
        <v>0</v>
      </c>
      <c r="W417" s="2300"/>
      <c r="X417" s="2305">
        <f t="shared" si="114"/>
        <v>0</v>
      </c>
      <c r="Y417" s="2305">
        <f t="shared" si="115"/>
        <v>0</v>
      </c>
      <c r="Z417" s="2300"/>
    </row>
    <row r="418" spans="1:26">
      <c r="A418" s="292" t="str">
        <f>'7.15'!B396</f>
        <v>9幢1单元1101室</v>
      </c>
      <c r="B418" s="207">
        <f>'7.17'!G396</f>
        <v>137.88</v>
      </c>
      <c r="C418" s="197">
        <f t="shared" si="104"/>
        <v>0.98</v>
      </c>
      <c r="D418" s="995" t="s">
        <v>7609</v>
      </c>
      <c r="E418" s="197">
        <f t="shared" si="105"/>
        <v>1.04</v>
      </c>
      <c r="F418" s="995" t="str">
        <f>'7.15'!D396</f>
        <v>平层</v>
      </c>
      <c r="G418" s="197">
        <f t="shared" si="106"/>
        <v>1</v>
      </c>
      <c r="H418" s="995" t="str">
        <f>'7.15'!E396</f>
        <v>南北东</v>
      </c>
      <c r="I418" s="197">
        <f t="shared" si="107"/>
        <v>1.02</v>
      </c>
      <c r="J418" s="995"/>
      <c r="K418" s="197">
        <f t="shared" si="108"/>
        <v>1</v>
      </c>
      <c r="L418" s="995"/>
      <c r="M418" s="197">
        <f t="shared" si="109"/>
        <v>1</v>
      </c>
      <c r="N418" s="995"/>
      <c r="O418" s="197">
        <f t="shared" si="110"/>
        <v>1</v>
      </c>
      <c r="P418" s="995"/>
      <c r="Q418" s="197">
        <f t="shared" si="111"/>
        <v>1</v>
      </c>
      <c r="R418" s="991">
        <f t="shared" ca="1" si="116"/>
        <v>16563</v>
      </c>
      <c r="S418" s="552">
        <f t="shared" ca="1" si="117"/>
        <v>2283706</v>
      </c>
      <c r="T418" s="2010">
        <f t="shared" ca="1" si="118"/>
        <v>228</v>
      </c>
      <c r="U418" s="2305">
        <f t="shared" si="112"/>
        <v>0</v>
      </c>
      <c r="V418" s="2305">
        <f t="shared" si="113"/>
        <v>0</v>
      </c>
      <c r="W418" s="2300"/>
      <c r="X418" s="2305">
        <f t="shared" si="114"/>
        <v>0</v>
      </c>
      <c r="Y418" s="2305">
        <f t="shared" si="115"/>
        <v>0</v>
      </c>
      <c r="Z418" s="2300"/>
    </row>
    <row r="419" spans="1:26">
      <c r="A419" s="292" t="str">
        <f>'7.15'!B397</f>
        <v>9幢1单元1201室</v>
      </c>
      <c r="B419" s="207">
        <f>'7.17'!G397</f>
        <v>137.88</v>
      </c>
      <c r="C419" s="197">
        <f t="shared" si="104"/>
        <v>0.98</v>
      </c>
      <c r="D419" s="995" t="s">
        <v>7609</v>
      </c>
      <c r="E419" s="197">
        <f t="shared" si="105"/>
        <v>1.04</v>
      </c>
      <c r="F419" s="995" t="str">
        <f>'7.15'!D397</f>
        <v>平层</v>
      </c>
      <c r="G419" s="197">
        <f t="shared" si="106"/>
        <v>1</v>
      </c>
      <c r="H419" s="995" t="str">
        <f>'7.15'!E397</f>
        <v>南北东</v>
      </c>
      <c r="I419" s="197">
        <f t="shared" si="107"/>
        <v>1.02</v>
      </c>
      <c r="J419" s="995"/>
      <c r="K419" s="197">
        <f t="shared" si="108"/>
        <v>1</v>
      </c>
      <c r="L419" s="995"/>
      <c r="M419" s="197">
        <f t="shared" si="109"/>
        <v>1</v>
      </c>
      <c r="N419" s="995"/>
      <c r="O419" s="197">
        <f t="shared" si="110"/>
        <v>1</v>
      </c>
      <c r="P419" s="995"/>
      <c r="Q419" s="197">
        <f t="shared" si="111"/>
        <v>1</v>
      </c>
      <c r="R419" s="991">
        <f t="shared" ca="1" si="116"/>
        <v>16563</v>
      </c>
      <c r="S419" s="552">
        <f t="shared" ca="1" si="117"/>
        <v>2283706</v>
      </c>
      <c r="T419" s="2010">
        <f t="shared" ca="1" si="118"/>
        <v>228</v>
      </c>
      <c r="U419" s="2305">
        <f t="shared" si="112"/>
        <v>0</v>
      </c>
      <c r="V419" s="2305">
        <f t="shared" si="113"/>
        <v>0</v>
      </c>
      <c r="W419" s="2300"/>
      <c r="X419" s="2305">
        <f t="shared" si="114"/>
        <v>0</v>
      </c>
      <c r="Y419" s="2305">
        <f t="shared" si="115"/>
        <v>0</v>
      </c>
      <c r="Z419" s="2300"/>
    </row>
    <row r="420" spans="1:26">
      <c r="A420" s="292" t="str">
        <f>'7.15'!B398</f>
        <v>9幢1单元1301室</v>
      </c>
      <c r="B420" s="207">
        <f>'7.17'!G398</f>
        <v>137.88</v>
      </c>
      <c r="C420" s="197">
        <f t="shared" si="104"/>
        <v>0.98</v>
      </c>
      <c r="D420" s="995" t="s">
        <v>7609</v>
      </c>
      <c r="E420" s="197">
        <f t="shared" si="105"/>
        <v>1.04</v>
      </c>
      <c r="F420" s="995" t="str">
        <f>'7.15'!D398</f>
        <v>平层</v>
      </c>
      <c r="G420" s="197">
        <f t="shared" si="106"/>
        <v>1</v>
      </c>
      <c r="H420" s="995" t="str">
        <f>'7.15'!E398</f>
        <v>南北东</v>
      </c>
      <c r="I420" s="197">
        <f t="shared" si="107"/>
        <v>1.02</v>
      </c>
      <c r="J420" s="995"/>
      <c r="K420" s="197">
        <f t="shared" si="108"/>
        <v>1</v>
      </c>
      <c r="L420" s="995"/>
      <c r="M420" s="197">
        <f t="shared" si="109"/>
        <v>1</v>
      </c>
      <c r="N420" s="995"/>
      <c r="O420" s="197">
        <f t="shared" si="110"/>
        <v>1</v>
      </c>
      <c r="P420" s="995"/>
      <c r="Q420" s="197">
        <f t="shared" si="111"/>
        <v>1</v>
      </c>
      <c r="R420" s="991">
        <f t="shared" ca="1" si="116"/>
        <v>16563</v>
      </c>
      <c r="S420" s="552">
        <f t="shared" ca="1" si="117"/>
        <v>2283706</v>
      </c>
      <c r="T420" s="2010">
        <f t="shared" ca="1" si="118"/>
        <v>228</v>
      </c>
      <c r="U420" s="2305">
        <f t="shared" si="112"/>
        <v>0</v>
      </c>
      <c r="V420" s="2305">
        <f t="shared" si="113"/>
        <v>0</v>
      </c>
      <c r="W420" s="2300"/>
      <c r="X420" s="2305">
        <f t="shared" si="114"/>
        <v>0</v>
      </c>
      <c r="Y420" s="2305">
        <f t="shared" si="115"/>
        <v>0</v>
      </c>
      <c r="Z420" s="2300"/>
    </row>
    <row r="421" spans="1:26">
      <c r="A421" s="292" t="str">
        <f>'7.15'!B399</f>
        <v>9幢1单元1401室</v>
      </c>
      <c r="B421" s="207">
        <f>'7.17'!G399</f>
        <v>137.88</v>
      </c>
      <c r="C421" s="197">
        <f t="shared" si="104"/>
        <v>0.98</v>
      </c>
      <c r="D421" s="995" t="s">
        <v>7609</v>
      </c>
      <c r="E421" s="197">
        <f t="shared" si="105"/>
        <v>1.04</v>
      </c>
      <c r="F421" s="995" t="str">
        <f>'7.15'!D399</f>
        <v>平层</v>
      </c>
      <c r="G421" s="197">
        <f t="shared" si="106"/>
        <v>1</v>
      </c>
      <c r="H421" s="995" t="str">
        <f>'7.15'!E399</f>
        <v>南北东</v>
      </c>
      <c r="I421" s="197">
        <f t="shared" si="107"/>
        <v>1.02</v>
      </c>
      <c r="J421" s="995"/>
      <c r="K421" s="197">
        <f t="shared" si="108"/>
        <v>1</v>
      </c>
      <c r="L421" s="995"/>
      <c r="M421" s="197">
        <f t="shared" si="109"/>
        <v>1</v>
      </c>
      <c r="N421" s="995"/>
      <c r="O421" s="197">
        <f t="shared" si="110"/>
        <v>1</v>
      </c>
      <c r="P421" s="995"/>
      <c r="Q421" s="197">
        <f t="shared" si="111"/>
        <v>1</v>
      </c>
      <c r="R421" s="991">
        <f t="shared" ca="1" si="116"/>
        <v>16563</v>
      </c>
      <c r="S421" s="552">
        <f t="shared" ca="1" si="117"/>
        <v>2283706</v>
      </c>
      <c r="T421" s="2010">
        <f t="shared" ca="1" si="118"/>
        <v>228</v>
      </c>
      <c r="U421" s="2305">
        <f t="shared" si="112"/>
        <v>0</v>
      </c>
      <c r="V421" s="2305">
        <f t="shared" si="113"/>
        <v>0</v>
      </c>
      <c r="W421" s="2300"/>
      <c r="X421" s="2305">
        <f t="shared" si="114"/>
        <v>0</v>
      </c>
      <c r="Y421" s="2305">
        <f t="shared" si="115"/>
        <v>0</v>
      </c>
      <c r="Z421" s="2300"/>
    </row>
    <row r="422" spans="1:26">
      <c r="A422" s="292" t="str">
        <f>'7.15'!B400</f>
        <v>9幢1单元1501室</v>
      </c>
      <c r="B422" s="207">
        <f>'7.17'!G400</f>
        <v>137.88</v>
      </c>
      <c r="C422" s="197">
        <f t="shared" si="104"/>
        <v>0.98</v>
      </c>
      <c r="D422" s="995" t="s">
        <v>7609</v>
      </c>
      <c r="E422" s="197">
        <f t="shared" si="105"/>
        <v>1.04</v>
      </c>
      <c r="F422" s="995" t="str">
        <f>'7.15'!D400</f>
        <v>平层</v>
      </c>
      <c r="G422" s="197">
        <f t="shared" si="106"/>
        <v>1</v>
      </c>
      <c r="H422" s="995" t="str">
        <f>'7.15'!E400</f>
        <v>南北东</v>
      </c>
      <c r="I422" s="197">
        <f t="shared" si="107"/>
        <v>1.02</v>
      </c>
      <c r="J422" s="995"/>
      <c r="K422" s="197">
        <f t="shared" si="108"/>
        <v>1</v>
      </c>
      <c r="L422" s="995"/>
      <c r="M422" s="197">
        <f t="shared" si="109"/>
        <v>1</v>
      </c>
      <c r="N422" s="995"/>
      <c r="O422" s="197">
        <f t="shared" si="110"/>
        <v>1</v>
      </c>
      <c r="P422" s="995"/>
      <c r="Q422" s="197">
        <f t="shared" si="111"/>
        <v>1</v>
      </c>
      <c r="R422" s="991">
        <f t="shared" ca="1" si="116"/>
        <v>16563</v>
      </c>
      <c r="S422" s="552">
        <f t="shared" ca="1" si="117"/>
        <v>2283706</v>
      </c>
      <c r="T422" s="2010">
        <f t="shared" ca="1" si="118"/>
        <v>228</v>
      </c>
      <c r="U422" s="2305">
        <f t="shared" si="112"/>
        <v>0</v>
      </c>
      <c r="V422" s="2305">
        <f t="shared" si="113"/>
        <v>0</v>
      </c>
      <c r="W422" s="2300"/>
      <c r="X422" s="2305">
        <f t="shared" si="114"/>
        <v>0</v>
      </c>
      <c r="Y422" s="2305">
        <f t="shared" si="115"/>
        <v>0</v>
      </c>
      <c r="Z422" s="2300"/>
    </row>
    <row r="423" spans="1:26">
      <c r="A423" s="292" t="str">
        <f>'7.15'!B401</f>
        <v>9幢1单元1601室</v>
      </c>
      <c r="B423" s="207">
        <f>'7.17'!G401</f>
        <v>137.88</v>
      </c>
      <c r="C423" s="197">
        <f t="shared" si="104"/>
        <v>0.98</v>
      </c>
      <c r="D423" s="995" t="s">
        <v>7609</v>
      </c>
      <c r="E423" s="197">
        <f t="shared" si="105"/>
        <v>1.04</v>
      </c>
      <c r="F423" s="995" t="str">
        <f>'7.15'!D401</f>
        <v>平层</v>
      </c>
      <c r="G423" s="197">
        <f t="shared" si="106"/>
        <v>1</v>
      </c>
      <c r="H423" s="995" t="str">
        <f>'7.15'!E401</f>
        <v>南北东</v>
      </c>
      <c r="I423" s="197">
        <f t="shared" si="107"/>
        <v>1.02</v>
      </c>
      <c r="J423" s="995"/>
      <c r="K423" s="197">
        <f t="shared" si="108"/>
        <v>1</v>
      </c>
      <c r="L423" s="995"/>
      <c r="M423" s="197">
        <f t="shared" si="109"/>
        <v>1</v>
      </c>
      <c r="N423" s="995"/>
      <c r="O423" s="197">
        <f t="shared" si="110"/>
        <v>1</v>
      </c>
      <c r="P423" s="995"/>
      <c r="Q423" s="197">
        <f t="shared" si="111"/>
        <v>1</v>
      </c>
      <c r="R423" s="991">
        <f t="shared" ca="1" si="116"/>
        <v>16563</v>
      </c>
      <c r="S423" s="552">
        <f t="shared" ca="1" si="117"/>
        <v>2283706</v>
      </c>
      <c r="T423" s="2010">
        <f t="shared" ca="1" si="118"/>
        <v>228</v>
      </c>
      <c r="U423" s="2305">
        <f t="shared" si="112"/>
        <v>0</v>
      </c>
      <c r="V423" s="2305">
        <f t="shared" si="113"/>
        <v>0</v>
      </c>
      <c r="W423" s="2300"/>
      <c r="X423" s="2305">
        <f t="shared" si="114"/>
        <v>0</v>
      </c>
      <c r="Y423" s="2305">
        <f t="shared" si="115"/>
        <v>0</v>
      </c>
      <c r="Z423" s="2300"/>
    </row>
    <row r="424" spans="1:26">
      <c r="A424" s="292" t="str">
        <f>'7.15'!B402</f>
        <v>9幢1单元1701室</v>
      </c>
      <c r="B424" s="207">
        <f>'7.17'!G402</f>
        <v>137.88</v>
      </c>
      <c r="C424" s="197">
        <f t="shared" si="104"/>
        <v>0.98</v>
      </c>
      <c r="D424" s="995" t="s">
        <v>7609</v>
      </c>
      <c r="E424" s="197">
        <f t="shared" si="105"/>
        <v>1.04</v>
      </c>
      <c r="F424" s="995" t="str">
        <f>'7.15'!D402</f>
        <v>平层</v>
      </c>
      <c r="G424" s="197">
        <f t="shared" si="106"/>
        <v>1</v>
      </c>
      <c r="H424" s="995" t="str">
        <f>'7.15'!E402</f>
        <v>南北东</v>
      </c>
      <c r="I424" s="197">
        <f t="shared" si="107"/>
        <v>1.02</v>
      </c>
      <c r="J424" s="995"/>
      <c r="K424" s="197">
        <f t="shared" si="108"/>
        <v>1</v>
      </c>
      <c r="L424" s="995"/>
      <c r="M424" s="197">
        <f t="shared" si="109"/>
        <v>1</v>
      </c>
      <c r="N424" s="995"/>
      <c r="O424" s="197">
        <f t="shared" si="110"/>
        <v>1</v>
      </c>
      <c r="P424" s="995"/>
      <c r="Q424" s="197">
        <f t="shared" si="111"/>
        <v>1</v>
      </c>
      <c r="R424" s="991">
        <f t="shared" ca="1" si="116"/>
        <v>16563</v>
      </c>
      <c r="S424" s="552">
        <f t="shared" ca="1" si="117"/>
        <v>2283706</v>
      </c>
      <c r="T424" s="2010">
        <f t="shared" ca="1" si="118"/>
        <v>228</v>
      </c>
      <c r="U424" s="2305">
        <f t="shared" si="112"/>
        <v>0</v>
      </c>
      <c r="V424" s="2305">
        <f t="shared" si="113"/>
        <v>0</v>
      </c>
      <c r="W424" s="2300"/>
      <c r="X424" s="2305">
        <f t="shared" si="114"/>
        <v>0</v>
      </c>
      <c r="Y424" s="2305">
        <f t="shared" si="115"/>
        <v>0</v>
      </c>
      <c r="Z424" s="2300"/>
    </row>
    <row r="425" spans="1:26">
      <c r="A425" s="292" t="str">
        <f>'7.15'!B403</f>
        <v>9幢1单元1801室</v>
      </c>
      <c r="B425" s="207">
        <f>'7.17'!G403</f>
        <v>137.88</v>
      </c>
      <c r="C425" s="197">
        <f t="shared" si="104"/>
        <v>0.98</v>
      </c>
      <c r="D425" s="995" t="s">
        <v>7609</v>
      </c>
      <c r="E425" s="197">
        <f t="shared" si="105"/>
        <v>1.04</v>
      </c>
      <c r="F425" s="995" t="str">
        <f>'7.15'!D403</f>
        <v>平层</v>
      </c>
      <c r="G425" s="197">
        <f t="shared" si="106"/>
        <v>1</v>
      </c>
      <c r="H425" s="995" t="str">
        <f>'7.15'!E403</f>
        <v>南北东</v>
      </c>
      <c r="I425" s="197">
        <f t="shared" si="107"/>
        <v>1.02</v>
      </c>
      <c r="J425" s="995"/>
      <c r="K425" s="197">
        <f t="shared" si="108"/>
        <v>1</v>
      </c>
      <c r="L425" s="995"/>
      <c r="M425" s="197">
        <f t="shared" si="109"/>
        <v>1</v>
      </c>
      <c r="N425" s="995"/>
      <c r="O425" s="197">
        <f t="shared" si="110"/>
        <v>1</v>
      </c>
      <c r="P425" s="995"/>
      <c r="Q425" s="197">
        <f t="shared" si="111"/>
        <v>1</v>
      </c>
      <c r="R425" s="991">
        <f t="shared" ca="1" si="116"/>
        <v>16563</v>
      </c>
      <c r="S425" s="552">
        <f t="shared" ca="1" si="117"/>
        <v>2283706</v>
      </c>
      <c r="T425" s="2010">
        <f t="shared" ca="1" si="118"/>
        <v>228</v>
      </c>
      <c r="U425" s="2305">
        <f t="shared" si="112"/>
        <v>0</v>
      </c>
      <c r="V425" s="2305">
        <f t="shared" si="113"/>
        <v>0</v>
      </c>
      <c r="W425" s="2300"/>
      <c r="X425" s="2305">
        <f t="shared" si="114"/>
        <v>0</v>
      </c>
      <c r="Y425" s="2305">
        <f t="shared" si="115"/>
        <v>0</v>
      </c>
      <c r="Z425" s="2300"/>
    </row>
    <row r="426" spans="1:26">
      <c r="A426" s="292" t="str">
        <f>'7.15'!B404</f>
        <v>9幢1单元1901室</v>
      </c>
      <c r="B426" s="207">
        <f>'7.17'!G404</f>
        <v>137.88</v>
      </c>
      <c r="C426" s="197">
        <f t="shared" si="104"/>
        <v>0.98</v>
      </c>
      <c r="D426" s="995" t="s">
        <v>7609</v>
      </c>
      <c r="E426" s="197">
        <f t="shared" si="105"/>
        <v>1.04</v>
      </c>
      <c r="F426" s="995" t="str">
        <f>'7.15'!D404</f>
        <v>平层</v>
      </c>
      <c r="G426" s="197">
        <f t="shared" si="106"/>
        <v>1</v>
      </c>
      <c r="H426" s="995" t="str">
        <f>'7.15'!E404</f>
        <v>南北东</v>
      </c>
      <c r="I426" s="197">
        <f t="shared" si="107"/>
        <v>1.02</v>
      </c>
      <c r="J426" s="995"/>
      <c r="K426" s="197">
        <f t="shared" si="108"/>
        <v>1</v>
      </c>
      <c r="L426" s="995"/>
      <c r="M426" s="197">
        <f t="shared" si="109"/>
        <v>1</v>
      </c>
      <c r="N426" s="995"/>
      <c r="O426" s="197">
        <f t="shared" si="110"/>
        <v>1</v>
      </c>
      <c r="P426" s="995"/>
      <c r="Q426" s="197">
        <f t="shared" si="111"/>
        <v>1</v>
      </c>
      <c r="R426" s="991">
        <f t="shared" ca="1" si="116"/>
        <v>16563</v>
      </c>
      <c r="S426" s="552">
        <f t="shared" ca="1" si="117"/>
        <v>2283706</v>
      </c>
      <c r="T426" s="2010">
        <f t="shared" ca="1" si="118"/>
        <v>228</v>
      </c>
      <c r="U426" s="2305">
        <f t="shared" si="112"/>
        <v>0</v>
      </c>
      <c r="V426" s="2305">
        <f t="shared" si="113"/>
        <v>0</v>
      </c>
      <c r="W426" s="2300"/>
      <c r="X426" s="2305">
        <f t="shared" si="114"/>
        <v>0</v>
      </c>
      <c r="Y426" s="2305">
        <f t="shared" si="115"/>
        <v>0</v>
      </c>
      <c r="Z426" s="2300"/>
    </row>
    <row r="427" spans="1:26">
      <c r="A427" s="292" t="str">
        <f>'7.15'!B405</f>
        <v>9幢1单元2001室</v>
      </c>
      <c r="B427" s="207">
        <f>'7.17'!G405</f>
        <v>137.88</v>
      </c>
      <c r="C427" s="197">
        <f t="shared" si="104"/>
        <v>0.98</v>
      </c>
      <c r="D427" s="995" t="s">
        <v>7609</v>
      </c>
      <c r="E427" s="197">
        <f t="shared" si="105"/>
        <v>1.04</v>
      </c>
      <c r="F427" s="995" t="str">
        <f>'7.15'!D405</f>
        <v>平层</v>
      </c>
      <c r="G427" s="197">
        <f t="shared" si="106"/>
        <v>1</v>
      </c>
      <c r="H427" s="995" t="str">
        <f>'7.15'!E405</f>
        <v>南北东</v>
      </c>
      <c r="I427" s="197">
        <f t="shared" si="107"/>
        <v>1.02</v>
      </c>
      <c r="J427" s="995"/>
      <c r="K427" s="197">
        <f t="shared" si="108"/>
        <v>1</v>
      </c>
      <c r="L427" s="995"/>
      <c r="M427" s="197">
        <f t="shared" si="109"/>
        <v>1</v>
      </c>
      <c r="N427" s="995"/>
      <c r="O427" s="197">
        <f t="shared" si="110"/>
        <v>1</v>
      </c>
      <c r="P427" s="995"/>
      <c r="Q427" s="197">
        <f t="shared" si="111"/>
        <v>1</v>
      </c>
      <c r="R427" s="991">
        <f t="shared" ca="1" si="116"/>
        <v>16563</v>
      </c>
      <c r="S427" s="552">
        <f t="shared" ca="1" si="117"/>
        <v>2283706</v>
      </c>
      <c r="T427" s="2010">
        <f t="shared" ca="1" si="118"/>
        <v>228</v>
      </c>
      <c r="U427" s="2305">
        <f t="shared" si="112"/>
        <v>0</v>
      </c>
      <c r="V427" s="2305">
        <f t="shared" si="113"/>
        <v>0</v>
      </c>
      <c r="W427" s="2300"/>
      <c r="X427" s="2305">
        <f t="shared" si="114"/>
        <v>0</v>
      </c>
      <c r="Y427" s="2305">
        <f t="shared" si="115"/>
        <v>0</v>
      </c>
      <c r="Z427" s="2300"/>
    </row>
    <row r="428" spans="1:26">
      <c r="A428" s="292" t="str">
        <f>'7.15'!B406</f>
        <v>9幢1单元2101室</v>
      </c>
      <c r="B428" s="207">
        <f>'7.17'!G406</f>
        <v>137.88</v>
      </c>
      <c r="C428" s="197">
        <f t="shared" si="104"/>
        <v>0.98</v>
      </c>
      <c r="D428" s="995" t="s">
        <v>7608</v>
      </c>
      <c r="E428" s="197">
        <f t="shared" si="105"/>
        <v>1.02</v>
      </c>
      <c r="F428" s="995" t="str">
        <f>'7.15'!D406</f>
        <v>平层</v>
      </c>
      <c r="G428" s="197">
        <f t="shared" si="106"/>
        <v>1</v>
      </c>
      <c r="H428" s="995" t="str">
        <f>'7.15'!E406</f>
        <v>南北东</v>
      </c>
      <c r="I428" s="197">
        <f t="shared" si="107"/>
        <v>1.02</v>
      </c>
      <c r="J428" s="995"/>
      <c r="K428" s="197">
        <f t="shared" si="108"/>
        <v>1</v>
      </c>
      <c r="L428" s="995"/>
      <c r="M428" s="197">
        <f t="shared" si="109"/>
        <v>1</v>
      </c>
      <c r="N428" s="995"/>
      <c r="O428" s="197">
        <f t="shared" si="110"/>
        <v>1</v>
      </c>
      <c r="P428" s="995"/>
      <c r="Q428" s="197">
        <f t="shared" si="111"/>
        <v>1</v>
      </c>
      <c r="R428" s="991">
        <f t="shared" ca="1" si="116"/>
        <v>16244</v>
      </c>
      <c r="S428" s="552">
        <f t="shared" ca="1" si="117"/>
        <v>2239723</v>
      </c>
      <c r="T428" s="2010">
        <f t="shared" ca="1" si="118"/>
        <v>224</v>
      </c>
      <c r="U428" s="2305">
        <f t="shared" si="112"/>
        <v>0</v>
      </c>
      <c r="V428" s="2305">
        <f t="shared" si="113"/>
        <v>0</v>
      </c>
      <c r="W428" s="2300"/>
      <c r="X428" s="2305">
        <f t="shared" si="114"/>
        <v>0</v>
      </c>
      <c r="Y428" s="2305">
        <f t="shared" si="115"/>
        <v>0</v>
      </c>
      <c r="Z428" s="2300"/>
    </row>
    <row r="429" spans="1:26">
      <c r="A429" s="292" t="str">
        <f>'7.15'!B407</f>
        <v>9幢1单元2201室</v>
      </c>
      <c r="B429" s="207">
        <f>'7.17'!G407</f>
        <v>137.88</v>
      </c>
      <c r="C429" s="197">
        <f t="shared" si="104"/>
        <v>0.98</v>
      </c>
      <c r="D429" s="995" t="s">
        <v>7608</v>
      </c>
      <c r="E429" s="197">
        <f t="shared" si="105"/>
        <v>1.02</v>
      </c>
      <c r="F429" s="995" t="str">
        <f>'7.15'!D407</f>
        <v>平层</v>
      </c>
      <c r="G429" s="197">
        <f t="shared" si="106"/>
        <v>1</v>
      </c>
      <c r="H429" s="995" t="str">
        <f>'7.15'!E407</f>
        <v>南北东</v>
      </c>
      <c r="I429" s="197">
        <f t="shared" si="107"/>
        <v>1.02</v>
      </c>
      <c r="J429" s="995"/>
      <c r="K429" s="197">
        <f t="shared" si="108"/>
        <v>1</v>
      </c>
      <c r="L429" s="995"/>
      <c r="M429" s="197">
        <f t="shared" si="109"/>
        <v>1</v>
      </c>
      <c r="N429" s="995"/>
      <c r="O429" s="197">
        <f t="shared" si="110"/>
        <v>1</v>
      </c>
      <c r="P429" s="995"/>
      <c r="Q429" s="197">
        <f t="shared" si="111"/>
        <v>1</v>
      </c>
      <c r="R429" s="991">
        <f t="shared" ca="1" si="116"/>
        <v>16244</v>
      </c>
      <c r="S429" s="552">
        <f t="shared" ca="1" si="117"/>
        <v>2239723</v>
      </c>
      <c r="T429" s="2010">
        <f t="shared" ca="1" si="118"/>
        <v>224</v>
      </c>
      <c r="U429" s="2305">
        <f t="shared" si="112"/>
        <v>0</v>
      </c>
      <c r="V429" s="2305">
        <f t="shared" si="113"/>
        <v>0</v>
      </c>
      <c r="W429" s="2300"/>
      <c r="X429" s="2305">
        <f t="shared" si="114"/>
        <v>0</v>
      </c>
      <c r="Y429" s="2305">
        <f t="shared" si="115"/>
        <v>0</v>
      </c>
      <c r="Z429" s="2300"/>
    </row>
    <row r="430" spans="1:26">
      <c r="A430" s="292" t="str">
        <f>'7.15'!B408</f>
        <v>9幢1单元2301室</v>
      </c>
      <c r="B430" s="207">
        <f>'7.17'!G408</f>
        <v>137.88</v>
      </c>
      <c r="C430" s="197">
        <f t="shared" si="104"/>
        <v>0.98</v>
      </c>
      <c r="D430" s="995" t="s">
        <v>7608</v>
      </c>
      <c r="E430" s="197">
        <f t="shared" si="105"/>
        <v>1.02</v>
      </c>
      <c r="F430" s="995" t="str">
        <f>'7.15'!D408</f>
        <v>平层</v>
      </c>
      <c r="G430" s="197">
        <f t="shared" si="106"/>
        <v>1</v>
      </c>
      <c r="H430" s="995" t="str">
        <f>'7.15'!E408</f>
        <v>南北东</v>
      </c>
      <c r="I430" s="197">
        <f t="shared" si="107"/>
        <v>1.02</v>
      </c>
      <c r="J430" s="995"/>
      <c r="K430" s="197">
        <f t="shared" si="108"/>
        <v>1</v>
      </c>
      <c r="L430" s="995"/>
      <c r="M430" s="197">
        <f t="shared" si="109"/>
        <v>1</v>
      </c>
      <c r="N430" s="995"/>
      <c r="O430" s="197">
        <f t="shared" si="110"/>
        <v>1</v>
      </c>
      <c r="P430" s="995"/>
      <c r="Q430" s="197">
        <f t="shared" si="111"/>
        <v>1</v>
      </c>
      <c r="R430" s="991">
        <f t="shared" ca="1" si="116"/>
        <v>16244</v>
      </c>
      <c r="S430" s="552">
        <f t="shared" ca="1" si="117"/>
        <v>2239723</v>
      </c>
      <c r="T430" s="2010">
        <f t="shared" ca="1" si="118"/>
        <v>224</v>
      </c>
      <c r="U430" s="2305">
        <f t="shared" si="112"/>
        <v>0</v>
      </c>
      <c r="V430" s="2305">
        <f t="shared" si="113"/>
        <v>0</v>
      </c>
      <c r="W430" s="2300"/>
      <c r="X430" s="2305">
        <f t="shared" si="114"/>
        <v>0</v>
      </c>
      <c r="Y430" s="2305">
        <f t="shared" si="115"/>
        <v>0</v>
      </c>
      <c r="Z430" s="2300"/>
    </row>
    <row r="431" spans="1:26">
      <c r="A431" s="292" t="str">
        <f>'7.15'!B409</f>
        <v>9幢1单元2401室</v>
      </c>
      <c r="B431" s="207">
        <f>'7.17'!G409</f>
        <v>137.88</v>
      </c>
      <c r="C431" s="197">
        <f t="shared" si="104"/>
        <v>0.98</v>
      </c>
      <c r="D431" s="995" t="s">
        <v>7608</v>
      </c>
      <c r="E431" s="197">
        <f t="shared" si="105"/>
        <v>1.02</v>
      </c>
      <c r="F431" s="995" t="str">
        <f>'7.15'!D409</f>
        <v>平层</v>
      </c>
      <c r="G431" s="197">
        <f t="shared" si="106"/>
        <v>1</v>
      </c>
      <c r="H431" s="995" t="str">
        <f>'7.15'!E409</f>
        <v>南北东</v>
      </c>
      <c r="I431" s="197">
        <f t="shared" si="107"/>
        <v>1.02</v>
      </c>
      <c r="J431" s="995"/>
      <c r="K431" s="197">
        <f t="shared" si="108"/>
        <v>1</v>
      </c>
      <c r="L431" s="995"/>
      <c r="M431" s="197">
        <f t="shared" si="109"/>
        <v>1</v>
      </c>
      <c r="N431" s="995"/>
      <c r="O431" s="197">
        <f t="shared" si="110"/>
        <v>1</v>
      </c>
      <c r="P431" s="995"/>
      <c r="Q431" s="197">
        <f t="shared" si="111"/>
        <v>1</v>
      </c>
      <c r="R431" s="991">
        <f t="shared" ca="1" si="116"/>
        <v>16244</v>
      </c>
      <c r="S431" s="552">
        <f t="shared" ca="1" si="117"/>
        <v>2239723</v>
      </c>
      <c r="T431" s="2010">
        <f t="shared" ca="1" si="118"/>
        <v>224</v>
      </c>
      <c r="U431" s="2305">
        <f t="shared" si="112"/>
        <v>0</v>
      </c>
      <c r="V431" s="2305">
        <f t="shared" si="113"/>
        <v>0</v>
      </c>
      <c r="W431" s="2300"/>
      <c r="X431" s="2305">
        <f t="shared" si="114"/>
        <v>0</v>
      </c>
      <c r="Y431" s="2305">
        <f t="shared" si="115"/>
        <v>0</v>
      </c>
      <c r="Z431" s="2300"/>
    </row>
    <row r="432" spans="1:26">
      <c r="A432" s="292" t="str">
        <f>'7.15'!B410</f>
        <v>9幢1单元2501室</v>
      </c>
      <c r="B432" s="207">
        <f>'7.17'!G410</f>
        <v>137.88</v>
      </c>
      <c r="C432" s="197">
        <f t="shared" si="104"/>
        <v>0.98</v>
      </c>
      <c r="D432" s="995" t="s">
        <v>7608</v>
      </c>
      <c r="E432" s="197">
        <f t="shared" si="105"/>
        <v>1.02</v>
      </c>
      <c r="F432" s="995" t="str">
        <f>'7.15'!D410</f>
        <v>平层</v>
      </c>
      <c r="G432" s="197">
        <f t="shared" si="106"/>
        <v>1</v>
      </c>
      <c r="H432" s="995" t="str">
        <f>'7.15'!E410</f>
        <v>南北东</v>
      </c>
      <c r="I432" s="197">
        <f t="shared" si="107"/>
        <v>1.02</v>
      </c>
      <c r="J432" s="995"/>
      <c r="K432" s="197">
        <f t="shared" si="108"/>
        <v>1</v>
      </c>
      <c r="L432" s="995"/>
      <c r="M432" s="197">
        <f t="shared" si="109"/>
        <v>1</v>
      </c>
      <c r="N432" s="995"/>
      <c r="O432" s="197">
        <f t="shared" si="110"/>
        <v>1</v>
      </c>
      <c r="P432" s="995"/>
      <c r="Q432" s="197">
        <f t="shared" si="111"/>
        <v>1</v>
      </c>
      <c r="R432" s="991">
        <f t="shared" ca="1" si="116"/>
        <v>16244</v>
      </c>
      <c r="S432" s="552">
        <f t="shared" ca="1" si="117"/>
        <v>2239723</v>
      </c>
      <c r="T432" s="2010">
        <f t="shared" ca="1" si="118"/>
        <v>224</v>
      </c>
      <c r="U432" s="2305">
        <f t="shared" si="112"/>
        <v>0</v>
      </c>
      <c r="V432" s="2305">
        <f t="shared" si="113"/>
        <v>0</v>
      </c>
      <c r="W432" s="2300"/>
      <c r="X432" s="2305">
        <f t="shared" si="114"/>
        <v>0</v>
      </c>
      <c r="Y432" s="2305">
        <f t="shared" si="115"/>
        <v>0</v>
      </c>
      <c r="Z432" s="2300"/>
    </row>
    <row r="433" spans="1:26">
      <c r="A433" s="292" t="str">
        <f>'7.15'!B411</f>
        <v>9幢1单元2601室</v>
      </c>
      <c r="B433" s="207">
        <f>'7.17'!G411</f>
        <v>137.88</v>
      </c>
      <c r="C433" s="197">
        <f t="shared" si="104"/>
        <v>0.98</v>
      </c>
      <c r="D433" s="995" t="s">
        <v>7608</v>
      </c>
      <c r="E433" s="197">
        <f t="shared" si="105"/>
        <v>1.02</v>
      </c>
      <c r="F433" s="995" t="str">
        <f>'7.15'!D411</f>
        <v>平层</v>
      </c>
      <c r="G433" s="197">
        <f t="shared" si="106"/>
        <v>1</v>
      </c>
      <c r="H433" s="995" t="str">
        <f>'7.15'!E411</f>
        <v>南北东</v>
      </c>
      <c r="I433" s="197">
        <f t="shared" si="107"/>
        <v>1.02</v>
      </c>
      <c r="J433" s="995"/>
      <c r="K433" s="197">
        <f t="shared" si="108"/>
        <v>1</v>
      </c>
      <c r="L433" s="995"/>
      <c r="M433" s="197">
        <f t="shared" si="109"/>
        <v>1</v>
      </c>
      <c r="N433" s="995"/>
      <c r="O433" s="197">
        <f t="shared" si="110"/>
        <v>1</v>
      </c>
      <c r="P433" s="995"/>
      <c r="Q433" s="197">
        <f t="shared" si="111"/>
        <v>1</v>
      </c>
      <c r="R433" s="991">
        <f t="shared" ca="1" si="116"/>
        <v>16244</v>
      </c>
      <c r="S433" s="552">
        <f t="shared" ca="1" si="117"/>
        <v>2239723</v>
      </c>
      <c r="T433" s="2010">
        <f t="shared" ca="1" si="118"/>
        <v>224</v>
      </c>
      <c r="U433" s="2305">
        <f t="shared" si="112"/>
        <v>0</v>
      </c>
      <c r="V433" s="2305">
        <f t="shared" si="113"/>
        <v>0</v>
      </c>
      <c r="W433" s="2300"/>
      <c r="X433" s="2305">
        <f t="shared" si="114"/>
        <v>0</v>
      </c>
      <c r="Y433" s="2305">
        <f t="shared" si="115"/>
        <v>0</v>
      </c>
      <c r="Z433" s="2300"/>
    </row>
    <row r="434" spans="1:26">
      <c r="A434" s="292" t="str">
        <f>'7.15'!B412</f>
        <v>9幢1单元2701室</v>
      </c>
      <c r="B434" s="207">
        <f>'7.17'!G412</f>
        <v>137.88</v>
      </c>
      <c r="C434" s="197">
        <f t="shared" si="104"/>
        <v>0.98</v>
      </c>
      <c r="D434" s="995" t="s">
        <v>7608</v>
      </c>
      <c r="E434" s="197">
        <f t="shared" si="105"/>
        <v>1.02</v>
      </c>
      <c r="F434" s="995" t="str">
        <f>'7.15'!D412</f>
        <v>平层</v>
      </c>
      <c r="G434" s="197">
        <f t="shared" si="106"/>
        <v>1</v>
      </c>
      <c r="H434" s="995" t="str">
        <f>'7.15'!E412</f>
        <v>南北东</v>
      </c>
      <c r="I434" s="197">
        <f t="shared" si="107"/>
        <v>1.02</v>
      </c>
      <c r="J434" s="995"/>
      <c r="K434" s="197">
        <f t="shared" si="108"/>
        <v>1</v>
      </c>
      <c r="L434" s="995"/>
      <c r="M434" s="197">
        <f t="shared" si="109"/>
        <v>1</v>
      </c>
      <c r="N434" s="995"/>
      <c r="O434" s="197">
        <f t="shared" si="110"/>
        <v>1</v>
      </c>
      <c r="P434" s="995"/>
      <c r="Q434" s="197">
        <f t="shared" si="111"/>
        <v>1</v>
      </c>
      <c r="R434" s="991">
        <f t="shared" ca="1" si="116"/>
        <v>16244</v>
      </c>
      <c r="S434" s="552">
        <f t="shared" ca="1" si="117"/>
        <v>2239723</v>
      </c>
      <c r="T434" s="2010">
        <f t="shared" ca="1" si="118"/>
        <v>224</v>
      </c>
      <c r="U434" s="2305">
        <f t="shared" si="112"/>
        <v>0</v>
      </c>
      <c r="V434" s="2305">
        <f t="shared" si="113"/>
        <v>0</v>
      </c>
      <c r="W434" s="2300"/>
      <c r="X434" s="2305">
        <f t="shared" si="114"/>
        <v>0</v>
      </c>
      <c r="Y434" s="2305">
        <f t="shared" si="115"/>
        <v>0</v>
      </c>
      <c r="Z434" s="2300"/>
    </row>
    <row r="435" spans="1:26">
      <c r="A435" s="292" t="str">
        <f>'7.15'!B413</f>
        <v>9幢1单元2801室</v>
      </c>
      <c r="B435" s="207">
        <f>'7.17'!G413</f>
        <v>137.88</v>
      </c>
      <c r="C435" s="197">
        <f t="shared" si="104"/>
        <v>0.98</v>
      </c>
      <c r="D435" s="995" t="s">
        <v>7608</v>
      </c>
      <c r="E435" s="197">
        <f t="shared" si="105"/>
        <v>1.02</v>
      </c>
      <c r="F435" s="995" t="str">
        <f>'7.15'!D413</f>
        <v>平层</v>
      </c>
      <c r="G435" s="197">
        <f t="shared" si="106"/>
        <v>1</v>
      </c>
      <c r="H435" s="995" t="str">
        <f>'7.15'!E413</f>
        <v>南北东</v>
      </c>
      <c r="I435" s="197">
        <f t="shared" si="107"/>
        <v>1.02</v>
      </c>
      <c r="J435" s="995"/>
      <c r="K435" s="197">
        <f t="shared" si="108"/>
        <v>1</v>
      </c>
      <c r="L435" s="995"/>
      <c r="M435" s="197">
        <f t="shared" si="109"/>
        <v>1</v>
      </c>
      <c r="N435" s="995"/>
      <c r="O435" s="197">
        <f t="shared" si="110"/>
        <v>1</v>
      </c>
      <c r="P435" s="995"/>
      <c r="Q435" s="197">
        <f t="shared" si="111"/>
        <v>1</v>
      </c>
      <c r="R435" s="991">
        <f t="shared" ca="1" si="116"/>
        <v>16244</v>
      </c>
      <c r="S435" s="552">
        <f t="shared" ca="1" si="117"/>
        <v>2239723</v>
      </c>
      <c r="T435" s="2010">
        <f t="shared" ca="1" si="118"/>
        <v>224</v>
      </c>
      <c r="U435" s="2305">
        <f t="shared" si="112"/>
        <v>0</v>
      </c>
      <c r="V435" s="2305">
        <f t="shared" si="113"/>
        <v>0</v>
      </c>
      <c r="W435" s="2300"/>
      <c r="X435" s="2305">
        <f t="shared" si="114"/>
        <v>0</v>
      </c>
      <c r="Y435" s="2305">
        <f t="shared" si="115"/>
        <v>0</v>
      </c>
      <c r="Z435" s="2300"/>
    </row>
    <row r="436" spans="1:26">
      <c r="A436" s="292" t="str">
        <f>'7.15'!B414</f>
        <v>9幢1单元2901室</v>
      </c>
      <c r="B436" s="207">
        <f>'7.17'!G414</f>
        <v>137.88</v>
      </c>
      <c r="C436" s="197">
        <f t="shared" si="104"/>
        <v>0.98</v>
      </c>
      <c r="D436" s="995" t="s">
        <v>7608</v>
      </c>
      <c r="E436" s="197">
        <f t="shared" si="105"/>
        <v>1.02</v>
      </c>
      <c r="F436" s="995" t="str">
        <f>'7.15'!D414</f>
        <v>平层</v>
      </c>
      <c r="G436" s="197">
        <f t="shared" si="106"/>
        <v>1</v>
      </c>
      <c r="H436" s="995" t="str">
        <f>'7.15'!E414</f>
        <v>南北东</v>
      </c>
      <c r="I436" s="197">
        <f t="shared" si="107"/>
        <v>1.02</v>
      </c>
      <c r="J436" s="995"/>
      <c r="K436" s="197">
        <f t="shared" si="108"/>
        <v>1</v>
      </c>
      <c r="L436" s="995"/>
      <c r="M436" s="197">
        <f t="shared" si="109"/>
        <v>1</v>
      </c>
      <c r="N436" s="995"/>
      <c r="O436" s="197">
        <f t="shared" si="110"/>
        <v>1</v>
      </c>
      <c r="P436" s="995"/>
      <c r="Q436" s="197">
        <f t="shared" si="111"/>
        <v>1</v>
      </c>
      <c r="R436" s="991">
        <f t="shared" ca="1" si="116"/>
        <v>16244</v>
      </c>
      <c r="S436" s="552">
        <f t="shared" ca="1" si="117"/>
        <v>2239723</v>
      </c>
      <c r="T436" s="2010">
        <f t="shared" ca="1" si="118"/>
        <v>224</v>
      </c>
      <c r="U436" s="2305">
        <f t="shared" si="112"/>
        <v>0</v>
      </c>
      <c r="V436" s="2305">
        <f t="shared" si="113"/>
        <v>0</v>
      </c>
      <c r="W436" s="2300"/>
      <c r="X436" s="2305">
        <f t="shared" si="114"/>
        <v>0</v>
      </c>
      <c r="Y436" s="2305">
        <f t="shared" si="115"/>
        <v>0</v>
      </c>
      <c r="Z436" s="2300"/>
    </row>
    <row r="437" spans="1:26">
      <c r="A437" s="292" t="str">
        <f>'7.15'!B415</f>
        <v>9幢1单元3001室</v>
      </c>
      <c r="B437" s="207">
        <f>'7.17'!G415</f>
        <v>123.76</v>
      </c>
      <c r="C437" s="197">
        <f t="shared" si="104"/>
        <v>0.98</v>
      </c>
      <c r="D437" s="995" t="s">
        <v>7608</v>
      </c>
      <c r="E437" s="197">
        <f t="shared" si="105"/>
        <v>1.02</v>
      </c>
      <c r="F437" s="995" t="str">
        <f>'7.15'!D415</f>
        <v>平层</v>
      </c>
      <c r="G437" s="197">
        <f t="shared" si="106"/>
        <v>1</v>
      </c>
      <c r="H437" s="995" t="str">
        <f>'7.15'!E415</f>
        <v>南北东</v>
      </c>
      <c r="I437" s="197">
        <f t="shared" si="107"/>
        <v>1.02</v>
      </c>
      <c r="J437" s="995"/>
      <c r="K437" s="197">
        <f t="shared" si="108"/>
        <v>1</v>
      </c>
      <c r="L437" s="995"/>
      <c r="M437" s="197">
        <f t="shared" si="109"/>
        <v>1</v>
      </c>
      <c r="N437" s="995"/>
      <c r="O437" s="197">
        <f t="shared" si="110"/>
        <v>1</v>
      </c>
      <c r="P437" s="995"/>
      <c r="Q437" s="197">
        <f t="shared" si="111"/>
        <v>1</v>
      </c>
      <c r="R437" s="991">
        <f t="shared" ca="1" si="116"/>
        <v>16244</v>
      </c>
      <c r="S437" s="552">
        <f t="shared" ca="1" si="117"/>
        <v>2010357</v>
      </c>
      <c r="T437" s="2010">
        <f t="shared" ca="1" si="118"/>
        <v>201</v>
      </c>
      <c r="U437" s="2305">
        <f t="shared" si="112"/>
        <v>0</v>
      </c>
      <c r="V437" s="2305">
        <f t="shared" si="113"/>
        <v>0</v>
      </c>
      <c r="W437" s="2300"/>
      <c r="X437" s="2305">
        <f t="shared" si="114"/>
        <v>0</v>
      </c>
      <c r="Y437" s="2305">
        <f t="shared" si="115"/>
        <v>0</v>
      </c>
      <c r="Z437" s="2300"/>
    </row>
    <row r="438" spans="1:26">
      <c r="A438" s="292" t="str">
        <f>'7.15'!B416</f>
        <v>9幢1单元202室</v>
      </c>
      <c r="B438" s="207">
        <f>'7.17'!G416</f>
        <v>88.06</v>
      </c>
      <c r="C438" s="197">
        <f t="shared" si="104"/>
        <v>1</v>
      </c>
      <c r="D438" s="995" t="s">
        <v>7606</v>
      </c>
      <c r="E438" s="197">
        <f t="shared" si="105"/>
        <v>1</v>
      </c>
      <c r="F438" s="995" t="str">
        <f>'7.15'!D416</f>
        <v>平层</v>
      </c>
      <c r="G438" s="197">
        <f t="shared" si="106"/>
        <v>1</v>
      </c>
      <c r="H438" s="995" t="str">
        <f>'7.15'!E416</f>
        <v>南北</v>
      </c>
      <c r="I438" s="197">
        <f t="shared" si="107"/>
        <v>1</v>
      </c>
      <c r="J438" s="995"/>
      <c r="K438" s="197">
        <f t="shared" si="108"/>
        <v>1</v>
      </c>
      <c r="L438" s="995"/>
      <c r="M438" s="197">
        <f t="shared" si="109"/>
        <v>1</v>
      </c>
      <c r="N438" s="995"/>
      <c r="O438" s="197">
        <f t="shared" si="110"/>
        <v>1</v>
      </c>
      <c r="P438" s="995"/>
      <c r="Q438" s="197">
        <f t="shared" si="111"/>
        <v>1</v>
      </c>
      <c r="R438" s="991">
        <f t="shared" ca="1" si="116"/>
        <v>15932</v>
      </c>
      <c r="S438" s="552">
        <f t="shared" ca="1" si="117"/>
        <v>1402972</v>
      </c>
      <c r="T438" s="2010">
        <f t="shared" ca="1" si="118"/>
        <v>140</v>
      </c>
      <c r="U438" s="2305">
        <f t="shared" si="112"/>
        <v>0</v>
      </c>
      <c r="V438" s="2305">
        <f t="shared" si="113"/>
        <v>0</v>
      </c>
      <c r="W438" s="2300"/>
      <c r="X438" s="2305">
        <f t="shared" si="114"/>
        <v>0</v>
      </c>
      <c r="Y438" s="2305">
        <f t="shared" si="115"/>
        <v>0</v>
      </c>
      <c r="Z438" s="2300"/>
    </row>
    <row r="439" spans="1:26">
      <c r="A439" s="292" t="str">
        <f>'7.15'!B417</f>
        <v>9幢1单元302室</v>
      </c>
      <c r="B439" s="207">
        <f>'7.17'!G417</f>
        <v>88.06</v>
      </c>
      <c r="C439" s="197">
        <f t="shared" si="104"/>
        <v>1</v>
      </c>
      <c r="D439" s="995" t="s">
        <v>7606</v>
      </c>
      <c r="E439" s="197">
        <f t="shared" si="105"/>
        <v>1</v>
      </c>
      <c r="F439" s="995" t="str">
        <f>'7.15'!D417</f>
        <v>平层</v>
      </c>
      <c r="G439" s="197">
        <f t="shared" si="106"/>
        <v>1</v>
      </c>
      <c r="H439" s="995" t="str">
        <f>'7.15'!E417</f>
        <v>南北</v>
      </c>
      <c r="I439" s="197">
        <f t="shared" si="107"/>
        <v>1</v>
      </c>
      <c r="J439" s="995"/>
      <c r="K439" s="197">
        <f t="shared" si="108"/>
        <v>1</v>
      </c>
      <c r="L439" s="995"/>
      <c r="M439" s="197">
        <f t="shared" si="109"/>
        <v>1</v>
      </c>
      <c r="N439" s="995"/>
      <c r="O439" s="197">
        <f t="shared" si="110"/>
        <v>1</v>
      </c>
      <c r="P439" s="995"/>
      <c r="Q439" s="197">
        <f t="shared" si="111"/>
        <v>1</v>
      </c>
      <c r="R439" s="991">
        <f t="shared" ca="1" si="116"/>
        <v>15932</v>
      </c>
      <c r="S439" s="552">
        <f t="shared" ca="1" si="117"/>
        <v>1402972</v>
      </c>
      <c r="T439" s="2010">
        <f t="shared" ca="1" si="118"/>
        <v>140</v>
      </c>
      <c r="U439" s="2305">
        <f t="shared" si="112"/>
        <v>0</v>
      </c>
      <c r="V439" s="2305">
        <f t="shared" si="113"/>
        <v>0</v>
      </c>
      <c r="W439" s="2300"/>
      <c r="X439" s="2305">
        <f t="shared" si="114"/>
        <v>0</v>
      </c>
      <c r="Y439" s="2305">
        <f t="shared" si="115"/>
        <v>0</v>
      </c>
      <c r="Z439" s="2300"/>
    </row>
    <row r="440" spans="1:26">
      <c r="A440" s="292" t="str">
        <f>'7.15'!B418</f>
        <v>9幢1单元402室</v>
      </c>
      <c r="B440" s="207">
        <f>'7.17'!G418</f>
        <v>88.06</v>
      </c>
      <c r="C440" s="197">
        <f t="shared" si="104"/>
        <v>1</v>
      </c>
      <c r="D440" s="995" t="s">
        <v>7606</v>
      </c>
      <c r="E440" s="197">
        <f t="shared" si="105"/>
        <v>1</v>
      </c>
      <c r="F440" s="995" t="str">
        <f>'7.15'!D418</f>
        <v>平层</v>
      </c>
      <c r="G440" s="197">
        <f t="shared" si="106"/>
        <v>1</v>
      </c>
      <c r="H440" s="995" t="str">
        <f>'7.15'!E418</f>
        <v>南北</v>
      </c>
      <c r="I440" s="197">
        <f t="shared" si="107"/>
        <v>1</v>
      </c>
      <c r="J440" s="995"/>
      <c r="K440" s="197">
        <f t="shared" si="108"/>
        <v>1</v>
      </c>
      <c r="L440" s="995"/>
      <c r="M440" s="197">
        <f t="shared" si="109"/>
        <v>1</v>
      </c>
      <c r="N440" s="995"/>
      <c r="O440" s="197">
        <f t="shared" si="110"/>
        <v>1</v>
      </c>
      <c r="P440" s="995"/>
      <c r="Q440" s="197">
        <f t="shared" si="111"/>
        <v>1</v>
      </c>
      <c r="R440" s="991">
        <f t="shared" ca="1" si="116"/>
        <v>15932</v>
      </c>
      <c r="S440" s="552">
        <f t="shared" ca="1" si="117"/>
        <v>1402972</v>
      </c>
      <c r="T440" s="2010">
        <f t="shared" ca="1" si="118"/>
        <v>140</v>
      </c>
      <c r="U440" s="2305">
        <f t="shared" si="112"/>
        <v>0</v>
      </c>
      <c r="V440" s="2305">
        <f t="shared" si="113"/>
        <v>0</v>
      </c>
      <c r="W440" s="2300"/>
      <c r="X440" s="2305">
        <f t="shared" si="114"/>
        <v>0</v>
      </c>
      <c r="Y440" s="2305">
        <f t="shared" si="115"/>
        <v>0</v>
      </c>
      <c r="Z440" s="2300"/>
    </row>
    <row r="441" spans="1:26">
      <c r="A441" s="292" t="str">
        <f>'7.15'!B419</f>
        <v>9幢1单元502室</v>
      </c>
      <c r="B441" s="207">
        <f>'7.17'!G419</f>
        <v>88.06</v>
      </c>
      <c r="C441" s="197">
        <f t="shared" si="104"/>
        <v>1</v>
      </c>
      <c r="D441" s="995" t="s">
        <v>7606</v>
      </c>
      <c r="E441" s="197">
        <f t="shared" si="105"/>
        <v>1</v>
      </c>
      <c r="F441" s="995" t="str">
        <f>'7.15'!D419</f>
        <v>平层</v>
      </c>
      <c r="G441" s="197">
        <f t="shared" si="106"/>
        <v>1</v>
      </c>
      <c r="H441" s="995" t="str">
        <f>'7.15'!E419</f>
        <v>南北</v>
      </c>
      <c r="I441" s="197">
        <f t="shared" si="107"/>
        <v>1</v>
      </c>
      <c r="J441" s="995"/>
      <c r="K441" s="197">
        <f t="shared" si="108"/>
        <v>1</v>
      </c>
      <c r="L441" s="995"/>
      <c r="M441" s="197">
        <f t="shared" si="109"/>
        <v>1</v>
      </c>
      <c r="N441" s="995"/>
      <c r="O441" s="197">
        <f t="shared" si="110"/>
        <v>1</v>
      </c>
      <c r="P441" s="995"/>
      <c r="Q441" s="197">
        <f t="shared" si="111"/>
        <v>1</v>
      </c>
      <c r="R441" s="991">
        <f t="shared" ca="1" si="116"/>
        <v>15932</v>
      </c>
      <c r="S441" s="552">
        <f t="shared" ca="1" si="117"/>
        <v>1402972</v>
      </c>
      <c r="T441" s="2010">
        <f t="shared" ca="1" si="118"/>
        <v>140</v>
      </c>
      <c r="U441" s="2305">
        <f t="shared" si="112"/>
        <v>0</v>
      </c>
      <c r="V441" s="2305">
        <f t="shared" si="113"/>
        <v>0</v>
      </c>
      <c r="W441" s="2300"/>
      <c r="X441" s="2305">
        <f t="shared" si="114"/>
        <v>0</v>
      </c>
      <c r="Y441" s="2305">
        <f t="shared" si="115"/>
        <v>0</v>
      </c>
      <c r="Z441" s="2300"/>
    </row>
    <row r="442" spans="1:26">
      <c r="A442" s="292" t="str">
        <f>'7.15'!B420</f>
        <v>9幢1单元602室</v>
      </c>
      <c r="B442" s="207">
        <f>'7.17'!G420</f>
        <v>88.06</v>
      </c>
      <c r="C442" s="197">
        <f t="shared" si="104"/>
        <v>1</v>
      </c>
      <c r="D442" s="995" t="s">
        <v>7606</v>
      </c>
      <c r="E442" s="197">
        <f t="shared" si="105"/>
        <v>1</v>
      </c>
      <c r="F442" s="995" t="str">
        <f>'7.15'!D420</f>
        <v>平层</v>
      </c>
      <c r="G442" s="197">
        <f t="shared" si="106"/>
        <v>1</v>
      </c>
      <c r="H442" s="995" t="str">
        <f>'7.15'!E420</f>
        <v>南北</v>
      </c>
      <c r="I442" s="197">
        <f t="shared" si="107"/>
        <v>1</v>
      </c>
      <c r="J442" s="995"/>
      <c r="K442" s="197">
        <f t="shared" si="108"/>
        <v>1</v>
      </c>
      <c r="L442" s="995"/>
      <c r="M442" s="197">
        <f t="shared" si="109"/>
        <v>1</v>
      </c>
      <c r="N442" s="995"/>
      <c r="O442" s="197">
        <f t="shared" si="110"/>
        <v>1</v>
      </c>
      <c r="P442" s="995"/>
      <c r="Q442" s="197">
        <f t="shared" si="111"/>
        <v>1</v>
      </c>
      <c r="R442" s="991">
        <f t="shared" ca="1" si="116"/>
        <v>15932</v>
      </c>
      <c r="S442" s="552">
        <f t="shared" ca="1" si="117"/>
        <v>1402972</v>
      </c>
      <c r="T442" s="2010">
        <f t="shared" ca="1" si="118"/>
        <v>140</v>
      </c>
      <c r="U442" s="2305">
        <f t="shared" si="112"/>
        <v>0</v>
      </c>
      <c r="V442" s="2305">
        <f t="shared" si="113"/>
        <v>0</v>
      </c>
      <c r="W442" s="2300"/>
      <c r="X442" s="2305">
        <f t="shared" si="114"/>
        <v>0</v>
      </c>
      <c r="Y442" s="2305">
        <f t="shared" si="115"/>
        <v>0</v>
      </c>
      <c r="Z442" s="2300"/>
    </row>
    <row r="443" spans="1:26">
      <c r="A443" s="292" t="str">
        <f>'7.15'!B421</f>
        <v>9幢1单元702室</v>
      </c>
      <c r="B443" s="207">
        <f>'7.17'!G421</f>
        <v>88.06</v>
      </c>
      <c r="C443" s="197">
        <f t="shared" si="104"/>
        <v>1</v>
      </c>
      <c r="D443" s="995" t="s">
        <v>7606</v>
      </c>
      <c r="E443" s="197">
        <f t="shared" si="105"/>
        <v>1</v>
      </c>
      <c r="F443" s="995" t="str">
        <f>'7.15'!D421</f>
        <v>平层</v>
      </c>
      <c r="G443" s="197">
        <f t="shared" si="106"/>
        <v>1</v>
      </c>
      <c r="H443" s="995" t="str">
        <f>'7.15'!E421</f>
        <v>南北</v>
      </c>
      <c r="I443" s="197">
        <f t="shared" si="107"/>
        <v>1</v>
      </c>
      <c r="J443" s="995"/>
      <c r="K443" s="197">
        <f t="shared" si="108"/>
        <v>1</v>
      </c>
      <c r="L443" s="995"/>
      <c r="M443" s="197">
        <f t="shared" si="109"/>
        <v>1</v>
      </c>
      <c r="N443" s="995"/>
      <c r="O443" s="197">
        <f t="shared" si="110"/>
        <v>1</v>
      </c>
      <c r="P443" s="995"/>
      <c r="Q443" s="197">
        <f t="shared" si="111"/>
        <v>1</v>
      </c>
      <c r="R443" s="991">
        <f t="shared" ca="1" si="116"/>
        <v>15932</v>
      </c>
      <c r="S443" s="552">
        <f t="shared" ca="1" si="117"/>
        <v>1402972</v>
      </c>
      <c r="T443" s="2010">
        <f t="shared" ca="1" si="118"/>
        <v>140</v>
      </c>
      <c r="U443" s="2305">
        <f t="shared" si="112"/>
        <v>0</v>
      </c>
      <c r="V443" s="2305">
        <f t="shared" si="113"/>
        <v>0</v>
      </c>
      <c r="W443" s="2300"/>
      <c r="X443" s="2305">
        <f t="shared" si="114"/>
        <v>0</v>
      </c>
      <c r="Y443" s="2305">
        <f t="shared" si="115"/>
        <v>0</v>
      </c>
      <c r="Z443" s="2300"/>
    </row>
    <row r="444" spans="1:26">
      <c r="A444" s="292" t="str">
        <f>'7.15'!B422</f>
        <v>9幢1单元802室</v>
      </c>
      <c r="B444" s="207">
        <f>'7.17'!G422</f>
        <v>88.06</v>
      </c>
      <c r="C444" s="197">
        <f t="shared" si="104"/>
        <v>1</v>
      </c>
      <c r="D444" s="995" t="s">
        <v>7606</v>
      </c>
      <c r="E444" s="197">
        <f t="shared" si="105"/>
        <v>1</v>
      </c>
      <c r="F444" s="995" t="str">
        <f>'7.15'!D422</f>
        <v>平层</v>
      </c>
      <c r="G444" s="197">
        <f t="shared" si="106"/>
        <v>1</v>
      </c>
      <c r="H444" s="995" t="str">
        <f>'7.15'!E422</f>
        <v>南北</v>
      </c>
      <c r="I444" s="197">
        <f t="shared" si="107"/>
        <v>1</v>
      </c>
      <c r="J444" s="995"/>
      <c r="K444" s="197">
        <f t="shared" si="108"/>
        <v>1</v>
      </c>
      <c r="L444" s="995"/>
      <c r="M444" s="197">
        <f t="shared" si="109"/>
        <v>1</v>
      </c>
      <c r="N444" s="995"/>
      <c r="O444" s="197">
        <f t="shared" si="110"/>
        <v>1</v>
      </c>
      <c r="P444" s="995"/>
      <c r="Q444" s="197">
        <f t="shared" si="111"/>
        <v>1</v>
      </c>
      <c r="R444" s="991">
        <f t="shared" ca="1" si="116"/>
        <v>15932</v>
      </c>
      <c r="S444" s="552">
        <f t="shared" ca="1" si="117"/>
        <v>1402972</v>
      </c>
      <c r="T444" s="2010">
        <f t="shared" ca="1" si="118"/>
        <v>140</v>
      </c>
      <c r="U444" s="2305">
        <f t="shared" si="112"/>
        <v>0</v>
      </c>
      <c r="V444" s="2305">
        <f t="shared" si="113"/>
        <v>0</v>
      </c>
      <c r="W444" s="2300"/>
      <c r="X444" s="2305">
        <f t="shared" si="114"/>
        <v>0</v>
      </c>
      <c r="Y444" s="2305">
        <f t="shared" si="115"/>
        <v>0</v>
      </c>
      <c r="Z444" s="2300"/>
    </row>
    <row r="445" spans="1:26">
      <c r="A445" s="292" t="str">
        <f>'7.15'!B423</f>
        <v>9幢1单元902室</v>
      </c>
      <c r="B445" s="207">
        <f>'7.17'!G423</f>
        <v>88.06</v>
      </c>
      <c r="C445" s="197">
        <f t="shared" si="104"/>
        <v>1</v>
      </c>
      <c r="D445" s="995" t="s">
        <v>7606</v>
      </c>
      <c r="E445" s="197">
        <f t="shared" si="105"/>
        <v>1</v>
      </c>
      <c r="F445" s="995" t="str">
        <f>'7.15'!D423</f>
        <v>平层</v>
      </c>
      <c r="G445" s="197">
        <f t="shared" si="106"/>
        <v>1</v>
      </c>
      <c r="H445" s="995" t="str">
        <f>'7.15'!E423</f>
        <v>南北</v>
      </c>
      <c r="I445" s="197">
        <f t="shared" si="107"/>
        <v>1</v>
      </c>
      <c r="J445" s="995"/>
      <c r="K445" s="197">
        <f t="shared" si="108"/>
        <v>1</v>
      </c>
      <c r="L445" s="995"/>
      <c r="M445" s="197">
        <f t="shared" si="109"/>
        <v>1</v>
      </c>
      <c r="N445" s="995"/>
      <c r="O445" s="197">
        <f t="shared" si="110"/>
        <v>1</v>
      </c>
      <c r="P445" s="995"/>
      <c r="Q445" s="197">
        <f t="shared" si="111"/>
        <v>1</v>
      </c>
      <c r="R445" s="991">
        <f t="shared" ca="1" si="116"/>
        <v>15932</v>
      </c>
      <c r="S445" s="552">
        <f t="shared" ca="1" si="117"/>
        <v>1402972</v>
      </c>
      <c r="T445" s="2010">
        <f t="shared" ca="1" si="118"/>
        <v>140</v>
      </c>
      <c r="U445" s="2305">
        <f t="shared" si="112"/>
        <v>0</v>
      </c>
      <c r="V445" s="2305">
        <f t="shared" si="113"/>
        <v>0</v>
      </c>
      <c r="W445" s="2300"/>
      <c r="X445" s="2305">
        <f t="shared" si="114"/>
        <v>0</v>
      </c>
      <c r="Y445" s="2305">
        <f t="shared" si="115"/>
        <v>0</v>
      </c>
      <c r="Z445" s="2300"/>
    </row>
    <row r="446" spans="1:26">
      <c r="A446" s="292" t="str">
        <f>'7.15'!B424</f>
        <v>9幢1单元1002室</v>
      </c>
      <c r="B446" s="207">
        <f>'7.17'!G424</f>
        <v>88.06</v>
      </c>
      <c r="C446" s="197">
        <f t="shared" si="104"/>
        <v>1</v>
      </c>
      <c r="D446" s="995" t="s">
        <v>7606</v>
      </c>
      <c r="E446" s="197">
        <f t="shared" si="105"/>
        <v>1</v>
      </c>
      <c r="F446" s="995" t="str">
        <f>'7.15'!D424</f>
        <v>平层</v>
      </c>
      <c r="G446" s="197">
        <f t="shared" si="106"/>
        <v>1</v>
      </c>
      <c r="H446" s="995" t="str">
        <f>'7.15'!E424</f>
        <v>南北</v>
      </c>
      <c r="I446" s="197">
        <f t="shared" si="107"/>
        <v>1</v>
      </c>
      <c r="J446" s="995"/>
      <c r="K446" s="197">
        <f t="shared" si="108"/>
        <v>1</v>
      </c>
      <c r="L446" s="995"/>
      <c r="M446" s="197">
        <f t="shared" si="109"/>
        <v>1</v>
      </c>
      <c r="N446" s="995"/>
      <c r="O446" s="197">
        <f t="shared" si="110"/>
        <v>1</v>
      </c>
      <c r="P446" s="995"/>
      <c r="Q446" s="197">
        <f t="shared" si="111"/>
        <v>1</v>
      </c>
      <c r="R446" s="991">
        <f t="shared" ca="1" si="116"/>
        <v>15932</v>
      </c>
      <c r="S446" s="552">
        <f t="shared" ca="1" si="117"/>
        <v>1402972</v>
      </c>
      <c r="T446" s="2010">
        <f t="shared" ca="1" si="118"/>
        <v>140</v>
      </c>
      <c r="U446" s="2305">
        <f t="shared" si="112"/>
        <v>0</v>
      </c>
      <c r="V446" s="2305">
        <f t="shared" si="113"/>
        <v>0</v>
      </c>
      <c r="W446" s="2300"/>
      <c r="X446" s="2305">
        <f t="shared" si="114"/>
        <v>0</v>
      </c>
      <c r="Y446" s="2305">
        <f t="shared" si="115"/>
        <v>0</v>
      </c>
      <c r="Z446" s="2300"/>
    </row>
    <row r="447" spans="1:26">
      <c r="A447" s="292" t="str">
        <f>'7.15'!B425</f>
        <v>9幢1单元1102室</v>
      </c>
      <c r="B447" s="207">
        <f>'7.17'!G425</f>
        <v>88.06</v>
      </c>
      <c r="C447" s="197">
        <f t="shared" si="104"/>
        <v>1</v>
      </c>
      <c r="D447" s="995" t="s">
        <v>7609</v>
      </c>
      <c r="E447" s="197">
        <f t="shared" si="105"/>
        <v>1.04</v>
      </c>
      <c r="F447" s="995" t="str">
        <f>'7.15'!D425</f>
        <v>平层</v>
      </c>
      <c r="G447" s="197">
        <f t="shared" si="106"/>
        <v>1</v>
      </c>
      <c r="H447" s="995" t="str">
        <f>'7.15'!E425</f>
        <v>南北</v>
      </c>
      <c r="I447" s="197">
        <f t="shared" si="107"/>
        <v>1</v>
      </c>
      <c r="J447" s="995"/>
      <c r="K447" s="197">
        <f t="shared" si="108"/>
        <v>1</v>
      </c>
      <c r="L447" s="995"/>
      <c r="M447" s="197">
        <f t="shared" si="109"/>
        <v>1</v>
      </c>
      <c r="N447" s="995"/>
      <c r="O447" s="197">
        <f t="shared" si="110"/>
        <v>1</v>
      </c>
      <c r="P447" s="995"/>
      <c r="Q447" s="197">
        <f t="shared" si="111"/>
        <v>1</v>
      </c>
      <c r="R447" s="991">
        <f t="shared" ca="1" si="116"/>
        <v>16569</v>
      </c>
      <c r="S447" s="552">
        <f t="shared" ca="1" si="117"/>
        <v>1459066</v>
      </c>
      <c r="T447" s="2010">
        <f t="shared" ca="1" si="118"/>
        <v>146</v>
      </c>
      <c r="U447" s="2305">
        <f t="shared" si="112"/>
        <v>0</v>
      </c>
      <c r="V447" s="2305">
        <f t="shared" si="113"/>
        <v>0</v>
      </c>
      <c r="W447" s="2300"/>
      <c r="X447" s="2305">
        <f t="shared" si="114"/>
        <v>0</v>
      </c>
      <c r="Y447" s="2305">
        <f t="shared" si="115"/>
        <v>0</v>
      </c>
      <c r="Z447" s="2300"/>
    </row>
    <row r="448" spans="1:26">
      <c r="A448" s="292" t="str">
        <f>'7.15'!B426</f>
        <v>9幢1单元1202室</v>
      </c>
      <c r="B448" s="207">
        <f>'7.17'!G426</f>
        <v>88.06</v>
      </c>
      <c r="C448" s="197">
        <f t="shared" si="104"/>
        <v>1</v>
      </c>
      <c r="D448" s="995" t="s">
        <v>7609</v>
      </c>
      <c r="E448" s="197">
        <f t="shared" si="105"/>
        <v>1.04</v>
      </c>
      <c r="F448" s="995" t="str">
        <f>'7.15'!D426</f>
        <v>平层</v>
      </c>
      <c r="G448" s="197">
        <f t="shared" si="106"/>
        <v>1</v>
      </c>
      <c r="H448" s="995" t="str">
        <f>'7.15'!E426</f>
        <v>南北</v>
      </c>
      <c r="I448" s="197">
        <f t="shared" si="107"/>
        <v>1</v>
      </c>
      <c r="J448" s="995"/>
      <c r="K448" s="197">
        <f t="shared" si="108"/>
        <v>1</v>
      </c>
      <c r="L448" s="995"/>
      <c r="M448" s="197">
        <f t="shared" si="109"/>
        <v>1</v>
      </c>
      <c r="N448" s="995"/>
      <c r="O448" s="197">
        <f t="shared" si="110"/>
        <v>1</v>
      </c>
      <c r="P448" s="995"/>
      <c r="Q448" s="197">
        <f t="shared" si="111"/>
        <v>1</v>
      </c>
      <c r="R448" s="991">
        <f t="shared" ca="1" si="116"/>
        <v>16569</v>
      </c>
      <c r="S448" s="552">
        <f t="shared" ca="1" si="117"/>
        <v>1459066</v>
      </c>
      <c r="T448" s="2010">
        <f t="shared" ca="1" si="118"/>
        <v>146</v>
      </c>
      <c r="U448" s="2305">
        <f t="shared" si="112"/>
        <v>0</v>
      </c>
      <c r="V448" s="2305">
        <f t="shared" si="113"/>
        <v>0</v>
      </c>
      <c r="W448" s="2300"/>
      <c r="X448" s="2305">
        <f t="shared" si="114"/>
        <v>0</v>
      </c>
      <c r="Y448" s="2305">
        <f t="shared" si="115"/>
        <v>0</v>
      </c>
      <c r="Z448" s="2300"/>
    </row>
    <row r="449" spans="1:26">
      <c r="A449" s="292" t="str">
        <f>'7.15'!B427</f>
        <v>9幢1单元1302室</v>
      </c>
      <c r="B449" s="207">
        <f>'7.17'!G427</f>
        <v>88.06</v>
      </c>
      <c r="C449" s="197">
        <f t="shared" si="104"/>
        <v>1</v>
      </c>
      <c r="D449" s="995" t="s">
        <v>7609</v>
      </c>
      <c r="E449" s="197">
        <f t="shared" si="105"/>
        <v>1.04</v>
      </c>
      <c r="F449" s="995" t="str">
        <f>'7.15'!D427</f>
        <v>平层</v>
      </c>
      <c r="G449" s="197">
        <f t="shared" si="106"/>
        <v>1</v>
      </c>
      <c r="H449" s="995" t="str">
        <f>'7.15'!E427</f>
        <v>南北</v>
      </c>
      <c r="I449" s="197">
        <f t="shared" si="107"/>
        <v>1</v>
      </c>
      <c r="J449" s="995"/>
      <c r="K449" s="197">
        <f t="shared" si="108"/>
        <v>1</v>
      </c>
      <c r="L449" s="995"/>
      <c r="M449" s="197">
        <f t="shared" si="109"/>
        <v>1</v>
      </c>
      <c r="N449" s="995"/>
      <c r="O449" s="197">
        <f t="shared" si="110"/>
        <v>1</v>
      </c>
      <c r="P449" s="995"/>
      <c r="Q449" s="197">
        <f t="shared" si="111"/>
        <v>1</v>
      </c>
      <c r="R449" s="991">
        <f t="shared" ca="1" si="116"/>
        <v>16569</v>
      </c>
      <c r="S449" s="552">
        <f t="shared" ca="1" si="117"/>
        <v>1459066</v>
      </c>
      <c r="T449" s="2010">
        <f t="shared" ca="1" si="118"/>
        <v>146</v>
      </c>
      <c r="U449" s="2305">
        <f t="shared" si="112"/>
        <v>0</v>
      </c>
      <c r="V449" s="2305">
        <f t="shared" si="113"/>
        <v>0</v>
      </c>
      <c r="W449" s="2300"/>
      <c r="X449" s="2305">
        <f t="shared" si="114"/>
        <v>0</v>
      </c>
      <c r="Y449" s="2305">
        <f t="shared" si="115"/>
        <v>0</v>
      </c>
      <c r="Z449" s="2300"/>
    </row>
    <row r="450" spans="1:26">
      <c r="A450" s="292" t="str">
        <f>'7.15'!B428</f>
        <v>9幢1单元1402室</v>
      </c>
      <c r="B450" s="207">
        <f>'7.17'!G428</f>
        <v>88.06</v>
      </c>
      <c r="C450" s="197">
        <f t="shared" si="104"/>
        <v>1</v>
      </c>
      <c r="D450" s="995" t="s">
        <v>7609</v>
      </c>
      <c r="E450" s="197">
        <f t="shared" si="105"/>
        <v>1.04</v>
      </c>
      <c r="F450" s="995" t="str">
        <f>'7.15'!D428</f>
        <v>平层</v>
      </c>
      <c r="G450" s="197">
        <f t="shared" si="106"/>
        <v>1</v>
      </c>
      <c r="H450" s="995" t="str">
        <f>'7.15'!E428</f>
        <v>南北</v>
      </c>
      <c r="I450" s="197">
        <f t="shared" si="107"/>
        <v>1</v>
      </c>
      <c r="J450" s="995"/>
      <c r="K450" s="197">
        <f t="shared" si="108"/>
        <v>1</v>
      </c>
      <c r="L450" s="995"/>
      <c r="M450" s="197">
        <f t="shared" si="109"/>
        <v>1</v>
      </c>
      <c r="N450" s="995"/>
      <c r="O450" s="197">
        <f t="shared" si="110"/>
        <v>1</v>
      </c>
      <c r="P450" s="995"/>
      <c r="Q450" s="197">
        <f t="shared" si="111"/>
        <v>1</v>
      </c>
      <c r="R450" s="991">
        <f t="shared" ca="1" si="116"/>
        <v>16569</v>
      </c>
      <c r="S450" s="552">
        <f t="shared" ca="1" si="117"/>
        <v>1459066</v>
      </c>
      <c r="T450" s="2010">
        <f t="shared" ca="1" si="118"/>
        <v>146</v>
      </c>
      <c r="U450" s="2305">
        <f t="shared" si="112"/>
        <v>0</v>
      </c>
      <c r="V450" s="2305">
        <f t="shared" si="113"/>
        <v>0</v>
      </c>
      <c r="W450" s="2300"/>
      <c r="X450" s="2305">
        <f t="shared" si="114"/>
        <v>0</v>
      </c>
      <c r="Y450" s="2305">
        <f t="shared" si="115"/>
        <v>0</v>
      </c>
      <c r="Z450" s="2300"/>
    </row>
    <row r="451" spans="1:26">
      <c r="A451" s="292" t="str">
        <f>'7.15'!B429</f>
        <v>9幢1单元1502室</v>
      </c>
      <c r="B451" s="207">
        <f>'7.17'!G429</f>
        <v>88.06</v>
      </c>
      <c r="C451" s="197">
        <f t="shared" si="104"/>
        <v>1</v>
      </c>
      <c r="D451" s="995" t="s">
        <v>7609</v>
      </c>
      <c r="E451" s="197">
        <f t="shared" si="105"/>
        <v>1.04</v>
      </c>
      <c r="F451" s="995" t="str">
        <f>'7.15'!D429</f>
        <v>平层</v>
      </c>
      <c r="G451" s="197">
        <f t="shared" si="106"/>
        <v>1</v>
      </c>
      <c r="H451" s="995" t="str">
        <f>'7.15'!E429</f>
        <v>南北</v>
      </c>
      <c r="I451" s="197">
        <f t="shared" si="107"/>
        <v>1</v>
      </c>
      <c r="J451" s="995"/>
      <c r="K451" s="197">
        <f t="shared" si="108"/>
        <v>1</v>
      </c>
      <c r="L451" s="995"/>
      <c r="M451" s="197">
        <f t="shared" si="109"/>
        <v>1</v>
      </c>
      <c r="N451" s="995"/>
      <c r="O451" s="197">
        <f t="shared" si="110"/>
        <v>1</v>
      </c>
      <c r="P451" s="995"/>
      <c r="Q451" s="197">
        <f t="shared" si="111"/>
        <v>1</v>
      </c>
      <c r="R451" s="991">
        <f t="shared" ca="1" si="116"/>
        <v>16569</v>
      </c>
      <c r="S451" s="552">
        <f t="shared" ca="1" si="117"/>
        <v>1459066</v>
      </c>
      <c r="T451" s="2010">
        <f t="shared" ca="1" si="118"/>
        <v>146</v>
      </c>
      <c r="U451" s="2305">
        <f t="shared" si="112"/>
        <v>0</v>
      </c>
      <c r="V451" s="2305">
        <f t="shared" si="113"/>
        <v>0</v>
      </c>
      <c r="W451" s="2300"/>
      <c r="X451" s="2305">
        <f t="shared" si="114"/>
        <v>0</v>
      </c>
      <c r="Y451" s="2305">
        <f t="shared" si="115"/>
        <v>0</v>
      </c>
      <c r="Z451" s="2300"/>
    </row>
    <row r="452" spans="1:26">
      <c r="A452" s="292" t="str">
        <f>'7.15'!B430</f>
        <v>9幢1单元1602室</v>
      </c>
      <c r="B452" s="207">
        <f>'7.17'!G430</f>
        <v>88.06</v>
      </c>
      <c r="C452" s="197">
        <f t="shared" si="104"/>
        <v>1</v>
      </c>
      <c r="D452" s="995" t="s">
        <v>7609</v>
      </c>
      <c r="E452" s="197">
        <f t="shared" si="105"/>
        <v>1.04</v>
      </c>
      <c r="F452" s="995" t="str">
        <f>'7.15'!D430</f>
        <v>平层</v>
      </c>
      <c r="G452" s="197">
        <f t="shared" si="106"/>
        <v>1</v>
      </c>
      <c r="H452" s="995" t="str">
        <f>'7.15'!E430</f>
        <v>南北</v>
      </c>
      <c r="I452" s="197">
        <f t="shared" si="107"/>
        <v>1</v>
      </c>
      <c r="J452" s="995"/>
      <c r="K452" s="197">
        <f t="shared" si="108"/>
        <v>1</v>
      </c>
      <c r="L452" s="995"/>
      <c r="M452" s="197">
        <f t="shared" si="109"/>
        <v>1</v>
      </c>
      <c r="N452" s="995"/>
      <c r="O452" s="197">
        <f t="shared" si="110"/>
        <v>1</v>
      </c>
      <c r="P452" s="995"/>
      <c r="Q452" s="197">
        <f t="shared" si="111"/>
        <v>1</v>
      </c>
      <c r="R452" s="991">
        <f t="shared" ca="1" si="116"/>
        <v>16569</v>
      </c>
      <c r="S452" s="552">
        <f t="shared" ca="1" si="117"/>
        <v>1459066</v>
      </c>
      <c r="T452" s="2010">
        <f t="shared" ca="1" si="118"/>
        <v>146</v>
      </c>
      <c r="U452" s="2305">
        <f t="shared" si="112"/>
        <v>0</v>
      </c>
      <c r="V452" s="2305">
        <f t="shared" si="113"/>
        <v>0</v>
      </c>
      <c r="W452" s="2300"/>
      <c r="X452" s="2305">
        <f t="shared" si="114"/>
        <v>0</v>
      </c>
      <c r="Y452" s="2305">
        <f t="shared" si="115"/>
        <v>0</v>
      </c>
      <c r="Z452" s="2300"/>
    </row>
    <row r="453" spans="1:26">
      <c r="A453" s="292" t="str">
        <f>'7.15'!B431</f>
        <v>9幢1单元1702室</v>
      </c>
      <c r="B453" s="207">
        <f>'7.17'!G431</f>
        <v>88.06</v>
      </c>
      <c r="C453" s="197">
        <f t="shared" si="104"/>
        <v>1</v>
      </c>
      <c r="D453" s="995" t="s">
        <v>7609</v>
      </c>
      <c r="E453" s="197">
        <f t="shared" si="105"/>
        <v>1.04</v>
      </c>
      <c r="F453" s="995" t="str">
        <f>'7.15'!D431</f>
        <v>平层</v>
      </c>
      <c r="G453" s="197">
        <f t="shared" si="106"/>
        <v>1</v>
      </c>
      <c r="H453" s="995" t="str">
        <f>'7.15'!E431</f>
        <v>南北</v>
      </c>
      <c r="I453" s="197">
        <f t="shared" si="107"/>
        <v>1</v>
      </c>
      <c r="J453" s="995"/>
      <c r="K453" s="197">
        <f t="shared" si="108"/>
        <v>1</v>
      </c>
      <c r="L453" s="995"/>
      <c r="M453" s="197">
        <f t="shared" si="109"/>
        <v>1</v>
      </c>
      <c r="N453" s="995"/>
      <c r="O453" s="197">
        <f t="shared" si="110"/>
        <v>1</v>
      </c>
      <c r="P453" s="995"/>
      <c r="Q453" s="197">
        <f t="shared" si="111"/>
        <v>1</v>
      </c>
      <c r="R453" s="991">
        <f t="shared" ca="1" si="116"/>
        <v>16569</v>
      </c>
      <c r="S453" s="552">
        <f t="shared" ca="1" si="117"/>
        <v>1459066</v>
      </c>
      <c r="T453" s="2010">
        <f t="shared" ca="1" si="118"/>
        <v>146</v>
      </c>
      <c r="U453" s="2305">
        <f t="shared" si="112"/>
        <v>0</v>
      </c>
      <c r="V453" s="2305">
        <f t="shared" si="113"/>
        <v>0</v>
      </c>
      <c r="W453" s="2300"/>
      <c r="X453" s="2305">
        <f t="shared" si="114"/>
        <v>0</v>
      </c>
      <c r="Y453" s="2305">
        <f t="shared" si="115"/>
        <v>0</v>
      </c>
      <c r="Z453" s="2300"/>
    </row>
    <row r="454" spans="1:26">
      <c r="A454" s="292" t="str">
        <f>'7.15'!B432</f>
        <v>9幢1单元1802室</v>
      </c>
      <c r="B454" s="207">
        <f>'7.17'!G432</f>
        <v>88.06</v>
      </c>
      <c r="C454" s="197">
        <f t="shared" si="104"/>
        <v>1</v>
      </c>
      <c r="D454" s="995" t="s">
        <v>7609</v>
      </c>
      <c r="E454" s="197">
        <f t="shared" si="105"/>
        <v>1.04</v>
      </c>
      <c r="F454" s="995" t="str">
        <f>'7.15'!D432</f>
        <v>平层</v>
      </c>
      <c r="G454" s="197">
        <f t="shared" si="106"/>
        <v>1</v>
      </c>
      <c r="H454" s="995" t="str">
        <f>'7.15'!E432</f>
        <v>南北</v>
      </c>
      <c r="I454" s="197">
        <f t="shared" si="107"/>
        <v>1</v>
      </c>
      <c r="J454" s="995"/>
      <c r="K454" s="197">
        <f t="shared" si="108"/>
        <v>1</v>
      </c>
      <c r="L454" s="995"/>
      <c r="M454" s="197">
        <f t="shared" si="109"/>
        <v>1</v>
      </c>
      <c r="N454" s="995"/>
      <c r="O454" s="197">
        <f t="shared" si="110"/>
        <v>1</v>
      </c>
      <c r="P454" s="995"/>
      <c r="Q454" s="197">
        <f t="shared" si="111"/>
        <v>1</v>
      </c>
      <c r="R454" s="991">
        <f t="shared" ca="1" si="116"/>
        <v>16569</v>
      </c>
      <c r="S454" s="552">
        <f t="shared" ca="1" si="117"/>
        <v>1459066</v>
      </c>
      <c r="T454" s="2010">
        <f t="shared" ca="1" si="118"/>
        <v>146</v>
      </c>
      <c r="U454" s="2305">
        <f t="shared" si="112"/>
        <v>0</v>
      </c>
      <c r="V454" s="2305">
        <f t="shared" si="113"/>
        <v>0</v>
      </c>
      <c r="W454" s="2300"/>
      <c r="X454" s="2305">
        <f t="shared" si="114"/>
        <v>0</v>
      </c>
      <c r="Y454" s="2305">
        <f t="shared" si="115"/>
        <v>0</v>
      </c>
      <c r="Z454" s="2300"/>
    </row>
    <row r="455" spans="1:26">
      <c r="A455" s="292" t="str">
        <f>'7.15'!B433</f>
        <v>9幢1单元1902室</v>
      </c>
      <c r="B455" s="207">
        <f>'7.17'!G433</f>
        <v>88.06</v>
      </c>
      <c r="C455" s="197">
        <f t="shared" si="104"/>
        <v>1</v>
      </c>
      <c r="D455" s="995" t="s">
        <v>7609</v>
      </c>
      <c r="E455" s="197">
        <f t="shared" si="105"/>
        <v>1.04</v>
      </c>
      <c r="F455" s="995" t="str">
        <f>'7.15'!D433</f>
        <v>平层</v>
      </c>
      <c r="G455" s="197">
        <f t="shared" si="106"/>
        <v>1</v>
      </c>
      <c r="H455" s="995" t="str">
        <f>'7.15'!E433</f>
        <v>南北</v>
      </c>
      <c r="I455" s="197">
        <f t="shared" si="107"/>
        <v>1</v>
      </c>
      <c r="J455" s="995"/>
      <c r="K455" s="197">
        <f t="shared" si="108"/>
        <v>1</v>
      </c>
      <c r="L455" s="995"/>
      <c r="M455" s="197">
        <f t="shared" si="109"/>
        <v>1</v>
      </c>
      <c r="N455" s="995"/>
      <c r="O455" s="197">
        <f t="shared" si="110"/>
        <v>1</v>
      </c>
      <c r="P455" s="995"/>
      <c r="Q455" s="197">
        <f t="shared" si="111"/>
        <v>1</v>
      </c>
      <c r="R455" s="991">
        <f t="shared" ca="1" si="116"/>
        <v>16569</v>
      </c>
      <c r="S455" s="552">
        <f t="shared" ca="1" si="117"/>
        <v>1459066</v>
      </c>
      <c r="T455" s="2010">
        <f t="shared" ca="1" si="118"/>
        <v>146</v>
      </c>
      <c r="U455" s="2305">
        <f t="shared" si="112"/>
        <v>0</v>
      </c>
      <c r="V455" s="2305">
        <f t="shared" si="113"/>
        <v>0</v>
      </c>
      <c r="W455" s="2300"/>
      <c r="X455" s="2305">
        <f t="shared" si="114"/>
        <v>0</v>
      </c>
      <c r="Y455" s="2305">
        <f t="shared" si="115"/>
        <v>0</v>
      </c>
      <c r="Z455" s="2300"/>
    </row>
    <row r="456" spans="1:26">
      <c r="A456" s="292" t="str">
        <f>'7.15'!B434</f>
        <v>9幢1单元2002室</v>
      </c>
      <c r="B456" s="207">
        <f>'7.17'!G434</f>
        <v>88.06</v>
      </c>
      <c r="C456" s="197">
        <f t="shared" si="104"/>
        <v>1</v>
      </c>
      <c r="D456" s="995" t="s">
        <v>7609</v>
      </c>
      <c r="E456" s="197">
        <f t="shared" si="105"/>
        <v>1.04</v>
      </c>
      <c r="F456" s="995" t="str">
        <f>'7.15'!D434</f>
        <v>平层</v>
      </c>
      <c r="G456" s="197">
        <f t="shared" si="106"/>
        <v>1</v>
      </c>
      <c r="H456" s="995" t="str">
        <f>'7.15'!E434</f>
        <v>南北</v>
      </c>
      <c r="I456" s="197">
        <f t="shared" si="107"/>
        <v>1</v>
      </c>
      <c r="J456" s="995"/>
      <c r="K456" s="197">
        <f t="shared" si="108"/>
        <v>1</v>
      </c>
      <c r="L456" s="995"/>
      <c r="M456" s="197">
        <f t="shared" si="109"/>
        <v>1</v>
      </c>
      <c r="N456" s="995"/>
      <c r="O456" s="197">
        <f t="shared" si="110"/>
        <v>1</v>
      </c>
      <c r="P456" s="995"/>
      <c r="Q456" s="197">
        <f t="shared" si="111"/>
        <v>1</v>
      </c>
      <c r="R456" s="991">
        <f t="shared" ca="1" si="116"/>
        <v>16569</v>
      </c>
      <c r="S456" s="552">
        <f t="shared" ca="1" si="117"/>
        <v>1459066</v>
      </c>
      <c r="T456" s="2010">
        <f t="shared" ca="1" si="118"/>
        <v>146</v>
      </c>
      <c r="U456" s="2305">
        <f t="shared" si="112"/>
        <v>0</v>
      </c>
      <c r="V456" s="2305">
        <f t="shared" si="113"/>
        <v>0</v>
      </c>
      <c r="W456" s="2300"/>
      <c r="X456" s="2305">
        <f t="shared" si="114"/>
        <v>0</v>
      </c>
      <c r="Y456" s="2305">
        <f t="shared" si="115"/>
        <v>0</v>
      </c>
      <c r="Z456" s="2300"/>
    </row>
    <row r="457" spans="1:26">
      <c r="A457" s="292" t="str">
        <f>'7.15'!B435</f>
        <v>9幢1单元2102室</v>
      </c>
      <c r="B457" s="207">
        <f>'7.17'!G435</f>
        <v>88.06</v>
      </c>
      <c r="C457" s="197">
        <f t="shared" si="104"/>
        <v>1</v>
      </c>
      <c r="D457" s="995" t="s">
        <v>7608</v>
      </c>
      <c r="E457" s="197">
        <f t="shared" si="105"/>
        <v>1.02</v>
      </c>
      <c r="F457" s="995" t="str">
        <f>'7.15'!D435</f>
        <v>平层</v>
      </c>
      <c r="G457" s="197">
        <f t="shared" si="106"/>
        <v>1</v>
      </c>
      <c r="H457" s="995" t="str">
        <f>'7.15'!E435</f>
        <v>南北</v>
      </c>
      <c r="I457" s="197">
        <f t="shared" si="107"/>
        <v>1</v>
      </c>
      <c r="J457" s="995"/>
      <c r="K457" s="197">
        <f t="shared" si="108"/>
        <v>1</v>
      </c>
      <c r="L457" s="995"/>
      <c r="M457" s="197">
        <f t="shared" si="109"/>
        <v>1</v>
      </c>
      <c r="N457" s="995"/>
      <c r="O457" s="197">
        <f t="shared" si="110"/>
        <v>1</v>
      </c>
      <c r="P457" s="995"/>
      <c r="Q457" s="197">
        <f t="shared" si="111"/>
        <v>1</v>
      </c>
      <c r="R457" s="991">
        <f t="shared" ca="1" si="116"/>
        <v>16251</v>
      </c>
      <c r="S457" s="552">
        <f t="shared" ca="1" si="117"/>
        <v>1431063</v>
      </c>
      <c r="T457" s="2010">
        <f t="shared" ca="1" si="118"/>
        <v>143</v>
      </c>
      <c r="U457" s="2305">
        <f t="shared" si="112"/>
        <v>0</v>
      </c>
      <c r="V457" s="2305">
        <f t="shared" si="113"/>
        <v>0</v>
      </c>
      <c r="W457" s="2300"/>
      <c r="X457" s="2305">
        <f t="shared" si="114"/>
        <v>0</v>
      </c>
      <c r="Y457" s="2305">
        <f t="shared" si="115"/>
        <v>0</v>
      </c>
      <c r="Z457" s="2300"/>
    </row>
    <row r="458" spans="1:26">
      <c r="A458" s="292" t="str">
        <f>'7.15'!B436</f>
        <v>9幢1单元2202室</v>
      </c>
      <c r="B458" s="207">
        <f>'7.17'!G436</f>
        <v>88.06</v>
      </c>
      <c r="C458" s="197">
        <f t="shared" si="104"/>
        <v>1</v>
      </c>
      <c r="D458" s="995" t="s">
        <v>7608</v>
      </c>
      <c r="E458" s="197">
        <f t="shared" si="105"/>
        <v>1.02</v>
      </c>
      <c r="F458" s="995" t="str">
        <f>'7.15'!D436</f>
        <v>平层</v>
      </c>
      <c r="G458" s="197">
        <f t="shared" si="106"/>
        <v>1</v>
      </c>
      <c r="H458" s="995" t="str">
        <f>'7.15'!E436</f>
        <v>南北</v>
      </c>
      <c r="I458" s="197">
        <f t="shared" si="107"/>
        <v>1</v>
      </c>
      <c r="J458" s="995"/>
      <c r="K458" s="197">
        <f t="shared" si="108"/>
        <v>1</v>
      </c>
      <c r="L458" s="995"/>
      <c r="M458" s="197">
        <f t="shared" si="109"/>
        <v>1</v>
      </c>
      <c r="N458" s="995"/>
      <c r="O458" s="197">
        <f t="shared" si="110"/>
        <v>1</v>
      </c>
      <c r="P458" s="995"/>
      <c r="Q458" s="197">
        <f t="shared" si="111"/>
        <v>1</v>
      </c>
      <c r="R458" s="991">
        <f t="shared" ca="1" si="116"/>
        <v>16251</v>
      </c>
      <c r="S458" s="552">
        <f t="shared" ca="1" si="117"/>
        <v>1431063</v>
      </c>
      <c r="T458" s="2010">
        <f t="shared" ca="1" si="118"/>
        <v>143</v>
      </c>
      <c r="U458" s="2305">
        <f t="shared" si="112"/>
        <v>0</v>
      </c>
      <c r="V458" s="2305">
        <f t="shared" si="113"/>
        <v>0</v>
      </c>
      <c r="W458" s="2300"/>
      <c r="X458" s="2305">
        <f t="shared" si="114"/>
        <v>0</v>
      </c>
      <c r="Y458" s="2305">
        <f t="shared" si="115"/>
        <v>0</v>
      </c>
      <c r="Z458" s="2300"/>
    </row>
    <row r="459" spans="1:26">
      <c r="A459" s="292" t="str">
        <f>'7.15'!B437</f>
        <v>9幢1单元2302室</v>
      </c>
      <c r="B459" s="207">
        <f>'7.17'!G437</f>
        <v>88.06</v>
      </c>
      <c r="C459" s="197">
        <f t="shared" si="104"/>
        <v>1</v>
      </c>
      <c r="D459" s="995" t="s">
        <v>7608</v>
      </c>
      <c r="E459" s="197">
        <f t="shared" si="105"/>
        <v>1.02</v>
      </c>
      <c r="F459" s="995" t="str">
        <f>'7.15'!D437</f>
        <v>平层</v>
      </c>
      <c r="G459" s="197">
        <f t="shared" si="106"/>
        <v>1</v>
      </c>
      <c r="H459" s="995" t="str">
        <f>'7.15'!E437</f>
        <v>南北</v>
      </c>
      <c r="I459" s="197">
        <f t="shared" si="107"/>
        <v>1</v>
      </c>
      <c r="J459" s="995"/>
      <c r="K459" s="197">
        <f t="shared" si="108"/>
        <v>1</v>
      </c>
      <c r="L459" s="995"/>
      <c r="M459" s="197">
        <f t="shared" si="109"/>
        <v>1</v>
      </c>
      <c r="N459" s="995"/>
      <c r="O459" s="197">
        <f t="shared" si="110"/>
        <v>1</v>
      </c>
      <c r="P459" s="995"/>
      <c r="Q459" s="197">
        <f t="shared" si="111"/>
        <v>1</v>
      </c>
      <c r="R459" s="991">
        <f t="shared" ca="1" si="116"/>
        <v>16251</v>
      </c>
      <c r="S459" s="552">
        <f t="shared" ca="1" si="117"/>
        <v>1431063</v>
      </c>
      <c r="T459" s="2010">
        <f t="shared" ca="1" si="118"/>
        <v>143</v>
      </c>
      <c r="U459" s="2305">
        <f t="shared" si="112"/>
        <v>0</v>
      </c>
      <c r="V459" s="2305">
        <f t="shared" si="113"/>
        <v>0</v>
      </c>
      <c r="W459" s="2300"/>
      <c r="X459" s="2305">
        <f t="shared" si="114"/>
        <v>0</v>
      </c>
      <c r="Y459" s="2305">
        <f t="shared" si="115"/>
        <v>0</v>
      </c>
      <c r="Z459" s="2300"/>
    </row>
    <row r="460" spans="1:26">
      <c r="A460" s="292" t="str">
        <f>'7.15'!B438</f>
        <v>9幢1单元2402室</v>
      </c>
      <c r="B460" s="207">
        <f>'7.17'!G438</f>
        <v>88.06</v>
      </c>
      <c r="C460" s="197">
        <f t="shared" si="104"/>
        <v>1</v>
      </c>
      <c r="D460" s="995" t="s">
        <v>7608</v>
      </c>
      <c r="E460" s="197">
        <f t="shared" si="105"/>
        <v>1.02</v>
      </c>
      <c r="F460" s="995" t="str">
        <f>'7.15'!D438</f>
        <v>平层</v>
      </c>
      <c r="G460" s="197">
        <f t="shared" si="106"/>
        <v>1</v>
      </c>
      <c r="H460" s="995" t="str">
        <f>'7.15'!E438</f>
        <v>南北</v>
      </c>
      <c r="I460" s="197">
        <f t="shared" si="107"/>
        <v>1</v>
      </c>
      <c r="J460" s="995"/>
      <c r="K460" s="197">
        <f t="shared" si="108"/>
        <v>1</v>
      </c>
      <c r="L460" s="995"/>
      <c r="M460" s="197">
        <f t="shared" si="109"/>
        <v>1</v>
      </c>
      <c r="N460" s="995"/>
      <c r="O460" s="197">
        <f t="shared" si="110"/>
        <v>1</v>
      </c>
      <c r="P460" s="995"/>
      <c r="Q460" s="197">
        <f t="shared" si="111"/>
        <v>1</v>
      </c>
      <c r="R460" s="991">
        <f t="shared" ca="1" si="116"/>
        <v>16251</v>
      </c>
      <c r="S460" s="552">
        <f t="shared" ca="1" si="117"/>
        <v>1431063</v>
      </c>
      <c r="T460" s="2010">
        <f t="shared" ca="1" si="118"/>
        <v>143</v>
      </c>
      <c r="U460" s="2305">
        <f t="shared" si="112"/>
        <v>0</v>
      </c>
      <c r="V460" s="2305">
        <f t="shared" si="113"/>
        <v>0</v>
      </c>
      <c r="W460" s="2300"/>
      <c r="X460" s="2305">
        <f t="shared" si="114"/>
        <v>0</v>
      </c>
      <c r="Y460" s="2305">
        <f t="shared" si="115"/>
        <v>0</v>
      </c>
      <c r="Z460" s="2300"/>
    </row>
    <row r="461" spans="1:26">
      <c r="A461" s="292" t="str">
        <f>'7.15'!B439</f>
        <v>9幢1单元2502室</v>
      </c>
      <c r="B461" s="207">
        <f>'7.17'!G439</f>
        <v>88.06</v>
      </c>
      <c r="C461" s="197">
        <f t="shared" si="104"/>
        <v>1</v>
      </c>
      <c r="D461" s="995" t="s">
        <v>7608</v>
      </c>
      <c r="E461" s="197">
        <f t="shared" si="105"/>
        <v>1.02</v>
      </c>
      <c r="F461" s="995" t="str">
        <f>'7.15'!D439</f>
        <v>平层</v>
      </c>
      <c r="G461" s="197">
        <f t="shared" si="106"/>
        <v>1</v>
      </c>
      <c r="H461" s="995" t="str">
        <f>'7.15'!E439</f>
        <v>南北</v>
      </c>
      <c r="I461" s="197">
        <f t="shared" si="107"/>
        <v>1</v>
      </c>
      <c r="J461" s="995"/>
      <c r="K461" s="197">
        <f t="shared" si="108"/>
        <v>1</v>
      </c>
      <c r="L461" s="995"/>
      <c r="M461" s="197">
        <f t="shared" si="109"/>
        <v>1</v>
      </c>
      <c r="N461" s="995"/>
      <c r="O461" s="197">
        <f t="shared" si="110"/>
        <v>1</v>
      </c>
      <c r="P461" s="995"/>
      <c r="Q461" s="197">
        <f t="shared" si="111"/>
        <v>1</v>
      </c>
      <c r="R461" s="991">
        <f t="shared" ca="1" si="116"/>
        <v>16251</v>
      </c>
      <c r="S461" s="552">
        <f t="shared" ca="1" si="117"/>
        <v>1431063</v>
      </c>
      <c r="T461" s="2010">
        <f t="shared" ca="1" si="118"/>
        <v>143</v>
      </c>
      <c r="U461" s="2305">
        <f t="shared" si="112"/>
        <v>0</v>
      </c>
      <c r="V461" s="2305">
        <f t="shared" si="113"/>
        <v>0</v>
      </c>
      <c r="W461" s="2300"/>
      <c r="X461" s="2305">
        <f t="shared" si="114"/>
        <v>0</v>
      </c>
      <c r="Y461" s="2305">
        <f t="shared" si="115"/>
        <v>0</v>
      </c>
      <c r="Z461" s="2300"/>
    </row>
    <row r="462" spans="1:26">
      <c r="A462" s="292" t="str">
        <f>'7.15'!B440</f>
        <v>9幢1单元2602室</v>
      </c>
      <c r="B462" s="207">
        <f>'7.17'!G440</f>
        <v>88.06</v>
      </c>
      <c r="C462" s="197">
        <f t="shared" si="104"/>
        <v>1</v>
      </c>
      <c r="D462" s="995" t="s">
        <v>7608</v>
      </c>
      <c r="E462" s="197">
        <f t="shared" si="105"/>
        <v>1.02</v>
      </c>
      <c r="F462" s="995" t="str">
        <f>'7.15'!D440</f>
        <v>平层</v>
      </c>
      <c r="G462" s="197">
        <f t="shared" si="106"/>
        <v>1</v>
      </c>
      <c r="H462" s="995" t="str">
        <f>'7.15'!E440</f>
        <v>南北</v>
      </c>
      <c r="I462" s="197">
        <f t="shared" si="107"/>
        <v>1</v>
      </c>
      <c r="J462" s="995"/>
      <c r="K462" s="197">
        <f t="shared" si="108"/>
        <v>1</v>
      </c>
      <c r="L462" s="995"/>
      <c r="M462" s="197">
        <f t="shared" si="109"/>
        <v>1</v>
      </c>
      <c r="N462" s="995"/>
      <c r="O462" s="197">
        <f t="shared" si="110"/>
        <v>1</v>
      </c>
      <c r="P462" s="995"/>
      <c r="Q462" s="197">
        <f t="shared" si="111"/>
        <v>1</v>
      </c>
      <c r="R462" s="991">
        <f t="shared" ca="1" si="116"/>
        <v>16251</v>
      </c>
      <c r="S462" s="552">
        <f t="shared" ca="1" si="117"/>
        <v>1431063</v>
      </c>
      <c r="T462" s="2010">
        <f t="shared" ca="1" si="118"/>
        <v>143</v>
      </c>
      <c r="U462" s="2305">
        <f t="shared" si="112"/>
        <v>0</v>
      </c>
      <c r="V462" s="2305">
        <f t="shared" si="113"/>
        <v>0</v>
      </c>
      <c r="W462" s="2300"/>
      <c r="X462" s="2305">
        <f t="shared" si="114"/>
        <v>0</v>
      </c>
      <c r="Y462" s="2305">
        <f t="shared" si="115"/>
        <v>0</v>
      </c>
      <c r="Z462" s="2300"/>
    </row>
    <row r="463" spans="1:26">
      <c r="A463" s="292" t="str">
        <f>'7.15'!B441</f>
        <v>9幢1单元2702室</v>
      </c>
      <c r="B463" s="207">
        <f>'7.17'!G441</f>
        <v>88.06</v>
      </c>
      <c r="C463" s="197">
        <f t="shared" si="104"/>
        <v>1</v>
      </c>
      <c r="D463" s="995" t="s">
        <v>7608</v>
      </c>
      <c r="E463" s="197">
        <f t="shared" si="105"/>
        <v>1.02</v>
      </c>
      <c r="F463" s="995" t="str">
        <f>'7.15'!D441</f>
        <v>平层</v>
      </c>
      <c r="G463" s="197">
        <f t="shared" si="106"/>
        <v>1</v>
      </c>
      <c r="H463" s="995" t="str">
        <f>'7.15'!E441</f>
        <v>南北</v>
      </c>
      <c r="I463" s="197">
        <f t="shared" si="107"/>
        <v>1</v>
      </c>
      <c r="J463" s="995"/>
      <c r="K463" s="197">
        <f t="shared" si="108"/>
        <v>1</v>
      </c>
      <c r="L463" s="995"/>
      <c r="M463" s="197">
        <f t="shared" si="109"/>
        <v>1</v>
      </c>
      <c r="N463" s="995"/>
      <c r="O463" s="197">
        <f t="shared" si="110"/>
        <v>1</v>
      </c>
      <c r="P463" s="995"/>
      <c r="Q463" s="197">
        <f t="shared" si="111"/>
        <v>1</v>
      </c>
      <c r="R463" s="991">
        <f t="shared" ca="1" si="116"/>
        <v>16251</v>
      </c>
      <c r="S463" s="552">
        <f t="shared" ca="1" si="117"/>
        <v>1431063</v>
      </c>
      <c r="T463" s="2010">
        <f t="shared" ca="1" si="118"/>
        <v>143</v>
      </c>
      <c r="U463" s="2305">
        <f t="shared" si="112"/>
        <v>0</v>
      </c>
      <c r="V463" s="2305">
        <f t="shared" si="113"/>
        <v>0</v>
      </c>
      <c r="W463" s="2300"/>
      <c r="X463" s="2305">
        <f t="shared" si="114"/>
        <v>0</v>
      </c>
      <c r="Y463" s="2305">
        <f t="shared" si="115"/>
        <v>0</v>
      </c>
      <c r="Z463" s="2300"/>
    </row>
    <row r="464" spans="1:26">
      <c r="A464" s="292" t="str">
        <f>'7.15'!B442</f>
        <v>9幢1单元2802室</v>
      </c>
      <c r="B464" s="207">
        <f>'7.17'!G442</f>
        <v>88.06</v>
      </c>
      <c r="C464" s="197">
        <f t="shared" si="104"/>
        <v>1</v>
      </c>
      <c r="D464" s="995" t="s">
        <v>7608</v>
      </c>
      <c r="E464" s="197">
        <f t="shared" si="105"/>
        <v>1.02</v>
      </c>
      <c r="F464" s="995" t="str">
        <f>'7.15'!D442</f>
        <v>平层</v>
      </c>
      <c r="G464" s="197">
        <f t="shared" si="106"/>
        <v>1</v>
      </c>
      <c r="H464" s="995" t="str">
        <f>'7.15'!E442</f>
        <v>南北</v>
      </c>
      <c r="I464" s="197">
        <f t="shared" si="107"/>
        <v>1</v>
      </c>
      <c r="J464" s="995"/>
      <c r="K464" s="197">
        <f t="shared" si="108"/>
        <v>1</v>
      </c>
      <c r="L464" s="995"/>
      <c r="M464" s="197">
        <f t="shared" si="109"/>
        <v>1</v>
      </c>
      <c r="N464" s="995"/>
      <c r="O464" s="197">
        <f t="shared" si="110"/>
        <v>1</v>
      </c>
      <c r="P464" s="995"/>
      <c r="Q464" s="197">
        <f t="shared" si="111"/>
        <v>1</v>
      </c>
      <c r="R464" s="991">
        <f t="shared" ca="1" si="116"/>
        <v>16251</v>
      </c>
      <c r="S464" s="552">
        <f t="shared" ca="1" si="117"/>
        <v>1431063</v>
      </c>
      <c r="T464" s="2010">
        <f t="shared" ca="1" si="118"/>
        <v>143</v>
      </c>
      <c r="U464" s="2305">
        <f t="shared" si="112"/>
        <v>0</v>
      </c>
      <c r="V464" s="2305">
        <f t="shared" si="113"/>
        <v>0</v>
      </c>
      <c r="W464" s="2300"/>
      <c r="X464" s="2305">
        <f t="shared" si="114"/>
        <v>0</v>
      </c>
      <c r="Y464" s="2305">
        <f t="shared" si="115"/>
        <v>0</v>
      </c>
      <c r="Z464" s="2300"/>
    </row>
    <row r="465" spans="1:26">
      <c r="A465" s="292" t="str">
        <f>'7.15'!B443</f>
        <v>9幢1单元2902室</v>
      </c>
      <c r="B465" s="207">
        <f>'7.17'!G443</f>
        <v>88.06</v>
      </c>
      <c r="C465" s="197">
        <f t="shared" si="104"/>
        <v>1</v>
      </c>
      <c r="D465" s="995" t="s">
        <v>7608</v>
      </c>
      <c r="E465" s="197">
        <f t="shared" si="105"/>
        <v>1.02</v>
      </c>
      <c r="F465" s="995" t="str">
        <f>'7.15'!D443</f>
        <v>平层</v>
      </c>
      <c r="G465" s="197">
        <f t="shared" si="106"/>
        <v>1</v>
      </c>
      <c r="H465" s="995" t="str">
        <f>'7.15'!E443</f>
        <v>南北</v>
      </c>
      <c r="I465" s="197">
        <f t="shared" si="107"/>
        <v>1</v>
      </c>
      <c r="J465" s="995"/>
      <c r="K465" s="197">
        <f t="shared" si="108"/>
        <v>1</v>
      </c>
      <c r="L465" s="995"/>
      <c r="M465" s="197">
        <f t="shared" si="109"/>
        <v>1</v>
      </c>
      <c r="N465" s="995"/>
      <c r="O465" s="197">
        <f t="shared" si="110"/>
        <v>1</v>
      </c>
      <c r="P465" s="995"/>
      <c r="Q465" s="197">
        <f t="shared" si="111"/>
        <v>1</v>
      </c>
      <c r="R465" s="991">
        <f t="shared" ca="1" si="116"/>
        <v>16251</v>
      </c>
      <c r="S465" s="552">
        <f t="shared" ca="1" si="117"/>
        <v>1431063</v>
      </c>
      <c r="T465" s="2010">
        <f t="shared" ca="1" si="118"/>
        <v>143</v>
      </c>
      <c r="U465" s="2305">
        <f t="shared" si="112"/>
        <v>0</v>
      </c>
      <c r="V465" s="2305">
        <f t="shared" si="113"/>
        <v>0</v>
      </c>
      <c r="W465" s="2300"/>
      <c r="X465" s="2305">
        <f t="shared" si="114"/>
        <v>0</v>
      </c>
      <c r="Y465" s="2305">
        <f t="shared" si="115"/>
        <v>0</v>
      </c>
      <c r="Z465" s="2300"/>
    </row>
    <row r="466" spans="1:26">
      <c r="A466" s="292" t="str">
        <f>'7.15'!B444</f>
        <v>9幢1单元3002室</v>
      </c>
      <c r="B466" s="207">
        <f>'7.17'!G444</f>
        <v>88.06</v>
      </c>
      <c r="C466" s="197">
        <f t="shared" si="104"/>
        <v>1</v>
      </c>
      <c r="D466" s="995" t="s">
        <v>7608</v>
      </c>
      <c r="E466" s="197">
        <f t="shared" si="105"/>
        <v>1.02</v>
      </c>
      <c r="F466" s="995" t="str">
        <f>'7.15'!D444</f>
        <v>平层</v>
      </c>
      <c r="G466" s="197">
        <f t="shared" si="106"/>
        <v>1</v>
      </c>
      <c r="H466" s="995" t="str">
        <f>'7.15'!E444</f>
        <v>南北</v>
      </c>
      <c r="I466" s="197">
        <f t="shared" si="107"/>
        <v>1</v>
      </c>
      <c r="J466" s="995"/>
      <c r="K466" s="197">
        <f t="shared" si="108"/>
        <v>1</v>
      </c>
      <c r="L466" s="995"/>
      <c r="M466" s="197">
        <f t="shared" si="109"/>
        <v>1</v>
      </c>
      <c r="N466" s="995"/>
      <c r="O466" s="197">
        <f t="shared" si="110"/>
        <v>1</v>
      </c>
      <c r="P466" s="995"/>
      <c r="Q466" s="197">
        <f t="shared" si="111"/>
        <v>1</v>
      </c>
      <c r="R466" s="991">
        <f t="shared" ca="1" si="116"/>
        <v>16251</v>
      </c>
      <c r="S466" s="552">
        <f t="shared" ca="1" si="117"/>
        <v>1431063</v>
      </c>
      <c r="T466" s="2010">
        <f t="shared" ca="1" si="118"/>
        <v>143</v>
      </c>
      <c r="U466" s="2305">
        <f t="shared" si="112"/>
        <v>0</v>
      </c>
      <c r="V466" s="2305">
        <f t="shared" si="113"/>
        <v>0</v>
      </c>
      <c r="W466" s="2300"/>
      <c r="X466" s="2305">
        <f t="shared" si="114"/>
        <v>0</v>
      </c>
      <c r="Y466" s="2305">
        <f t="shared" si="115"/>
        <v>0</v>
      </c>
      <c r="Z466" s="2300"/>
    </row>
    <row r="467" spans="1:26">
      <c r="A467" s="292" t="str">
        <f>'7.15'!B445</f>
        <v>9幢1单元203室</v>
      </c>
      <c r="B467" s="207">
        <f>'7.17'!G445</f>
        <v>88.19</v>
      </c>
      <c r="C467" s="197">
        <f t="shared" si="104"/>
        <v>1</v>
      </c>
      <c r="D467" s="995" t="s">
        <v>7606</v>
      </c>
      <c r="E467" s="197">
        <f t="shared" si="105"/>
        <v>1</v>
      </c>
      <c r="F467" s="995" t="str">
        <f>'7.15'!D445</f>
        <v>平层</v>
      </c>
      <c r="G467" s="197">
        <f t="shared" si="106"/>
        <v>1</v>
      </c>
      <c r="H467" s="995" t="str">
        <f>'7.15'!E445</f>
        <v>南北</v>
      </c>
      <c r="I467" s="197">
        <f t="shared" si="107"/>
        <v>1</v>
      </c>
      <c r="J467" s="995"/>
      <c r="K467" s="197">
        <f t="shared" si="108"/>
        <v>1</v>
      </c>
      <c r="L467" s="995"/>
      <c r="M467" s="197">
        <f t="shared" si="109"/>
        <v>1</v>
      </c>
      <c r="N467" s="995"/>
      <c r="O467" s="197">
        <f t="shared" si="110"/>
        <v>1</v>
      </c>
      <c r="P467" s="995"/>
      <c r="Q467" s="197">
        <f t="shared" si="111"/>
        <v>1</v>
      </c>
      <c r="R467" s="991">
        <f t="shared" ca="1" si="116"/>
        <v>15932</v>
      </c>
      <c r="S467" s="552">
        <f t="shared" ca="1" si="117"/>
        <v>1405043</v>
      </c>
      <c r="T467" s="2010">
        <f t="shared" ca="1" si="118"/>
        <v>141</v>
      </c>
      <c r="U467" s="2305">
        <f t="shared" si="112"/>
        <v>0</v>
      </c>
      <c r="V467" s="2305">
        <f t="shared" si="113"/>
        <v>0</v>
      </c>
      <c r="W467" s="2300"/>
      <c r="X467" s="2305">
        <f t="shared" si="114"/>
        <v>0</v>
      </c>
      <c r="Y467" s="2305">
        <f t="shared" si="115"/>
        <v>0</v>
      </c>
      <c r="Z467" s="2300"/>
    </row>
    <row r="468" spans="1:26">
      <c r="A468" s="292" t="str">
        <f>'7.15'!B446</f>
        <v>9幢1单元303室</v>
      </c>
      <c r="B468" s="207">
        <f>'7.17'!G446</f>
        <v>88.19</v>
      </c>
      <c r="C468" s="197">
        <f t="shared" si="104"/>
        <v>1</v>
      </c>
      <c r="D468" s="995" t="s">
        <v>7606</v>
      </c>
      <c r="E468" s="197">
        <f t="shared" si="105"/>
        <v>1</v>
      </c>
      <c r="F468" s="995" t="str">
        <f>'7.15'!D446</f>
        <v>平层</v>
      </c>
      <c r="G468" s="197">
        <f t="shared" si="106"/>
        <v>1</v>
      </c>
      <c r="H468" s="995" t="str">
        <f>'7.15'!E446</f>
        <v>南北</v>
      </c>
      <c r="I468" s="197">
        <f t="shared" si="107"/>
        <v>1</v>
      </c>
      <c r="J468" s="995"/>
      <c r="K468" s="197">
        <f t="shared" si="108"/>
        <v>1</v>
      </c>
      <c r="L468" s="995"/>
      <c r="M468" s="197">
        <f t="shared" si="109"/>
        <v>1</v>
      </c>
      <c r="N468" s="995"/>
      <c r="O468" s="197">
        <f t="shared" si="110"/>
        <v>1</v>
      </c>
      <c r="P468" s="995"/>
      <c r="Q468" s="197">
        <f t="shared" si="111"/>
        <v>1</v>
      </c>
      <c r="R468" s="991">
        <f t="shared" ca="1" si="116"/>
        <v>15932</v>
      </c>
      <c r="S468" s="552">
        <f t="shared" ca="1" si="117"/>
        <v>1405043</v>
      </c>
      <c r="T468" s="2010">
        <f t="shared" ca="1" si="118"/>
        <v>141</v>
      </c>
      <c r="U468" s="2305">
        <f t="shared" si="112"/>
        <v>0</v>
      </c>
      <c r="V468" s="2305">
        <f t="shared" si="113"/>
        <v>0</v>
      </c>
      <c r="W468" s="2300"/>
      <c r="X468" s="2305">
        <f t="shared" si="114"/>
        <v>0</v>
      </c>
      <c r="Y468" s="2305">
        <f t="shared" si="115"/>
        <v>0</v>
      </c>
      <c r="Z468" s="2300"/>
    </row>
    <row r="469" spans="1:26">
      <c r="A469" s="292" t="str">
        <f>'7.15'!B447</f>
        <v>9幢1单元403室</v>
      </c>
      <c r="B469" s="207">
        <f>'7.17'!G447</f>
        <v>88.19</v>
      </c>
      <c r="C469" s="197">
        <f t="shared" si="104"/>
        <v>1</v>
      </c>
      <c r="D469" s="995" t="s">
        <v>7606</v>
      </c>
      <c r="E469" s="197">
        <f t="shared" si="105"/>
        <v>1</v>
      </c>
      <c r="F469" s="995" t="str">
        <f>'7.15'!D447</f>
        <v>平层</v>
      </c>
      <c r="G469" s="197">
        <f t="shared" si="106"/>
        <v>1</v>
      </c>
      <c r="H469" s="995" t="str">
        <f>'7.15'!E447</f>
        <v>南北</v>
      </c>
      <c r="I469" s="197">
        <f t="shared" si="107"/>
        <v>1</v>
      </c>
      <c r="J469" s="995"/>
      <c r="K469" s="197">
        <f t="shared" si="108"/>
        <v>1</v>
      </c>
      <c r="L469" s="995"/>
      <c r="M469" s="197">
        <f t="shared" si="109"/>
        <v>1</v>
      </c>
      <c r="N469" s="995"/>
      <c r="O469" s="197">
        <f t="shared" si="110"/>
        <v>1</v>
      </c>
      <c r="P469" s="995"/>
      <c r="Q469" s="197">
        <f t="shared" si="111"/>
        <v>1</v>
      </c>
      <c r="R469" s="991">
        <f t="shared" ca="1" si="116"/>
        <v>15932</v>
      </c>
      <c r="S469" s="552">
        <f t="shared" ca="1" si="117"/>
        <v>1405043</v>
      </c>
      <c r="T469" s="2010">
        <f t="shared" ca="1" si="118"/>
        <v>141</v>
      </c>
      <c r="U469" s="2305">
        <f t="shared" si="112"/>
        <v>0</v>
      </c>
      <c r="V469" s="2305">
        <f t="shared" si="113"/>
        <v>0</v>
      </c>
      <c r="W469" s="2300"/>
      <c r="X469" s="2305">
        <f t="shared" si="114"/>
        <v>0</v>
      </c>
      <c r="Y469" s="2305">
        <f t="shared" si="115"/>
        <v>0</v>
      </c>
      <c r="Z469" s="2300"/>
    </row>
    <row r="470" spans="1:26">
      <c r="A470" s="292" t="str">
        <f>'7.15'!B448</f>
        <v>9幢1单元503室</v>
      </c>
      <c r="B470" s="207">
        <f>'7.17'!G448</f>
        <v>88.19</v>
      </c>
      <c r="C470" s="197">
        <f t="shared" si="104"/>
        <v>1</v>
      </c>
      <c r="D470" s="995" t="s">
        <v>7606</v>
      </c>
      <c r="E470" s="197">
        <f t="shared" si="105"/>
        <v>1</v>
      </c>
      <c r="F470" s="995" t="str">
        <f>'7.15'!D448</f>
        <v>平层</v>
      </c>
      <c r="G470" s="197">
        <f t="shared" si="106"/>
        <v>1</v>
      </c>
      <c r="H470" s="995" t="str">
        <f>'7.15'!E448</f>
        <v>南北</v>
      </c>
      <c r="I470" s="197">
        <f t="shared" si="107"/>
        <v>1</v>
      </c>
      <c r="J470" s="995"/>
      <c r="K470" s="197">
        <f t="shared" si="108"/>
        <v>1</v>
      </c>
      <c r="L470" s="995"/>
      <c r="M470" s="197">
        <f t="shared" si="109"/>
        <v>1</v>
      </c>
      <c r="N470" s="995"/>
      <c r="O470" s="197">
        <f t="shared" si="110"/>
        <v>1</v>
      </c>
      <c r="P470" s="995"/>
      <c r="Q470" s="197">
        <f t="shared" si="111"/>
        <v>1</v>
      </c>
      <c r="R470" s="991">
        <f t="shared" ca="1" si="116"/>
        <v>15932</v>
      </c>
      <c r="S470" s="552">
        <f t="shared" ca="1" si="117"/>
        <v>1405043</v>
      </c>
      <c r="T470" s="2010">
        <f t="shared" ca="1" si="118"/>
        <v>141</v>
      </c>
      <c r="U470" s="2305">
        <f t="shared" si="112"/>
        <v>0</v>
      </c>
      <c r="V470" s="2305">
        <f t="shared" si="113"/>
        <v>0</v>
      </c>
      <c r="W470" s="2300"/>
      <c r="X470" s="2305">
        <f t="shared" si="114"/>
        <v>0</v>
      </c>
      <c r="Y470" s="2305">
        <f t="shared" si="115"/>
        <v>0</v>
      </c>
      <c r="Z470" s="2300"/>
    </row>
    <row r="471" spans="1:26">
      <c r="A471" s="292" t="str">
        <f>'7.15'!B449</f>
        <v>9幢1单元603室</v>
      </c>
      <c r="B471" s="207">
        <f>'7.17'!G449</f>
        <v>88.19</v>
      </c>
      <c r="C471" s="197">
        <f t="shared" si="104"/>
        <v>1</v>
      </c>
      <c r="D471" s="995" t="s">
        <v>7606</v>
      </c>
      <c r="E471" s="197">
        <f t="shared" si="105"/>
        <v>1</v>
      </c>
      <c r="F471" s="995" t="str">
        <f>'7.15'!D449</f>
        <v>平层</v>
      </c>
      <c r="G471" s="197">
        <f t="shared" si="106"/>
        <v>1</v>
      </c>
      <c r="H471" s="995" t="str">
        <f>'7.15'!E449</f>
        <v>南北</v>
      </c>
      <c r="I471" s="197">
        <f t="shared" si="107"/>
        <v>1</v>
      </c>
      <c r="J471" s="995"/>
      <c r="K471" s="197">
        <f t="shared" si="108"/>
        <v>1</v>
      </c>
      <c r="L471" s="995"/>
      <c r="M471" s="197">
        <f t="shared" si="109"/>
        <v>1</v>
      </c>
      <c r="N471" s="995"/>
      <c r="O471" s="197">
        <f t="shared" si="110"/>
        <v>1</v>
      </c>
      <c r="P471" s="995"/>
      <c r="Q471" s="197">
        <f t="shared" si="111"/>
        <v>1</v>
      </c>
      <c r="R471" s="991">
        <f t="shared" ca="1" si="116"/>
        <v>15932</v>
      </c>
      <c r="S471" s="552">
        <f t="shared" ca="1" si="117"/>
        <v>1405043</v>
      </c>
      <c r="T471" s="2010">
        <f t="shared" ca="1" si="118"/>
        <v>141</v>
      </c>
      <c r="U471" s="2305">
        <f t="shared" si="112"/>
        <v>0</v>
      </c>
      <c r="V471" s="2305">
        <f t="shared" si="113"/>
        <v>0</v>
      </c>
      <c r="W471" s="2300"/>
      <c r="X471" s="2305">
        <f t="shared" si="114"/>
        <v>0</v>
      </c>
      <c r="Y471" s="2305">
        <f t="shared" si="115"/>
        <v>0</v>
      </c>
      <c r="Z471" s="2300"/>
    </row>
    <row r="472" spans="1:26">
      <c r="A472" s="292" t="str">
        <f>'7.15'!B450</f>
        <v>9幢1单元703室</v>
      </c>
      <c r="B472" s="207">
        <f>'7.17'!G450</f>
        <v>88.19</v>
      </c>
      <c r="C472" s="197">
        <f t="shared" si="104"/>
        <v>1</v>
      </c>
      <c r="D472" s="995" t="s">
        <v>7606</v>
      </c>
      <c r="E472" s="197">
        <f t="shared" si="105"/>
        <v>1</v>
      </c>
      <c r="F472" s="995" t="str">
        <f>'7.15'!D450</f>
        <v>平层</v>
      </c>
      <c r="G472" s="197">
        <f t="shared" si="106"/>
        <v>1</v>
      </c>
      <c r="H472" s="995" t="str">
        <f>'7.15'!E450</f>
        <v>南北</v>
      </c>
      <c r="I472" s="197">
        <f t="shared" si="107"/>
        <v>1</v>
      </c>
      <c r="J472" s="995"/>
      <c r="K472" s="197">
        <f t="shared" si="108"/>
        <v>1</v>
      </c>
      <c r="L472" s="995"/>
      <c r="M472" s="197">
        <f t="shared" si="109"/>
        <v>1</v>
      </c>
      <c r="N472" s="995"/>
      <c r="O472" s="197">
        <f t="shared" si="110"/>
        <v>1</v>
      </c>
      <c r="P472" s="995"/>
      <c r="Q472" s="197">
        <f t="shared" si="111"/>
        <v>1</v>
      </c>
      <c r="R472" s="991">
        <f t="shared" ca="1" si="116"/>
        <v>15932</v>
      </c>
      <c r="S472" s="552">
        <f t="shared" ca="1" si="117"/>
        <v>1405043</v>
      </c>
      <c r="T472" s="2010">
        <f t="shared" ca="1" si="118"/>
        <v>141</v>
      </c>
      <c r="U472" s="2305">
        <f t="shared" si="112"/>
        <v>0</v>
      </c>
      <c r="V472" s="2305">
        <f t="shared" si="113"/>
        <v>0</v>
      </c>
      <c r="W472" s="2300"/>
      <c r="X472" s="2305">
        <f t="shared" si="114"/>
        <v>0</v>
      </c>
      <c r="Y472" s="2305">
        <f t="shared" si="115"/>
        <v>0</v>
      </c>
      <c r="Z472" s="2300"/>
    </row>
    <row r="473" spans="1:26">
      <c r="A473" s="292" t="str">
        <f>'7.15'!B451</f>
        <v>9幢1单元803室</v>
      </c>
      <c r="B473" s="207">
        <f>'7.17'!G451</f>
        <v>88.19</v>
      </c>
      <c r="C473" s="197">
        <f t="shared" si="104"/>
        <v>1</v>
      </c>
      <c r="D473" s="995" t="s">
        <v>7606</v>
      </c>
      <c r="E473" s="197">
        <f t="shared" si="105"/>
        <v>1</v>
      </c>
      <c r="F473" s="995" t="str">
        <f>'7.15'!D451</f>
        <v>平层</v>
      </c>
      <c r="G473" s="197">
        <f t="shared" si="106"/>
        <v>1</v>
      </c>
      <c r="H473" s="995" t="str">
        <f>'7.15'!E451</f>
        <v>南北</v>
      </c>
      <c r="I473" s="197">
        <f t="shared" si="107"/>
        <v>1</v>
      </c>
      <c r="J473" s="995"/>
      <c r="K473" s="197">
        <f t="shared" si="108"/>
        <v>1</v>
      </c>
      <c r="L473" s="995"/>
      <c r="M473" s="197">
        <f t="shared" si="109"/>
        <v>1</v>
      </c>
      <c r="N473" s="995"/>
      <c r="O473" s="197">
        <f t="shared" si="110"/>
        <v>1</v>
      </c>
      <c r="P473" s="995"/>
      <c r="Q473" s="197">
        <f t="shared" si="111"/>
        <v>1</v>
      </c>
      <c r="R473" s="991">
        <f t="shared" ca="1" si="116"/>
        <v>15932</v>
      </c>
      <c r="S473" s="552">
        <f t="shared" ca="1" si="117"/>
        <v>1405043</v>
      </c>
      <c r="T473" s="2010">
        <f t="shared" ca="1" si="118"/>
        <v>141</v>
      </c>
      <c r="U473" s="2305">
        <f t="shared" si="112"/>
        <v>0</v>
      </c>
      <c r="V473" s="2305">
        <f t="shared" si="113"/>
        <v>0</v>
      </c>
      <c r="W473" s="2300"/>
      <c r="X473" s="2305">
        <f t="shared" si="114"/>
        <v>0</v>
      </c>
      <c r="Y473" s="2305">
        <f t="shared" si="115"/>
        <v>0</v>
      </c>
      <c r="Z473" s="2300"/>
    </row>
    <row r="474" spans="1:26">
      <c r="A474" s="292" t="str">
        <f>'7.15'!B452</f>
        <v>9幢1单元903室</v>
      </c>
      <c r="B474" s="207">
        <f>'7.17'!G452</f>
        <v>88.19</v>
      </c>
      <c r="C474" s="197">
        <f t="shared" si="104"/>
        <v>1</v>
      </c>
      <c r="D474" s="995" t="s">
        <v>7606</v>
      </c>
      <c r="E474" s="197">
        <f t="shared" si="105"/>
        <v>1</v>
      </c>
      <c r="F474" s="995" t="str">
        <f>'7.15'!D452</f>
        <v>平层</v>
      </c>
      <c r="G474" s="197">
        <f t="shared" si="106"/>
        <v>1</v>
      </c>
      <c r="H474" s="995" t="str">
        <f>'7.15'!E452</f>
        <v>南北</v>
      </c>
      <c r="I474" s="197">
        <f t="shared" si="107"/>
        <v>1</v>
      </c>
      <c r="J474" s="995"/>
      <c r="K474" s="197">
        <f t="shared" si="108"/>
        <v>1</v>
      </c>
      <c r="L474" s="995"/>
      <c r="M474" s="197">
        <f t="shared" si="109"/>
        <v>1</v>
      </c>
      <c r="N474" s="995"/>
      <c r="O474" s="197">
        <f t="shared" si="110"/>
        <v>1</v>
      </c>
      <c r="P474" s="995"/>
      <c r="Q474" s="197">
        <f t="shared" si="111"/>
        <v>1</v>
      </c>
      <c r="R474" s="991">
        <f t="shared" ca="1" si="116"/>
        <v>15932</v>
      </c>
      <c r="S474" s="552">
        <f t="shared" ca="1" si="117"/>
        <v>1405043</v>
      </c>
      <c r="T474" s="2010">
        <f t="shared" ca="1" si="118"/>
        <v>141</v>
      </c>
      <c r="U474" s="2305">
        <f t="shared" si="112"/>
        <v>0</v>
      </c>
      <c r="V474" s="2305">
        <f t="shared" si="113"/>
        <v>0</v>
      </c>
      <c r="W474" s="2300"/>
      <c r="X474" s="2305">
        <f t="shared" si="114"/>
        <v>0</v>
      </c>
      <c r="Y474" s="2305">
        <f t="shared" si="115"/>
        <v>0</v>
      </c>
      <c r="Z474" s="2300"/>
    </row>
    <row r="475" spans="1:26">
      <c r="A475" s="292" t="str">
        <f>'7.15'!B453</f>
        <v>9幢1单元1003室</v>
      </c>
      <c r="B475" s="207">
        <f>'7.17'!G453</f>
        <v>88.19</v>
      </c>
      <c r="C475" s="197">
        <f t="shared" si="104"/>
        <v>1</v>
      </c>
      <c r="D475" s="995" t="s">
        <v>7606</v>
      </c>
      <c r="E475" s="197">
        <f t="shared" si="105"/>
        <v>1</v>
      </c>
      <c r="F475" s="995" t="str">
        <f>'7.15'!D453</f>
        <v>平层</v>
      </c>
      <c r="G475" s="197">
        <f t="shared" si="106"/>
        <v>1</v>
      </c>
      <c r="H475" s="995" t="str">
        <f>'7.15'!E453</f>
        <v>南北</v>
      </c>
      <c r="I475" s="197">
        <f t="shared" si="107"/>
        <v>1</v>
      </c>
      <c r="J475" s="995"/>
      <c r="K475" s="197">
        <f t="shared" si="108"/>
        <v>1</v>
      </c>
      <c r="L475" s="995"/>
      <c r="M475" s="197">
        <f t="shared" si="109"/>
        <v>1</v>
      </c>
      <c r="N475" s="995"/>
      <c r="O475" s="197">
        <f t="shared" si="110"/>
        <v>1</v>
      </c>
      <c r="P475" s="995"/>
      <c r="Q475" s="197">
        <f t="shared" si="111"/>
        <v>1</v>
      </c>
      <c r="R475" s="991">
        <f t="shared" ca="1" si="116"/>
        <v>15932</v>
      </c>
      <c r="S475" s="552">
        <f t="shared" ca="1" si="117"/>
        <v>1405043</v>
      </c>
      <c r="T475" s="2010">
        <f t="shared" ca="1" si="118"/>
        <v>141</v>
      </c>
      <c r="U475" s="2305">
        <f t="shared" si="112"/>
        <v>0</v>
      </c>
      <c r="V475" s="2305">
        <f t="shared" si="113"/>
        <v>0</v>
      </c>
      <c r="W475" s="2300"/>
      <c r="X475" s="2305">
        <f t="shared" si="114"/>
        <v>0</v>
      </c>
      <c r="Y475" s="2305">
        <f t="shared" si="115"/>
        <v>0</v>
      </c>
      <c r="Z475" s="2300"/>
    </row>
    <row r="476" spans="1:26">
      <c r="A476" s="292" t="str">
        <f>'7.15'!B454</f>
        <v>9幢1单元1103室</v>
      </c>
      <c r="B476" s="207">
        <f>'7.17'!G454</f>
        <v>88.19</v>
      </c>
      <c r="C476" s="197">
        <f t="shared" ref="C476:C527" si="119">IF(B476="",1,(LOOKUP(B476,$6:$6,$7:$7)-LOOKUP($B$27,$6:$6,$7:$7)+100)/100)</f>
        <v>1</v>
      </c>
      <c r="D476" s="995" t="s">
        <v>7609</v>
      </c>
      <c r="E476" s="197">
        <f t="shared" ref="E476:E527" si="120">(SUMIF($8:$8,D476,$9:$9)-SUMIF($8:$8,$D$27,$9:$9)+100)/100</f>
        <v>1.04</v>
      </c>
      <c r="F476" s="995" t="str">
        <f>'7.15'!D454</f>
        <v>平层</v>
      </c>
      <c r="G476" s="197">
        <f t="shared" ref="G476:G527" si="121">(SUMIF($10:$10,F476,$11:$11)-SUMIF($10:$10,$F$27,$11:$11)+100)/100</f>
        <v>1</v>
      </c>
      <c r="H476" s="995" t="str">
        <f>'7.15'!E454</f>
        <v>南北</v>
      </c>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ca="1" si="116"/>
        <v>16569</v>
      </c>
      <c r="S476" s="552">
        <f t="shared" ca="1" si="117"/>
        <v>1461220</v>
      </c>
      <c r="T476" s="2010">
        <f t="shared" ca="1" si="118"/>
        <v>146</v>
      </c>
      <c r="U476" s="2305">
        <f t="shared" ref="U476:U527" si="127">ROUND(W476*B476,0)</f>
        <v>0</v>
      </c>
      <c r="V476" s="2305">
        <f t="shared" ref="V476:V527" si="128">ROUND(W476*B476/10000,0)</f>
        <v>0</v>
      </c>
      <c r="W476" s="2300"/>
      <c r="X476" s="2305">
        <f t="shared" ref="X476:X527" si="129">ROUND(Z476*B476,0)</f>
        <v>0</v>
      </c>
      <c r="Y476" s="2305">
        <f t="shared" ref="Y476:Y527" si="130">ROUND(Z476*B476/10000,0)</f>
        <v>0</v>
      </c>
      <c r="Z476" s="2300"/>
    </row>
    <row r="477" spans="1:26">
      <c r="A477" s="292" t="str">
        <f>'7.15'!B455</f>
        <v>9幢1单元1203室</v>
      </c>
      <c r="B477" s="207">
        <f>'7.17'!G455</f>
        <v>88.19</v>
      </c>
      <c r="C477" s="197">
        <f t="shared" si="119"/>
        <v>1</v>
      </c>
      <c r="D477" s="995" t="s">
        <v>7609</v>
      </c>
      <c r="E477" s="197">
        <f t="shared" si="120"/>
        <v>1.04</v>
      </c>
      <c r="F477" s="995" t="str">
        <f>'7.15'!D455</f>
        <v>平层</v>
      </c>
      <c r="G477" s="197">
        <f t="shared" si="121"/>
        <v>1</v>
      </c>
      <c r="H477" s="995" t="str">
        <f>'7.15'!E455</f>
        <v>南北</v>
      </c>
      <c r="I477" s="197">
        <f t="shared" si="122"/>
        <v>1</v>
      </c>
      <c r="J477" s="995"/>
      <c r="K477" s="197">
        <f t="shared" si="123"/>
        <v>1</v>
      </c>
      <c r="L477" s="995"/>
      <c r="M477" s="197">
        <f t="shared" si="124"/>
        <v>1</v>
      </c>
      <c r="N477" s="995"/>
      <c r="O477" s="197">
        <f t="shared" si="125"/>
        <v>1</v>
      </c>
      <c r="P477" s="995"/>
      <c r="Q477" s="197">
        <f t="shared" si="126"/>
        <v>1</v>
      </c>
      <c r="R477" s="991">
        <f t="shared" ref="R477:R527" ca="1" si="131">IF(B477="",0,ROUND($R$27*C477*E477*G477*I477*K477*M477*O477*Q477,0))</f>
        <v>16569</v>
      </c>
      <c r="S477" s="552">
        <f t="shared" ref="S477:S527" ca="1" si="132">ROUND(R477*B477,0)</f>
        <v>1461220</v>
      </c>
      <c r="T477" s="2010">
        <f t="shared" ref="T477:T527" ca="1" si="133">ROUND(R477*B477/10000,0)</f>
        <v>146</v>
      </c>
      <c r="U477" s="2305">
        <f t="shared" si="127"/>
        <v>0</v>
      </c>
      <c r="V477" s="2305">
        <f t="shared" si="128"/>
        <v>0</v>
      </c>
      <c r="W477" s="2300"/>
      <c r="X477" s="2305">
        <f t="shared" si="129"/>
        <v>0</v>
      </c>
      <c r="Y477" s="2305">
        <f t="shared" si="130"/>
        <v>0</v>
      </c>
      <c r="Z477" s="2300"/>
    </row>
    <row r="478" spans="1:26">
      <c r="A478" s="292" t="str">
        <f>'7.15'!B456</f>
        <v>9幢1单元1303室</v>
      </c>
      <c r="B478" s="207">
        <f>'7.17'!G456</f>
        <v>88.19</v>
      </c>
      <c r="C478" s="197">
        <f t="shared" si="119"/>
        <v>1</v>
      </c>
      <c r="D478" s="995" t="s">
        <v>7609</v>
      </c>
      <c r="E478" s="197">
        <f t="shared" si="120"/>
        <v>1.04</v>
      </c>
      <c r="F478" s="995" t="str">
        <f>'7.15'!D456</f>
        <v>平层</v>
      </c>
      <c r="G478" s="197">
        <f t="shared" si="121"/>
        <v>1</v>
      </c>
      <c r="H478" s="995" t="str">
        <f>'7.15'!E456</f>
        <v>南北</v>
      </c>
      <c r="I478" s="197">
        <f t="shared" si="122"/>
        <v>1</v>
      </c>
      <c r="J478" s="995"/>
      <c r="K478" s="197">
        <f t="shared" si="123"/>
        <v>1</v>
      </c>
      <c r="L478" s="995"/>
      <c r="M478" s="197">
        <f t="shared" si="124"/>
        <v>1</v>
      </c>
      <c r="N478" s="995"/>
      <c r="O478" s="197">
        <f t="shared" si="125"/>
        <v>1</v>
      </c>
      <c r="P478" s="995"/>
      <c r="Q478" s="197">
        <f t="shared" si="126"/>
        <v>1</v>
      </c>
      <c r="R478" s="991">
        <f t="shared" ca="1" si="131"/>
        <v>16569</v>
      </c>
      <c r="S478" s="552">
        <f t="shared" ca="1" si="132"/>
        <v>1461220</v>
      </c>
      <c r="T478" s="2010">
        <f t="shared" ca="1" si="133"/>
        <v>146</v>
      </c>
      <c r="U478" s="2305">
        <f t="shared" si="127"/>
        <v>0</v>
      </c>
      <c r="V478" s="2305">
        <f t="shared" si="128"/>
        <v>0</v>
      </c>
      <c r="W478" s="2300"/>
      <c r="X478" s="2305">
        <f t="shared" si="129"/>
        <v>0</v>
      </c>
      <c r="Y478" s="2305">
        <f t="shared" si="130"/>
        <v>0</v>
      </c>
      <c r="Z478" s="2300"/>
    </row>
    <row r="479" spans="1:26">
      <c r="A479" s="292" t="str">
        <f>'7.15'!B457</f>
        <v>9幢1单元1403室</v>
      </c>
      <c r="B479" s="207">
        <f>'7.17'!G457</f>
        <v>88.19</v>
      </c>
      <c r="C479" s="197">
        <f t="shared" si="119"/>
        <v>1</v>
      </c>
      <c r="D479" s="995" t="s">
        <v>7609</v>
      </c>
      <c r="E479" s="197">
        <f t="shared" si="120"/>
        <v>1.04</v>
      </c>
      <c r="F479" s="995" t="str">
        <f>'7.15'!D457</f>
        <v>平层</v>
      </c>
      <c r="G479" s="197">
        <f t="shared" si="121"/>
        <v>1</v>
      </c>
      <c r="H479" s="995" t="str">
        <f>'7.15'!E457</f>
        <v>南北</v>
      </c>
      <c r="I479" s="197">
        <f t="shared" si="122"/>
        <v>1</v>
      </c>
      <c r="J479" s="995"/>
      <c r="K479" s="197">
        <f t="shared" si="123"/>
        <v>1</v>
      </c>
      <c r="L479" s="995"/>
      <c r="M479" s="197">
        <f t="shared" si="124"/>
        <v>1</v>
      </c>
      <c r="N479" s="995"/>
      <c r="O479" s="197">
        <f t="shared" si="125"/>
        <v>1</v>
      </c>
      <c r="P479" s="995"/>
      <c r="Q479" s="197">
        <f t="shared" si="126"/>
        <v>1</v>
      </c>
      <c r="R479" s="991">
        <f t="shared" ca="1" si="131"/>
        <v>16569</v>
      </c>
      <c r="S479" s="552">
        <f t="shared" ca="1" si="132"/>
        <v>1461220</v>
      </c>
      <c r="T479" s="2010">
        <f t="shared" ca="1" si="133"/>
        <v>146</v>
      </c>
      <c r="U479" s="2305">
        <f t="shared" si="127"/>
        <v>0</v>
      </c>
      <c r="V479" s="2305">
        <f t="shared" si="128"/>
        <v>0</v>
      </c>
      <c r="W479" s="2300"/>
      <c r="X479" s="2305">
        <f t="shared" si="129"/>
        <v>0</v>
      </c>
      <c r="Y479" s="2305">
        <f t="shared" si="130"/>
        <v>0</v>
      </c>
      <c r="Z479" s="2300"/>
    </row>
    <row r="480" spans="1:26">
      <c r="A480" s="292" t="str">
        <f>'7.15'!B458</f>
        <v>9幢1单元1503室</v>
      </c>
      <c r="B480" s="207">
        <f>'7.17'!G458</f>
        <v>88.19</v>
      </c>
      <c r="C480" s="197">
        <f t="shared" si="119"/>
        <v>1</v>
      </c>
      <c r="D480" s="995" t="s">
        <v>7609</v>
      </c>
      <c r="E480" s="197">
        <f t="shared" si="120"/>
        <v>1.04</v>
      </c>
      <c r="F480" s="995" t="str">
        <f>'7.15'!D458</f>
        <v>平层</v>
      </c>
      <c r="G480" s="197">
        <f t="shared" si="121"/>
        <v>1</v>
      </c>
      <c r="H480" s="995" t="str">
        <f>'7.15'!E458</f>
        <v>南北</v>
      </c>
      <c r="I480" s="197">
        <f t="shared" si="122"/>
        <v>1</v>
      </c>
      <c r="J480" s="995"/>
      <c r="K480" s="197">
        <f t="shared" si="123"/>
        <v>1</v>
      </c>
      <c r="L480" s="995"/>
      <c r="M480" s="197">
        <f t="shared" si="124"/>
        <v>1</v>
      </c>
      <c r="N480" s="995"/>
      <c r="O480" s="197">
        <f t="shared" si="125"/>
        <v>1</v>
      </c>
      <c r="P480" s="995"/>
      <c r="Q480" s="197">
        <f t="shared" si="126"/>
        <v>1</v>
      </c>
      <c r="R480" s="991">
        <f t="shared" ca="1" si="131"/>
        <v>16569</v>
      </c>
      <c r="S480" s="552">
        <f t="shared" ca="1" si="132"/>
        <v>1461220</v>
      </c>
      <c r="T480" s="2010">
        <f t="shared" ca="1" si="133"/>
        <v>146</v>
      </c>
      <c r="U480" s="2305">
        <f t="shared" si="127"/>
        <v>0</v>
      </c>
      <c r="V480" s="2305">
        <f t="shared" si="128"/>
        <v>0</v>
      </c>
      <c r="W480" s="2300"/>
      <c r="X480" s="2305">
        <f t="shared" si="129"/>
        <v>0</v>
      </c>
      <c r="Y480" s="2305">
        <f t="shared" si="130"/>
        <v>0</v>
      </c>
      <c r="Z480" s="2300"/>
    </row>
    <row r="481" spans="1:26">
      <c r="A481" s="292" t="str">
        <f>'7.15'!B459</f>
        <v>9幢1单元1603室</v>
      </c>
      <c r="B481" s="207">
        <f>'7.17'!G459</f>
        <v>88.19</v>
      </c>
      <c r="C481" s="197">
        <f t="shared" si="119"/>
        <v>1</v>
      </c>
      <c r="D481" s="995" t="s">
        <v>7609</v>
      </c>
      <c r="E481" s="197">
        <f t="shared" si="120"/>
        <v>1.04</v>
      </c>
      <c r="F481" s="995" t="str">
        <f>'7.15'!D459</f>
        <v>平层</v>
      </c>
      <c r="G481" s="197">
        <f t="shared" si="121"/>
        <v>1</v>
      </c>
      <c r="H481" s="995" t="str">
        <f>'7.15'!E459</f>
        <v>南北</v>
      </c>
      <c r="I481" s="197">
        <f t="shared" si="122"/>
        <v>1</v>
      </c>
      <c r="J481" s="995"/>
      <c r="K481" s="197">
        <f t="shared" si="123"/>
        <v>1</v>
      </c>
      <c r="L481" s="995"/>
      <c r="M481" s="197">
        <f t="shared" si="124"/>
        <v>1</v>
      </c>
      <c r="N481" s="995"/>
      <c r="O481" s="197">
        <f t="shared" si="125"/>
        <v>1</v>
      </c>
      <c r="P481" s="995"/>
      <c r="Q481" s="197">
        <f t="shared" si="126"/>
        <v>1</v>
      </c>
      <c r="R481" s="991">
        <f t="shared" ca="1" si="131"/>
        <v>16569</v>
      </c>
      <c r="S481" s="552">
        <f t="shared" ca="1" si="132"/>
        <v>1461220</v>
      </c>
      <c r="T481" s="2010">
        <f t="shared" ca="1" si="133"/>
        <v>146</v>
      </c>
      <c r="U481" s="2305">
        <f t="shared" si="127"/>
        <v>0</v>
      </c>
      <c r="V481" s="2305">
        <f t="shared" si="128"/>
        <v>0</v>
      </c>
      <c r="W481" s="2300"/>
      <c r="X481" s="2305">
        <f t="shared" si="129"/>
        <v>0</v>
      </c>
      <c r="Y481" s="2305">
        <f t="shared" si="130"/>
        <v>0</v>
      </c>
      <c r="Z481" s="2300"/>
    </row>
    <row r="482" spans="1:26">
      <c r="A482" s="292" t="str">
        <f>'7.15'!B460</f>
        <v>9幢1单元1703室</v>
      </c>
      <c r="B482" s="207">
        <f>'7.17'!G460</f>
        <v>88.19</v>
      </c>
      <c r="C482" s="197">
        <f t="shared" si="119"/>
        <v>1</v>
      </c>
      <c r="D482" s="995" t="s">
        <v>7609</v>
      </c>
      <c r="E482" s="197">
        <f t="shared" si="120"/>
        <v>1.04</v>
      </c>
      <c r="F482" s="995" t="str">
        <f>'7.15'!D460</f>
        <v>平层</v>
      </c>
      <c r="G482" s="197">
        <f t="shared" si="121"/>
        <v>1</v>
      </c>
      <c r="H482" s="995" t="str">
        <f>'7.15'!E460</f>
        <v>南北</v>
      </c>
      <c r="I482" s="197">
        <f t="shared" si="122"/>
        <v>1</v>
      </c>
      <c r="J482" s="995"/>
      <c r="K482" s="197">
        <f t="shared" si="123"/>
        <v>1</v>
      </c>
      <c r="L482" s="995"/>
      <c r="M482" s="197">
        <f t="shared" si="124"/>
        <v>1</v>
      </c>
      <c r="N482" s="995"/>
      <c r="O482" s="197">
        <f t="shared" si="125"/>
        <v>1</v>
      </c>
      <c r="P482" s="995"/>
      <c r="Q482" s="197">
        <f t="shared" si="126"/>
        <v>1</v>
      </c>
      <c r="R482" s="991">
        <f t="shared" ca="1" si="131"/>
        <v>16569</v>
      </c>
      <c r="S482" s="552">
        <f t="shared" ca="1" si="132"/>
        <v>1461220</v>
      </c>
      <c r="T482" s="2010">
        <f t="shared" ca="1" si="133"/>
        <v>146</v>
      </c>
      <c r="U482" s="2305">
        <f t="shared" si="127"/>
        <v>0</v>
      </c>
      <c r="V482" s="2305">
        <f t="shared" si="128"/>
        <v>0</v>
      </c>
      <c r="W482" s="2300"/>
      <c r="X482" s="2305">
        <f t="shared" si="129"/>
        <v>0</v>
      </c>
      <c r="Y482" s="2305">
        <f t="shared" si="130"/>
        <v>0</v>
      </c>
      <c r="Z482" s="2300"/>
    </row>
    <row r="483" spans="1:26">
      <c r="A483" s="292" t="str">
        <f>'7.15'!B461</f>
        <v>9幢1单元1803室</v>
      </c>
      <c r="B483" s="207">
        <f>'7.17'!G461</f>
        <v>88.19</v>
      </c>
      <c r="C483" s="197">
        <f t="shared" si="119"/>
        <v>1</v>
      </c>
      <c r="D483" s="995" t="s">
        <v>7609</v>
      </c>
      <c r="E483" s="197">
        <f t="shared" si="120"/>
        <v>1.04</v>
      </c>
      <c r="F483" s="995" t="str">
        <f>'7.15'!D461</f>
        <v>平层</v>
      </c>
      <c r="G483" s="197">
        <f t="shared" si="121"/>
        <v>1</v>
      </c>
      <c r="H483" s="995" t="str">
        <f>'7.15'!E461</f>
        <v>南北</v>
      </c>
      <c r="I483" s="197">
        <f t="shared" si="122"/>
        <v>1</v>
      </c>
      <c r="J483" s="995"/>
      <c r="K483" s="197">
        <f t="shared" si="123"/>
        <v>1</v>
      </c>
      <c r="L483" s="995"/>
      <c r="M483" s="197">
        <f t="shared" si="124"/>
        <v>1</v>
      </c>
      <c r="N483" s="995"/>
      <c r="O483" s="197">
        <f t="shared" si="125"/>
        <v>1</v>
      </c>
      <c r="P483" s="995"/>
      <c r="Q483" s="197">
        <f t="shared" si="126"/>
        <v>1</v>
      </c>
      <c r="R483" s="991">
        <f t="shared" ca="1" si="131"/>
        <v>16569</v>
      </c>
      <c r="S483" s="552">
        <f t="shared" ca="1" si="132"/>
        <v>1461220</v>
      </c>
      <c r="T483" s="2010">
        <f t="shared" ca="1" si="133"/>
        <v>146</v>
      </c>
      <c r="U483" s="2305">
        <f t="shared" si="127"/>
        <v>0</v>
      </c>
      <c r="V483" s="2305">
        <f t="shared" si="128"/>
        <v>0</v>
      </c>
      <c r="W483" s="2300"/>
      <c r="X483" s="2305">
        <f t="shared" si="129"/>
        <v>0</v>
      </c>
      <c r="Y483" s="2305">
        <f t="shared" si="130"/>
        <v>0</v>
      </c>
      <c r="Z483" s="2300"/>
    </row>
    <row r="484" spans="1:26">
      <c r="A484" s="292" t="str">
        <f>'7.15'!B462</f>
        <v>9幢1单元1903室</v>
      </c>
      <c r="B484" s="207">
        <f>'7.17'!G462</f>
        <v>88.19</v>
      </c>
      <c r="C484" s="197">
        <f t="shared" si="119"/>
        <v>1</v>
      </c>
      <c r="D484" s="995" t="s">
        <v>7609</v>
      </c>
      <c r="E484" s="197">
        <f t="shared" si="120"/>
        <v>1.04</v>
      </c>
      <c r="F484" s="995" t="str">
        <f>'7.15'!D462</f>
        <v>平层</v>
      </c>
      <c r="G484" s="197">
        <f t="shared" si="121"/>
        <v>1</v>
      </c>
      <c r="H484" s="995" t="str">
        <f>'7.15'!E462</f>
        <v>南北</v>
      </c>
      <c r="I484" s="197">
        <f t="shared" si="122"/>
        <v>1</v>
      </c>
      <c r="J484" s="995"/>
      <c r="K484" s="197">
        <f t="shared" si="123"/>
        <v>1</v>
      </c>
      <c r="L484" s="995"/>
      <c r="M484" s="197">
        <f t="shared" si="124"/>
        <v>1</v>
      </c>
      <c r="N484" s="995"/>
      <c r="O484" s="197">
        <f t="shared" si="125"/>
        <v>1</v>
      </c>
      <c r="P484" s="995"/>
      <c r="Q484" s="197">
        <f t="shared" si="126"/>
        <v>1</v>
      </c>
      <c r="R484" s="991">
        <f t="shared" ca="1" si="131"/>
        <v>16569</v>
      </c>
      <c r="S484" s="552">
        <f t="shared" ca="1" si="132"/>
        <v>1461220</v>
      </c>
      <c r="T484" s="2010">
        <f t="shared" ca="1" si="133"/>
        <v>146</v>
      </c>
      <c r="U484" s="2305">
        <f t="shared" si="127"/>
        <v>0</v>
      </c>
      <c r="V484" s="2305">
        <f t="shared" si="128"/>
        <v>0</v>
      </c>
      <c r="W484" s="2300"/>
      <c r="X484" s="2305">
        <f t="shared" si="129"/>
        <v>0</v>
      </c>
      <c r="Y484" s="2305">
        <f t="shared" si="130"/>
        <v>0</v>
      </c>
      <c r="Z484" s="2300"/>
    </row>
    <row r="485" spans="1:26">
      <c r="A485" s="292" t="str">
        <f>'7.15'!B463</f>
        <v>9幢1单元2003室</v>
      </c>
      <c r="B485" s="207">
        <f>'7.17'!G463</f>
        <v>88.19</v>
      </c>
      <c r="C485" s="197">
        <f t="shared" si="119"/>
        <v>1</v>
      </c>
      <c r="D485" s="995" t="s">
        <v>7609</v>
      </c>
      <c r="E485" s="197">
        <f t="shared" si="120"/>
        <v>1.04</v>
      </c>
      <c r="F485" s="995" t="str">
        <f>'7.15'!D463</f>
        <v>平层</v>
      </c>
      <c r="G485" s="197">
        <f t="shared" si="121"/>
        <v>1</v>
      </c>
      <c r="H485" s="995" t="str">
        <f>'7.15'!E463</f>
        <v>南北</v>
      </c>
      <c r="I485" s="197">
        <f t="shared" si="122"/>
        <v>1</v>
      </c>
      <c r="J485" s="995"/>
      <c r="K485" s="197">
        <f t="shared" si="123"/>
        <v>1</v>
      </c>
      <c r="L485" s="995"/>
      <c r="M485" s="197">
        <f t="shared" si="124"/>
        <v>1</v>
      </c>
      <c r="N485" s="995"/>
      <c r="O485" s="197">
        <f t="shared" si="125"/>
        <v>1</v>
      </c>
      <c r="P485" s="995"/>
      <c r="Q485" s="197">
        <f t="shared" si="126"/>
        <v>1</v>
      </c>
      <c r="R485" s="991">
        <f t="shared" ca="1" si="131"/>
        <v>16569</v>
      </c>
      <c r="S485" s="552">
        <f t="shared" ca="1" si="132"/>
        <v>1461220</v>
      </c>
      <c r="T485" s="2010">
        <f t="shared" ca="1" si="133"/>
        <v>146</v>
      </c>
      <c r="U485" s="2305">
        <f t="shared" si="127"/>
        <v>0</v>
      </c>
      <c r="V485" s="2305">
        <f t="shared" si="128"/>
        <v>0</v>
      </c>
      <c r="W485" s="2300"/>
      <c r="X485" s="2305">
        <f t="shared" si="129"/>
        <v>0</v>
      </c>
      <c r="Y485" s="2305">
        <f t="shared" si="130"/>
        <v>0</v>
      </c>
      <c r="Z485" s="2300"/>
    </row>
    <row r="486" spans="1:26">
      <c r="A486" s="292" t="str">
        <f>'7.15'!B464</f>
        <v>9幢1单元2103室</v>
      </c>
      <c r="B486" s="207">
        <f>'7.17'!G464</f>
        <v>88.19</v>
      </c>
      <c r="C486" s="197">
        <f t="shared" si="119"/>
        <v>1</v>
      </c>
      <c r="D486" s="995" t="s">
        <v>7608</v>
      </c>
      <c r="E486" s="197">
        <f t="shared" si="120"/>
        <v>1.02</v>
      </c>
      <c r="F486" s="995" t="str">
        <f>'7.15'!D464</f>
        <v>平层</v>
      </c>
      <c r="G486" s="197">
        <f t="shared" si="121"/>
        <v>1</v>
      </c>
      <c r="H486" s="995" t="str">
        <f>'7.15'!E464</f>
        <v>南北</v>
      </c>
      <c r="I486" s="197">
        <f t="shared" si="122"/>
        <v>1</v>
      </c>
      <c r="J486" s="995"/>
      <c r="K486" s="197">
        <f t="shared" si="123"/>
        <v>1</v>
      </c>
      <c r="L486" s="995"/>
      <c r="M486" s="197">
        <f t="shared" si="124"/>
        <v>1</v>
      </c>
      <c r="N486" s="995"/>
      <c r="O486" s="197">
        <f t="shared" si="125"/>
        <v>1</v>
      </c>
      <c r="P486" s="995"/>
      <c r="Q486" s="197">
        <f t="shared" si="126"/>
        <v>1</v>
      </c>
      <c r="R486" s="991">
        <f t="shared" ca="1" si="131"/>
        <v>16251</v>
      </c>
      <c r="S486" s="552">
        <f t="shared" ca="1" si="132"/>
        <v>1433176</v>
      </c>
      <c r="T486" s="2010">
        <f t="shared" ca="1" si="133"/>
        <v>143</v>
      </c>
      <c r="U486" s="2305">
        <f t="shared" si="127"/>
        <v>0</v>
      </c>
      <c r="V486" s="2305">
        <f t="shared" si="128"/>
        <v>0</v>
      </c>
      <c r="W486" s="2300"/>
      <c r="X486" s="2305">
        <f t="shared" si="129"/>
        <v>0</v>
      </c>
      <c r="Y486" s="2305">
        <f t="shared" si="130"/>
        <v>0</v>
      </c>
      <c r="Z486" s="2300"/>
    </row>
    <row r="487" spans="1:26">
      <c r="A487" s="292" t="str">
        <f>'7.15'!B465</f>
        <v>9幢1单元2203室</v>
      </c>
      <c r="B487" s="207">
        <f>'7.17'!G465</f>
        <v>88.19</v>
      </c>
      <c r="C487" s="197">
        <f t="shared" si="119"/>
        <v>1</v>
      </c>
      <c r="D487" s="995" t="s">
        <v>7608</v>
      </c>
      <c r="E487" s="197">
        <f t="shared" si="120"/>
        <v>1.02</v>
      </c>
      <c r="F487" s="995" t="str">
        <f>'7.15'!D465</f>
        <v>平层</v>
      </c>
      <c r="G487" s="197">
        <f t="shared" si="121"/>
        <v>1</v>
      </c>
      <c r="H487" s="995" t="str">
        <f>'7.15'!E465</f>
        <v>南北</v>
      </c>
      <c r="I487" s="197">
        <f t="shared" si="122"/>
        <v>1</v>
      </c>
      <c r="J487" s="995"/>
      <c r="K487" s="197">
        <f t="shared" si="123"/>
        <v>1</v>
      </c>
      <c r="L487" s="995"/>
      <c r="M487" s="197">
        <f t="shared" si="124"/>
        <v>1</v>
      </c>
      <c r="N487" s="995"/>
      <c r="O487" s="197">
        <f t="shared" si="125"/>
        <v>1</v>
      </c>
      <c r="P487" s="995"/>
      <c r="Q487" s="197">
        <f t="shared" si="126"/>
        <v>1</v>
      </c>
      <c r="R487" s="991">
        <f t="shared" ca="1" si="131"/>
        <v>16251</v>
      </c>
      <c r="S487" s="552">
        <f t="shared" ca="1" si="132"/>
        <v>1433176</v>
      </c>
      <c r="T487" s="2010">
        <f t="shared" ca="1" si="133"/>
        <v>143</v>
      </c>
      <c r="U487" s="2305">
        <f t="shared" si="127"/>
        <v>0</v>
      </c>
      <c r="V487" s="2305">
        <f t="shared" si="128"/>
        <v>0</v>
      </c>
      <c r="W487" s="2300"/>
      <c r="X487" s="2305">
        <f t="shared" si="129"/>
        <v>0</v>
      </c>
      <c r="Y487" s="2305">
        <f t="shared" si="130"/>
        <v>0</v>
      </c>
      <c r="Z487" s="2300"/>
    </row>
    <row r="488" spans="1:26">
      <c r="A488" s="292" t="str">
        <f>'7.15'!B466</f>
        <v>9幢1单元2303室</v>
      </c>
      <c r="B488" s="207">
        <f>'7.17'!G466</f>
        <v>88.19</v>
      </c>
      <c r="C488" s="197">
        <f t="shared" si="119"/>
        <v>1</v>
      </c>
      <c r="D488" s="995" t="s">
        <v>7608</v>
      </c>
      <c r="E488" s="197">
        <f t="shared" si="120"/>
        <v>1.02</v>
      </c>
      <c r="F488" s="995" t="str">
        <f>'7.15'!D466</f>
        <v>平层</v>
      </c>
      <c r="G488" s="197">
        <f t="shared" si="121"/>
        <v>1</v>
      </c>
      <c r="H488" s="995" t="str">
        <f>'7.15'!E466</f>
        <v>南北</v>
      </c>
      <c r="I488" s="197">
        <f t="shared" si="122"/>
        <v>1</v>
      </c>
      <c r="J488" s="995"/>
      <c r="K488" s="197">
        <f t="shared" si="123"/>
        <v>1</v>
      </c>
      <c r="L488" s="995"/>
      <c r="M488" s="197">
        <f t="shared" si="124"/>
        <v>1</v>
      </c>
      <c r="N488" s="995"/>
      <c r="O488" s="197">
        <f t="shared" si="125"/>
        <v>1</v>
      </c>
      <c r="P488" s="995"/>
      <c r="Q488" s="197">
        <f t="shared" si="126"/>
        <v>1</v>
      </c>
      <c r="R488" s="991">
        <f t="shared" ca="1" si="131"/>
        <v>16251</v>
      </c>
      <c r="S488" s="552">
        <f t="shared" ca="1" si="132"/>
        <v>1433176</v>
      </c>
      <c r="T488" s="2010">
        <f t="shared" ca="1" si="133"/>
        <v>143</v>
      </c>
      <c r="U488" s="2305">
        <f t="shared" si="127"/>
        <v>0</v>
      </c>
      <c r="V488" s="2305">
        <f t="shared" si="128"/>
        <v>0</v>
      </c>
      <c r="W488" s="2300"/>
      <c r="X488" s="2305">
        <f t="shared" si="129"/>
        <v>0</v>
      </c>
      <c r="Y488" s="2305">
        <f t="shared" si="130"/>
        <v>0</v>
      </c>
      <c r="Z488" s="2300"/>
    </row>
    <row r="489" spans="1:26">
      <c r="A489" s="292" t="str">
        <f>'7.15'!B467</f>
        <v>9幢1单元2403室</v>
      </c>
      <c r="B489" s="207">
        <f>'7.17'!G467</f>
        <v>88.19</v>
      </c>
      <c r="C489" s="197">
        <f t="shared" si="119"/>
        <v>1</v>
      </c>
      <c r="D489" s="995" t="s">
        <v>7608</v>
      </c>
      <c r="E489" s="197">
        <f t="shared" si="120"/>
        <v>1.02</v>
      </c>
      <c r="F489" s="995" t="str">
        <f>'7.15'!D467</f>
        <v>平层</v>
      </c>
      <c r="G489" s="197">
        <f t="shared" si="121"/>
        <v>1</v>
      </c>
      <c r="H489" s="995" t="str">
        <f>'7.15'!E467</f>
        <v>南北</v>
      </c>
      <c r="I489" s="197">
        <f t="shared" si="122"/>
        <v>1</v>
      </c>
      <c r="J489" s="995"/>
      <c r="K489" s="197">
        <f t="shared" si="123"/>
        <v>1</v>
      </c>
      <c r="L489" s="995"/>
      <c r="M489" s="197">
        <f t="shared" si="124"/>
        <v>1</v>
      </c>
      <c r="N489" s="995"/>
      <c r="O489" s="197">
        <f t="shared" si="125"/>
        <v>1</v>
      </c>
      <c r="P489" s="995"/>
      <c r="Q489" s="197">
        <f t="shared" si="126"/>
        <v>1</v>
      </c>
      <c r="R489" s="991">
        <f t="shared" ca="1" si="131"/>
        <v>16251</v>
      </c>
      <c r="S489" s="552">
        <f t="shared" ca="1" si="132"/>
        <v>1433176</v>
      </c>
      <c r="T489" s="2010">
        <f t="shared" ca="1" si="133"/>
        <v>143</v>
      </c>
      <c r="U489" s="2305">
        <f t="shared" si="127"/>
        <v>0</v>
      </c>
      <c r="V489" s="2305">
        <f t="shared" si="128"/>
        <v>0</v>
      </c>
      <c r="W489" s="2300"/>
      <c r="X489" s="2305">
        <f t="shared" si="129"/>
        <v>0</v>
      </c>
      <c r="Y489" s="2305">
        <f t="shared" si="130"/>
        <v>0</v>
      </c>
      <c r="Z489" s="2300"/>
    </row>
    <row r="490" spans="1:26">
      <c r="A490" s="292" t="str">
        <f>'7.15'!B468</f>
        <v>9幢1单元2503室</v>
      </c>
      <c r="B490" s="207">
        <f>'7.17'!G468</f>
        <v>88.19</v>
      </c>
      <c r="C490" s="197">
        <f t="shared" si="119"/>
        <v>1</v>
      </c>
      <c r="D490" s="995" t="s">
        <v>7608</v>
      </c>
      <c r="E490" s="197">
        <f t="shared" si="120"/>
        <v>1.02</v>
      </c>
      <c r="F490" s="995" t="str">
        <f>'7.15'!D468</f>
        <v>平层</v>
      </c>
      <c r="G490" s="197">
        <f t="shared" si="121"/>
        <v>1</v>
      </c>
      <c r="H490" s="995" t="str">
        <f>'7.15'!E468</f>
        <v>南北</v>
      </c>
      <c r="I490" s="197">
        <f t="shared" si="122"/>
        <v>1</v>
      </c>
      <c r="J490" s="995"/>
      <c r="K490" s="197">
        <f t="shared" si="123"/>
        <v>1</v>
      </c>
      <c r="L490" s="995"/>
      <c r="M490" s="197">
        <f t="shared" si="124"/>
        <v>1</v>
      </c>
      <c r="N490" s="995"/>
      <c r="O490" s="197">
        <f t="shared" si="125"/>
        <v>1</v>
      </c>
      <c r="P490" s="995"/>
      <c r="Q490" s="197">
        <f t="shared" si="126"/>
        <v>1</v>
      </c>
      <c r="R490" s="991">
        <f t="shared" ca="1" si="131"/>
        <v>16251</v>
      </c>
      <c r="S490" s="552">
        <f t="shared" ca="1" si="132"/>
        <v>1433176</v>
      </c>
      <c r="T490" s="2010">
        <f t="shared" ca="1" si="133"/>
        <v>143</v>
      </c>
      <c r="U490" s="2305">
        <f t="shared" si="127"/>
        <v>0</v>
      </c>
      <c r="V490" s="2305">
        <f t="shared" si="128"/>
        <v>0</v>
      </c>
      <c r="W490" s="2300"/>
      <c r="X490" s="2305">
        <f t="shared" si="129"/>
        <v>0</v>
      </c>
      <c r="Y490" s="2305">
        <f t="shared" si="130"/>
        <v>0</v>
      </c>
      <c r="Z490" s="2300"/>
    </row>
    <row r="491" spans="1:26">
      <c r="A491" s="292" t="str">
        <f>'7.15'!B469</f>
        <v>9幢1单元2603室</v>
      </c>
      <c r="B491" s="207">
        <f>'7.17'!G469</f>
        <v>88.19</v>
      </c>
      <c r="C491" s="197">
        <f t="shared" si="119"/>
        <v>1</v>
      </c>
      <c r="D491" s="995" t="s">
        <v>7608</v>
      </c>
      <c r="E491" s="197">
        <f t="shared" si="120"/>
        <v>1.02</v>
      </c>
      <c r="F491" s="995" t="str">
        <f>'7.15'!D469</f>
        <v>平层</v>
      </c>
      <c r="G491" s="197">
        <f t="shared" si="121"/>
        <v>1</v>
      </c>
      <c r="H491" s="995" t="str">
        <f>'7.15'!E469</f>
        <v>南北</v>
      </c>
      <c r="I491" s="197">
        <f t="shared" si="122"/>
        <v>1</v>
      </c>
      <c r="J491" s="995"/>
      <c r="K491" s="197">
        <f t="shared" si="123"/>
        <v>1</v>
      </c>
      <c r="L491" s="995"/>
      <c r="M491" s="197">
        <f t="shared" si="124"/>
        <v>1</v>
      </c>
      <c r="N491" s="995"/>
      <c r="O491" s="197">
        <f t="shared" si="125"/>
        <v>1</v>
      </c>
      <c r="P491" s="995"/>
      <c r="Q491" s="197">
        <f t="shared" si="126"/>
        <v>1</v>
      </c>
      <c r="R491" s="991">
        <f t="shared" ca="1" si="131"/>
        <v>16251</v>
      </c>
      <c r="S491" s="552">
        <f t="shared" ca="1" si="132"/>
        <v>1433176</v>
      </c>
      <c r="T491" s="2010">
        <f t="shared" ca="1" si="133"/>
        <v>143</v>
      </c>
      <c r="U491" s="2305">
        <f t="shared" si="127"/>
        <v>0</v>
      </c>
      <c r="V491" s="2305">
        <f t="shared" si="128"/>
        <v>0</v>
      </c>
      <c r="W491" s="2300"/>
      <c r="X491" s="2305">
        <f t="shared" si="129"/>
        <v>0</v>
      </c>
      <c r="Y491" s="2305">
        <f t="shared" si="130"/>
        <v>0</v>
      </c>
      <c r="Z491" s="2300"/>
    </row>
    <row r="492" spans="1:26">
      <c r="A492" s="292" t="str">
        <f>'7.15'!B470</f>
        <v>9幢1单元2703室</v>
      </c>
      <c r="B492" s="207">
        <f>'7.17'!G470</f>
        <v>88.19</v>
      </c>
      <c r="C492" s="197">
        <f t="shared" si="119"/>
        <v>1</v>
      </c>
      <c r="D492" s="995" t="s">
        <v>7608</v>
      </c>
      <c r="E492" s="197">
        <f t="shared" si="120"/>
        <v>1.02</v>
      </c>
      <c r="F492" s="995" t="str">
        <f>'7.15'!D470</f>
        <v>平层</v>
      </c>
      <c r="G492" s="197">
        <f t="shared" si="121"/>
        <v>1</v>
      </c>
      <c r="H492" s="995" t="str">
        <f>'7.15'!E470</f>
        <v>南北</v>
      </c>
      <c r="I492" s="197">
        <f t="shared" si="122"/>
        <v>1</v>
      </c>
      <c r="J492" s="995"/>
      <c r="K492" s="197">
        <f t="shared" si="123"/>
        <v>1</v>
      </c>
      <c r="L492" s="995"/>
      <c r="M492" s="197">
        <f t="shared" si="124"/>
        <v>1</v>
      </c>
      <c r="N492" s="995"/>
      <c r="O492" s="197">
        <f t="shared" si="125"/>
        <v>1</v>
      </c>
      <c r="P492" s="995"/>
      <c r="Q492" s="197">
        <f t="shared" si="126"/>
        <v>1</v>
      </c>
      <c r="R492" s="991">
        <f t="shared" ca="1" si="131"/>
        <v>16251</v>
      </c>
      <c r="S492" s="552">
        <f t="shared" ca="1" si="132"/>
        <v>1433176</v>
      </c>
      <c r="T492" s="2010">
        <f t="shared" ca="1" si="133"/>
        <v>143</v>
      </c>
      <c r="U492" s="2305">
        <f t="shared" si="127"/>
        <v>0</v>
      </c>
      <c r="V492" s="2305">
        <f t="shared" si="128"/>
        <v>0</v>
      </c>
      <c r="W492" s="2300"/>
      <c r="X492" s="2305">
        <f t="shared" si="129"/>
        <v>0</v>
      </c>
      <c r="Y492" s="2305">
        <f t="shared" si="130"/>
        <v>0</v>
      </c>
      <c r="Z492" s="2300"/>
    </row>
    <row r="493" spans="1:26">
      <c r="A493" s="292" t="str">
        <f>'7.15'!B471</f>
        <v>9幢1单元2803室</v>
      </c>
      <c r="B493" s="207">
        <f>'7.17'!G471</f>
        <v>88.19</v>
      </c>
      <c r="C493" s="197">
        <f t="shared" si="119"/>
        <v>1</v>
      </c>
      <c r="D493" s="995" t="s">
        <v>7608</v>
      </c>
      <c r="E493" s="197">
        <f t="shared" si="120"/>
        <v>1.02</v>
      </c>
      <c r="F493" s="995" t="str">
        <f>'7.15'!D471</f>
        <v>平层</v>
      </c>
      <c r="G493" s="197">
        <f t="shared" si="121"/>
        <v>1</v>
      </c>
      <c r="H493" s="995" t="str">
        <f>'7.15'!E471</f>
        <v>南北</v>
      </c>
      <c r="I493" s="197">
        <f t="shared" si="122"/>
        <v>1</v>
      </c>
      <c r="J493" s="995"/>
      <c r="K493" s="197">
        <f t="shared" si="123"/>
        <v>1</v>
      </c>
      <c r="L493" s="995"/>
      <c r="M493" s="197">
        <f t="shared" si="124"/>
        <v>1</v>
      </c>
      <c r="N493" s="995"/>
      <c r="O493" s="197">
        <f t="shared" si="125"/>
        <v>1</v>
      </c>
      <c r="P493" s="995"/>
      <c r="Q493" s="197">
        <f t="shared" si="126"/>
        <v>1</v>
      </c>
      <c r="R493" s="991">
        <f t="shared" ca="1" si="131"/>
        <v>16251</v>
      </c>
      <c r="S493" s="552">
        <f t="shared" ca="1" si="132"/>
        <v>1433176</v>
      </c>
      <c r="T493" s="2010">
        <f t="shared" ca="1" si="133"/>
        <v>143</v>
      </c>
      <c r="U493" s="2305">
        <f t="shared" si="127"/>
        <v>0</v>
      </c>
      <c r="V493" s="2305">
        <f t="shared" si="128"/>
        <v>0</v>
      </c>
      <c r="W493" s="2300"/>
      <c r="X493" s="2305">
        <f t="shared" si="129"/>
        <v>0</v>
      </c>
      <c r="Y493" s="2305">
        <f t="shared" si="130"/>
        <v>0</v>
      </c>
      <c r="Z493" s="2300"/>
    </row>
    <row r="494" spans="1:26">
      <c r="A494" s="292" t="str">
        <f>'7.15'!B472</f>
        <v>9幢1单元2903室</v>
      </c>
      <c r="B494" s="207">
        <f>'7.17'!G472</f>
        <v>88.19</v>
      </c>
      <c r="C494" s="197">
        <f t="shared" si="119"/>
        <v>1</v>
      </c>
      <c r="D494" s="995" t="s">
        <v>7608</v>
      </c>
      <c r="E494" s="197">
        <f t="shared" si="120"/>
        <v>1.02</v>
      </c>
      <c r="F494" s="995" t="str">
        <f>'7.15'!D472</f>
        <v>平层</v>
      </c>
      <c r="G494" s="197">
        <f t="shared" si="121"/>
        <v>1</v>
      </c>
      <c r="H494" s="995" t="str">
        <f>'7.15'!E472</f>
        <v>南北</v>
      </c>
      <c r="I494" s="197">
        <f t="shared" si="122"/>
        <v>1</v>
      </c>
      <c r="J494" s="995"/>
      <c r="K494" s="197">
        <f t="shared" si="123"/>
        <v>1</v>
      </c>
      <c r="L494" s="995"/>
      <c r="M494" s="197">
        <f t="shared" si="124"/>
        <v>1</v>
      </c>
      <c r="N494" s="995"/>
      <c r="O494" s="197">
        <f t="shared" si="125"/>
        <v>1</v>
      </c>
      <c r="P494" s="995"/>
      <c r="Q494" s="197">
        <f t="shared" si="126"/>
        <v>1</v>
      </c>
      <c r="R494" s="991">
        <f t="shared" ca="1" si="131"/>
        <v>16251</v>
      </c>
      <c r="S494" s="552">
        <f t="shared" ca="1" si="132"/>
        <v>1433176</v>
      </c>
      <c r="T494" s="2010">
        <f t="shared" ca="1" si="133"/>
        <v>143</v>
      </c>
      <c r="U494" s="2305">
        <f t="shared" si="127"/>
        <v>0</v>
      </c>
      <c r="V494" s="2305">
        <f t="shared" si="128"/>
        <v>0</v>
      </c>
      <c r="W494" s="2300"/>
      <c r="X494" s="2305">
        <f t="shared" si="129"/>
        <v>0</v>
      </c>
      <c r="Y494" s="2305">
        <f t="shared" si="130"/>
        <v>0</v>
      </c>
      <c r="Z494" s="2300"/>
    </row>
    <row r="495" spans="1:26">
      <c r="A495" s="292" t="str">
        <f>'7.15'!B473</f>
        <v>9幢1单元3003室</v>
      </c>
      <c r="B495" s="207">
        <f>'7.17'!G473</f>
        <v>88.19</v>
      </c>
      <c r="C495" s="197">
        <f t="shared" si="119"/>
        <v>1</v>
      </c>
      <c r="D495" s="995" t="s">
        <v>7608</v>
      </c>
      <c r="E495" s="197">
        <f t="shared" si="120"/>
        <v>1.02</v>
      </c>
      <c r="F495" s="995" t="str">
        <f>'7.15'!D473</f>
        <v>平层</v>
      </c>
      <c r="G495" s="197">
        <f t="shared" si="121"/>
        <v>1</v>
      </c>
      <c r="H495" s="995" t="str">
        <f>'7.15'!E473</f>
        <v>南北</v>
      </c>
      <c r="I495" s="197">
        <f t="shared" si="122"/>
        <v>1</v>
      </c>
      <c r="J495" s="995"/>
      <c r="K495" s="197">
        <f t="shared" si="123"/>
        <v>1</v>
      </c>
      <c r="L495" s="995"/>
      <c r="M495" s="197">
        <f t="shared" si="124"/>
        <v>1</v>
      </c>
      <c r="N495" s="995"/>
      <c r="O495" s="197">
        <f t="shared" si="125"/>
        <v>1</v>
      </c>
      <c r="P495" s="995"/>
      <c r="Q495" s="197">
        <f t="shared" si="126"/>
        <v>1</v>
      </c>
      <c r="R495" s="991">
        <f t="shared" ca="1" si="131"/>
        <v>16251</v>
      </c>
      <c r="S495" s="552">
        <f t="shared" ca="1" si="132"/>
        <v>1433176</v>
      </c>
      <c r="T495" s="2010">
        <f t="shared" ca="1" si="133"/>
        <v>143</v>
      </c>
      <c r="U495" s="2305">
        <f t="shared" si="127"/>
        <v>0</v>
      </c>
      <c r="V495" s="2305">
        <f t="shared" si="128"/>
        <v>0</v>
      </c>
      <c r="W495" s="2300"/>
      <c r="X495" s="2305">
        <f t="shared" si="129"/>
        <v>0</v>
      </c>
      <c r="Y495" s="2305">
        <f t="shared" si="130"/>
        <v>0</v>
      </c>
      <c r="Z495" s="2300"/>
    </row>
    <row r="496" spans="1:26">
      <c r="A496" s="292" t="str">
        <f>'7.15'!B474</f>
        <v>9幢1单元204室</v>
      </c>
      <c r="B496" s="207">
        <f>'7.17'!G474</f>
        <v>136.66999999999999</v>
      </c>
      <c r="C496" s="197">
        <f t="shared" si="119"/>
        <v>0.98</v>
      </c>
      <c r="D496" s="995" t="s">
        <v>7606</v>
      </c>
      <c r="E496" s="197">
        <f t="shared" si="120"/>
        <v>1</v>
      </c>
      <c r="F496" s="995" t="str">
        <f>'7.15'!D474</f>
        <v>跃层</v>
      </c>
      <c r="G496" s="197">
        <f t="shared" si="121"/>
        <v>1.02</v>
      </c>
      <c r="H496" s="995" t="str">
        <f>'7.15'!E474</f>
        <v>南北</v>
      </c>
      <c r="I496" s="197">
        <f t="shared" si="122"/>
        <v>1</v>
      </c>
      <c r="J496" s="995"/>
      <c r="K496" s="197">
        <f t="shared" si="123"/>
        <v>1</v>
      </c>
      <c r="L496" s="995"/>
      <c r="M496" s="197">
        <f t="shared" si="124"/>
        <v>1</v>
      </c>
      <c r="N496" s="995"/>
      <c r="O496" s="197">
        <f t="shared" si="125"/>
        <v>1</v>
      </c>
      <c r="P496" s="995"/>
      <c r="Q496" s="197">
        <f t="shared" si="126"/>
        <v>1</v>
      </c>
      <c r="R496" s="991">
        <f t="shared" ca="1" si="131"/>
        <v>15926</v>
      </c>
      <c r="S496" s="552">
        <f t="shared" ca="1" si="132"/>
        <v>2176606</v>
      </c>
      <c r="T496" s="2010">
        <f t="shared" ca="1" si="133"/>
        <v>218</v>
      </c>
      <c r="U496" s="2305">
        <f t="shared" si="127"/>
        <v>0</v>
      </c>
      <c r="V496" s="2305">
        <f t="shared" si="128"/>
        <v>0</v>
      </c>
      <c r="W496" s="2300"/>
      <c r="X496" s="2305">
        <f t="shared" si="129"/>
        <v>0</v>
      </c>
      <c r="Y496" s="2305">
        <f t="shared" si="130"/>
        <v>0</v>
      </c>
      <c r="Z496" s="2300"/>
    </row>
    <row r="497" spans="1:26">
      <c r="A497" s="292" t="str">
        <f>'7.15'!B475</f>
        <v>9幢1单元404室</v>
      </c>
      <c r="B497" s="207">
        <f>'7.17'!G475</f>
        <v>136.66999999999999</v>
      </c>
      <c r="C497" s="197">
        <f t="shared" si="119"/>
        <v>0.98</v>
      </c>
      <c r="D497" s="995" t="s">
        <v>7606</v>
      </c>
      <c r="E497" s="197">
        <f t="shared" si="120"/>
        <v>1</v>
      </c>
      <c r="F497" s="995" t="str">
        <f>'7.15'!D475</f>
        <v>跃层</v>
      </c>
      <c r="G497" s="197">
        <f t="shared" si="121"/>
        <v>1.02</v>
      </c>
      <c r="H497" s="995" t="str">
        <f>'7.15'!E475</f>
        <v>南北</v>
      </c>
      <c r="I497" s="197">
        <f t="shared" si="122"/>
        <v>1</v>
      </c>
      <c r="J497" s="995"/>
      <c r="K497" s="197">
        <f t="shared" si="123"/>
        <v>1</v>
      </c>
      <c r="L497" s="995"/>
      <c r="M497" s="197">
        <f t="shared" si="124"/>
        <v>1</v>
      </c>
      <c r="N497" s="995"/>
      <c r="O497" s="197">
        <f t="shared" si="125"/>
        <v>1</v>
      </c>
      <c r="P497" s="995"/>
      <c r="Q497" s="197">
        <f t="shared" si="126"/>
        <v>1</v>
      </c>
      <c r="R497" s="991">
        <f t="shared" ca="1" si="131"/>
        <v>15926</v>
      </c>
      <c r="S497" s="552">
        <f t="shared" ca="1" si="132"/>
        <v>2176606</v>
      </c>
      <c r="T497" s="2010">
        <f t="shared" ca="1" si="133"/>
        <v>218</v>
      </c>
      <c r="U497" s="2305">
        <f t="shared" si="127"/>
        <v>0</v>
      </c>
      <c r="V497" s="2305">
        <f t="shared" si="128"/>
        <v>0</v>
      </c>
      <c r="W497" s="2300"/>
      <c r="X497" s="2305">
        <f t="shared" si="129"/>
        <v>0</v>
      </c>
      <c r="Y497" s="2305">
        <f t="shared" si="130"/>
        <v>0</v>
      </c>
      <c r="Z497" s="2300"/>
    </row>
    <row r="498" spans="1:26">
      <c r="A498" s="292" t="str">
        <f>'7.15'!B476</f>
        <v>9幢1单元604室</v>
      </c>
      <c r="B498" s="207">
        <f>'7.17'!G476</f>
        <v>136.66999999999999</v>
      </c>
      <c r="C498" s="197">
        <f t="shared" si="119"/>
        <v>0.98</v>
      </c>
      <c r="D498" s="995" t="s">
        <v>7606</v>
      </c>
      <c r="E498" s="197">
        <f t="shared" si="120"/>
        <v>1</v>
      </c>
      <c r="F498" s="995" t="str">
        <f>'7.15'!D476</f>
        <v>跃层</v>
      </c>
      <c r="G498" s="197">
        <f t="shared" si="121"/>
        <v>1.02</v>
      </c>
      <c r="H498" s="995" t="str">
        <f>'7.15'!E476</f>
        <v>南北</v>
      </c>
      <c r="I498" s="197">
        <f t="shared" si="122"/>
        <v>1</v>
      </c>
      <c r="J498" s="995"/>
      <c r="K498" s="197">
        <f t="shared" si="123"/>
        <v>1</v>
      </c>
      <c r="L498" s="995"/>
      <c r="M498" s="197">
        <f t="shared" si="124"/>
        <v>1</v>
      </c>
      <c r="N498" s="995"/>
      <c r="O498" s="197">
        <f t="shared" si="125"/>
        <v>1</v>
      </c>
      <c r="P498" s="995"/>
      <c r="Q498" s="197">
        <f t="shared" si="126"/>
        <v>1</v>
      </c>
      <c r="R498" s="991">
        <f t="shared" ca="1" si="131"/>
        <v>15926</v>
      </c>
      <c r="S498" s="552">
        <f t="shared" ca="1" si="132"/>
        <v>2176606</v>
      </c>
      <c r="T498" s="2010">
        <f t="shared" ca="1" si="133"/>
        <v>218</v>
      </c>
      <c r="U498" s="2305">
        <f t="shared" si="127"/>
        <v>0</v>
      </c>
      <c r="V498" s="2305">
        <f t="shared" si="128"/>
        <v>0</v>
      </c>
      <c r="W498" s="2300"/>
      <c r="X498" s="2305">
        <f t="shared" si="129"/>
        <v>0</v>
      </c>
      <c r="Y498" s="2305">
        <f t="shared" si="130"/>
        <v>0</v>
      </c>
      <c r="Z498" s="2300"/>
    </row>
    <row r="499" spans="1:26">
      <c r="A499" s="292" t="str">
        <f>'7.15'!B477</f>
        <v>9幢1单元804室</v>
      </c>
      <c r="B499" s="207">
        <f>'7.17'!G477</f>
        <v>136.66999999999999</v>
      </c>
      <c r="C499" s="197">
        <f t="shared" si="119"/>
        <v>0.98</v>
      </c>
      <c r="D499" s="995" t="s">
        <v>7606</v>
      </c>
      <c r="E499" s="197">
        <f t="shared" si="120"/>
        <v>1</v>
      </c>
      <c r="F499" s="995" t="str">
        <f>'7.15'!D477</f>
        <v>跃层</v>
      </c>
      <c r="G499" s="197">
        <f t="shared" si="121"/>
        <v>1.02</v>
      </c>
      <c r="H499" s="995" t="str">
        <f>'7.15'!E477</f>
        <v>南北</v>
      </c>
      <c r="I499" s="197">
        <f t="shared" si="122"/>
        <v>1</v>
      </c>
      <c r="J499" s="995"/>
      <c r="K499" s="197">
        <f t="shared" si="123"/>
        <v>1</v>
      </c>
      <c r="L499" s="995"/>
      <c r="M499" s="197">
        <f t="shared" si="124"/>
        <v>1</v>
      </c>
      <c r="N499" s="995"/>
      <c r="O499" s="197">
        <f t="shared" si="125"/>
        <v>1</v>
      </c>
      <c r="P499" s="995"/>
      <c r="Q499" s="197">
        <f t="shared" si="126"/>
        <v>1</v>
      </c>
      <c r="R499" s="991">
        <f t="shared" ca="1" si="131"/>
        <v>15926</v>
      </c>
      <c r="S499" s="552">
        <f t="shared" ca="1" si="132"/>
        <v>2176606</v>
      </c>
      <c r="T499" s="2010">
        <f t="shared" ca="1" si="133"/>
        <v>218</v>
      </c>
      <c r="U499" s="2305">
        <f t="shared" si="127"/>
        <v>0</v>
      </c>
      <c r="V499" s="2305">
        <f t="shared" si="128"/>
        <v>0</v>
      </c>
      <c r="W499" s="2300"/>
      <c r="X499" s="2305">
        <f t="shared" si="129"/>
        <v>0</v>
      </c>
      <c r="Y499" s="2305">
        <f t="shared" si="130"/>
        <v>0</v>
      </c>
      <c r="Z499" s="2300"/>
    </row>
    <row r="500" spans="1:26">
      <c r="A500" s="292" t="str">
        <f>'7.15'!B478</f>
        <v>9幢1单元1004室</v>
      </c>
      <c r="B500" s="207">
        <f>'7.17'!G478</f>
        <v>136.66999999999999</v>
      </c>
      <c r="C500" s="197">
        <f t="shared" si="119"/>
        <v>0.98</v>
      </c>
      <c r="D500" s="995" t="s">
        <v>7606</v>
      </c>
      <c r="E500" s="197">
        <f t="shared" si="120"/>
        <v>1</v>
      </c>
      <c r="F500" s="995" t="str">
        <f>'7.15'!D478</f>
        <v>跃层</v>
      </c>
      <c r="G500" s="197">
        <f t="shared" si="121"/>
        <v>1.02</v>
      </c>
      <c r="H500" s="995" t="str">
        <f>'7.15'!E478</f>
        <v>南北</v>
      </c>
      <c r="I500" s="197">
        <f t="shared" si="122"/>
        <v>1</v>
      </c>
      <c r="J500" s="995"/>
      <c r="K500" s="197">
        <f t="shared" si="123"/>
        <v>1</v>
      </c>
      <c r="L500" s="995"/>
      <c r="M500" s="197">
        <f t="shared" si="124"/>
        <v>1</v>
      </c>
      <c r="N500" s="995"/>
      <c r="O500" s="197">
        <f t="shared" si="125"/>
        <v>1</v>
      </c>
      <c r="P500" s="995"/>
      <c r="Q500" s="197">
        <f t="shared" si="126"/>
        <v>1</v>
      </c>
      <c r="R500" s="991">
        <f t="shared" ca="1" si="131"/>
        <v>15926</v>
      </c>
      <c r="S500" s="552">
        <f t="shared" ca="1" si="132"/>
        <v>2176606</v>
      </c>
      <c r="T500" s="2010">
        <f t="shared" ca="1" si="133"/>
        <v>218</v>
      </c>
      <c r="U500" s="2305">
        <f t="shared" si="127"/>
        <v>0</v>
      </c>
      <c r="V500" s="2305">
        <f t="shared" si="128"/>
        <v>0</v>
      </c>
      <c r="W500" s="2300"/>
      <c r="X500" s="2305">
        <f t="shared" si="129"/>
        <v>0</v>
      </c>
      <c r="Y500" s="2305">
        <f t="shared" si="130"/>
        <v>0</v>
      </c>
      <c r="Z500" s="2300"/>
    </row>
    <row r="501" spans="1:26">
      <c r="A501" s="292" t="str">
        <f>'7.15'!B479</f>
        <v>9幢1单元1204室</v>
      </c>
      <c r="B501" s="207">
        <f>'7.17'!G479</f>
        <v>136.66999999999999</v>
      </c>
      <c r="C501" s="197">
        <f t="shared" si="119"/>
        <v>0.98</v>
      </c>
      <c r="D501" s="995" t="s">
        <v>7609</v>
      </c>
      <c r="E501" s="197">
        <f t="shared" si="120"/>
        <v>1.04</v>
      </c>
      <c r="F501" s="995" t="str">
        <f>'7.15'!D479</f>
        <v>跃层</v>
      </c>
      <c r="G501" s="197">
        <f t="shared" si="121"/>
        <v>1.02</v>
      </c>
      <c r="H501" s="995" t="str">
        <f>'7.15'!E479</f>
        <v>南北</v>
      </c>
      <c r="I501" s="197">
        <f t="shared" si="122"/>
        <v>1</v>
      </c>
      <c r="J501" s="995"/>
      <c r="K501" s="197">
        <f t="shared" si="123"/>
        <v>1</v>
      </c>
      <c r="L501" s="995"/>
      <c r="M501" s="197">
        <f t="shared" si="124"/>
        <v>1</v>
      </c>
      <c r="N501" s="995"/>
      <c r="O501" s="197">
        <f t="shared" si="125"/>
        <v>1</v>
      </c>
      <c r="P501" s="995"/>
      <c r="Q501" s="197">
        <f t="shared" si="126"/>
        <v>1</v>
      </c>
      <c r="R501" s="991">
        <f t="shared" ca="1" si="131"/>
        <v>16563</v>
      </c>
      <c r="S501" s="552">
        <f t="shared" ca="1" si="132"/>
        <v>2263665</v>
      </c>
      <c r="T501" s="2010">
        <f t="shared" ca="1" si="133"/>
        <v>226</v>
      </c>
      <c r="U501" s="2305">
        <f t="shared" si="127"/>
        <v>0</v>
      </c>
      <c r="V501" s="2305">
        <f t="shared" si="128"/>
        <v>0</v>
      </c>
      <c r="W501" s="2300"/>
      <c r="X501" s="2305">
        <f t="shared" si="129"/>
        <v>0</v>
      </c>
      <c r="Y501" s="2305">
        <f t="shared" si="130"/>
        <v>0</v>
      </c>
      <c r="Z501" s="2300"/>
    </row>
    <row r="502" spans="1:26">
      <c r="A502" s="292" t="str">
        <f>'7.15'!B480</f>
        <v>9幢1单元1404室</v>
      </c>
      <c r="B502" s="207">
        <f>'7.17'!G480</f>
        <v>136.66999999999999</v>
      </c>
      <c r="C502" s="197">
        <f t="shared" si="119"/>
        <v>0.98</v>
      </c>
      <c r="D502" s="995" t="s">
        <v>7609</v>
      </c>
      <c r="E502" s="197">
        <f t="shared" si="120"/>
        <v>1.04</v>
      </c>
      <c r="F502" s="995" t="str">
        <f>'7.15'!D480</f>
        <v>跃层</v>
      </c>
      <c r="G502" s="197">
        <f t="shared" si="121"/>
        <v>1.02</v>
      </c>
      <c r="H502" s="995" t="str">
        <f>'7.15'!E480</f>
        <v>南北</v>
      </c>
      <c r="I502" s="197">
        <f t="shared" si="122"/>
        <v>1</v>
      </c>
      <c r="J502" s="995"/>
      <c r="K502" s="197">
        <f t="shared" si="123"/>
        <v>1</v>
      </c>
      <c r="L502" s="995"/>
      <c r="M502" s="197">
        <f t="shared" si="124"/>
        <v>1</v>
      </c>
      <c r="N502" s="995"/>
      <c r="O502" s="197">
        <f t="shared" si="125"/>
        <v>1</v>
      </c>
      <c r="P502" s="995"/>
      <c r="Q502" s="197">
        <f t="shared" si="126"/>
        <v>1</v>
      </c>
      <c r="R502" s="991">
        <f t="shared" ca="1" si="131"/>
        <v>16563</v>
      </c>
      <c r="S502" s="552">
        <f t="shared" ca="1" si="132"/>
        <v>2263665</v>
      </c>
      <c r="T502" s="2010">
        <f t="shared" ca="1" si="133"/>
        <v>226</v>
      </c>
      <c r="U502" s="2305">
        <f t="shared" si="127"/>
        <v>0</v>
      </c>
      <c r="V502" s="2305">
        <f t="shared" si="128"/>
        <v>0</v>
      </c>
      <c r="W502" s="2300"/>
      <c r="X502" s="2305">
        <f t="shared" si="129"/>
        <v>0</v>
      </c>
      <c r="Y502" s="2305">
        <f t="shared" si="130"/>
        <v>0</v>
      </c>
      <c r="Z502" s="2300"/>
    </row>
    <row r="503" spans="1:26">
      <c r="A503" s="292" t="str">
        <f>'7.15'!B481</f>
        <v>9幢1单元1604室</v>
      </c>
      <c r="B503" s="207">
        <f>'7.17'!G481</f>
        <v>136.66999999999999</v>
      </c>
      <c r="C503" s="197">
        <f t="shared" si="119"/>
        <v>0.98</v>
      </c>
      <c r="D503" s="995" t="s">
        <v>7609</v>
      </c>
      <c r="E503" s="197">
        <f t="shared" si="120"/>
        <v>1.04</v>
      </c>
      <c r="F503" s="995" t="str">
        <f>'7.15'!D481</f>
        <v>跃层</v>
      </c>
      <c r="G503" s="197">
        <f t="shared" si="121"/>
        <v>1.02</v>
      </c>
      <c r="H503" s="995" t="str">
        <f>'7.15'!E481</f>
        <v>南北</v>
      </c>
      <c r="I503" s="197">
        <f t="shared" si="122"/>
        <v>1</v>
      </c>
      <c r="J503" s="995"/>
      <c r="K503" s="197">
        <f t="shared" si="123"/>
        <v>1</v>
      </c>
      <c r="L503" s="995"/>
      <c r="M503" s="197">
        <f t="shared" si="124"/>
        <v>1</v>
      </c>
      <c r="N503" s="995"/>
      <c r="O503" s="197">
        <f t="shared" si="125"/>
        <v>1</v>
      </c>
      <c r="P503" s="995"/>
      <c r="Q503" s="197">
        <f t="shared" si="126"/>
        <v>1</v>
      </c>
      <c r="R503" s="991">
        <f t="shared" ca="1" si="131"/>
        <v>16563</v>
      </c>
      <c r="S503" s="552">
        <f t="shared" ca="1" si="132"/>
        <v>2263665</v>
      </c>
      <c r="T503" s="2010">
        <f t="shared" ca="1" si="133"/>
        <v>226</v>
      </c>
      <c r="U503" s="2305">
        <f t="shared" si="127"/>
        <v>0</v>
      </c>
      <c r="V503" s="2305">
        <f t="shared" si="128"/>
        <v>0</v>
      </c>
      <c r="W503" s="2300"/>
      <c r="X503" s="2305">
        <f t="shared" si="129"/>
        <v>0</v>
      </c>
      <c r="Y503" s="2305">
        <f t="shared" si="130"/>
        <v>0</v>
      </c>
      <c r="Z503" s="2300"/>
    </row>
    <row r="504" spans="1:26">
      <c r="A504" s="292" t="str">
        <f>'7.15'!B482</f>
        <v>9幢1单元1804室</v>
      </c>
      <c r="B504" s="207">
        <f>'7.17'!G482</f>
        <v>136.66999999999999</v>
      </c>
      <c r="C504" s="197">
        <f t="shared" si="119"/>
        <v>0.98</v>
      </c>
      <c r="D504" s="995" t="s">
        <v>7609</v>
      </c>
      <c r="E504" s="197">
        <f t="shared" si="120"/>
        <v>1.04</v>
      </c>
      <c r="F504" s="995" t="str">
        <f>'7.15'!D482</f>
        <v>跃层</v>
      </c>
      <c r="G504" s="197">
        <f t="shared" si="121"/>
        <v>1.02</v>
      </c>
      <c r="H504" s="995" t="str">
        <f>'7.15'!E482</f>
        <v>南北</v>
      </c>
      <c r="I504" s="197">
        <f t="shared" si="122"/>
        <v>1</v>
      </c>
      <c r="J504" s="995"/>
      <c r="K504" s="197">
        <f t="shared" si="123"/>
        <v>1</v>
      </c>
      <c r="L504" s="995"/>
      <c r="M504" s="197">
        <f t="shared" si="124"/>
        <v>1</v>
      </c>
      <c r="N504" s="995"/>
      <c r="O504" s="197">
        <f t="shared" si="125"/>
        <v>1</v>
      </c>
      <c r="P504" s="995"/>
      <c r="Q504" s="197">
        <f t="shared" si="126"/>
        <v>1</v>
      </c>
      <c r="R504" s="991">
        <f t="shared" ca="1" si="131"/>
        <v>16563</v>
      </c>
      <c r="S504" s="552">
        <f t="shared" ca="1" si="132"/>
        <v>2263665</v>
      </c>
      <c r="T504" s="2010">
        <f t="shared" ca="1" si="133"/>
        <v>226</v>
      </c>
      <c r="U504" s="2305">
        <f t="shared" si="127"/>
        <v>0</v>
      </c>
      <c r="V504" s="2305">
        <f t="shared" si="128"/>
        <v>0</v>
      </c>
      <c r="W504" s="2300"/>
      <c r="X504" s="2305">
        <f t="shared" si="129"/>
        <v>0</v>
      </c>
      <c r="Y504" s="2305">
        <f t="shared" si="130"/>
        <v>0</v>
      </c>
      <c r="Z504" s="2300"/>
    </row>
    <row r="505" spans="1:26">
      <c r="A505" s="292" t="str">
        <f>'7.15'!B483</f>
        <v>9幢1单元2004室</v>
      </c>
      <c r="B505" s="207">
        <f>'7.17'!G483</f>
        <v>136.66999999999999</v>
      </c>
      <c r="C505" s="197">
        <f t="shared" si="119"/>
        <v>0.98</v>
      </c>
      <c r="D505" s="995" t="s">
        <v>7609</v>
      </c>
      <c r="E505" s="197">
        <f t="shared" si="120"/>
        <v>1.04</v>
      </c>
      <c r="F505" s="995" t="str">
        <f>'7.15'!D483</f>
        <v>跃层</v>
      </c>
      <c r="G505" s="197">
        <f t="shared" si="121"/>
        <v>1.02</v>
      </c>
      <c r="H505" s="995" t="str">
        <f>'7.15'!E483</f>
        <v>南北</v>
      </c>
      <c r="I505" s="197">
        <f t="shared" si="122"/>
        <v>1</v>
      </c>
      <c r="J505" s="995"/>
      <c r="K505" s="197">
        <f t="shared" si="123"/>
        <v>1</v>
      </c>
      <c r="L505" s="995"/>
      <c r="M505" s="197">
        <f t="shared" si="124"/>
        <v>1</v>
      </c>
      <c r="N505" s="995"/>
      <c r="O505" s="197">
        <f t="shared" si="125"/>
        <v>1</v>
      </c>
      <c r="P505" s="995"/>
      <c r="Q505" s="197">
        <f t="shared" si="126"/>
        <v>1</v>
      </c>
      <c r="R505" s="991">
        <f t="shared" ca="1" si="131"/>
        <v>16563</v>
      </c>
      <c r="S505" s="552">
        <f t="shared" ca="1" si="132"/>
        <v>2263665</v>
      </c>
      <c r="T505" s="2010">
        <f t="shared" ca="1" si="133"/>
        <v>226</v>
      </c>
      <c r="U505" s="2305">
        <f t="shared" si="127"/>
        <v>0</v>
      </c>
      <c r="V505" s="2305">
        <f t="shared" si="128"/>
        <v>0</v>
      </c>
      <c r="W505" s="2300"/>
      <c r="X505" s="2305">
        <f t="shared" si="129"/>
        <v>0</v>
      </c>
      <c r="Y505" s="2305">
        <f t="shared" si="130"/>
        <v>0</v>
      </c>
      <c r="Z505" s="2300"/>
    </row>
    <row r="506" spans="1:26">
      <c r="A506" s="292" t="str">
        <f>'7.15'!B484</f>
        <v>9幢1单元2204室</v>
      </c>
      <c r="B506" s="207">
        <f>'7.17'!G484</f>
        <v>136.66999999999999</v>
      </c>
      <c r="C506" s="197">
        <f t="shared" si="119"/>
        <v>0.98</v>
      </c>
      <c r="D506" s="995" t="s">
        <v>7608</v>
      </c>
      <c r="E506" s="197">
        <f t="shared" si="120"/>
        <v>1.02</v>
      </c>
      <c r="F506" s="995" t="str">
        <f>'7.15'!D484</f>
        <v>跃层</v>
      </c>
      <c r="G506" s="197">
        <f t="shared" si="121"/>
        <v>1.02</v>
      </c>
      <c r="H506" s="995" t="str">
        <f>'7.15'!E484</f>
        <v>南北</v>
      </c>
      <c r="I506" s="197">
        <f t="shared" si="122"/>
        <v>1</v>
      </c>
      <c r="J506" s="995"/>
      <c r="K506" s="197">
        <f t="shared" si="123"/>
        <v>1</v>
      </c>
      <c r="L506" s="995"/>
      <c r="M506" s="197">
        <f t="shared" si="124"/>
        <v>1</v>
      </c>
      <c r="N506" s="995"/>
      <c r="O506" s="197">
        <f t="shared" si="125"/>
        <v>1</v>
      </c>
      <c r="P506" s="995"/>
      <c r="Q506" s="197">
        <f t="shared" si="126"/>
        <v>1</v>
      </c>
      <c r="R506" s="991">
        <f t="shared" ca="1" si="131"/>
        <v>16244</v>
      </c>
      <c r="S506" s="552">
        <f t="shared" ca="1" si="132"/>
        <v>2220067</v>
      </c>
      <c r="T506" s="2010">
        <f t="shared" ca="1" si="133"/>
        <v>222</v>
      </c>
      <c r="U506" s="2305">
        <f t="shared" si="127"/>
        <v>0</v>
      </c>
      <c r="V506" s="2305">
        <f t="shared" si="128"/>
        <v>0</v>
      </c>
      <c r="W506" s="2300"/>
      <c r="X506" s="2305">
        <f t="shared" si="129"/>
        <v>0</v>
      </c>
      <c r="Y506" s="2305">
        <f t="shared" si="130"/>
        <v>0</v>
      </c>
      <c r="Z506" s="2300"/>
    </row>
    <row r="507" spans="1:26">
      <c r="A507" s="292" t="str">
        <f>'7.15'!B485</f>
        <v>9幢1单元2404室</v>
      </c>
      <c r="B507" s="207">
        <f>'7.17'!G485</f>
        <v>136.66999999999999</v>
      </c>
      <c r="C507" s="197">
        <f t="shared" si="119"/>
        <v>0.98</v>
      </c>
      <c r="D507" s="995" t="s">
        <v>7608</v>
      </c>
      <c r="E507" s="197">
        <f t="shared" si="120"/>
        <v>1.02</v>
      </c>
      <c r="F507" s="995" t="str">
        <f>'7.15'!D485</f>
        <v>跃层</v>
      </c>
      <c r="G507" s="197">
        <f t="shared" si="121"/>
        <v>1.02</v>
      </c>
      <c r="H507" s="995" t="str">
        <f>'7.15'!E485</f>
        <v>南北</v>
      </c>
      <c r="I507" s="197">
        <f t="shared" si="122"/>
        <v>1</v>
      </c>
      <c r="J507" s="995"/>
      <c r="K507" s="197">
        <f t="shared" si="123"/>
        <v>1</v>
      </c>
      <c r="L507" s="995"/>
      <c r="M507" s="197">
        <f t="shared" si="124"/>
        <v>1</v>
      </c>
      <c r="N507" s="995"/>
      <c r="O507" s="197">
        <f t="shared" si="125"/>
        <v>1</v>
      </c>
      <c r="P507" s="995"/>
      <c r="Q507" s="197">
        <f t="shared" si="126"/>
        <v>1</v>
      </c>
      <c r="R507" s="991">
        <f t="shared" ca="1" si="131"/>
        <v>16244</v>
      </c>
      <c r="S507" s="552">
        <f t="shared" ca="1" si="132"/>
        <v>2220067</v>
      </c>
      <c r="T507" s="2010">
        <f t="shared" ca="1" si="133"/>
        <v>222</v>
      </c>
      <c r="U507" s="2305">
        <f t="shared" si="127"/>
        <v>0</v>
      </c>
      <c r="V507" s="2305">
        <f t="shared" si="128"/>
        <v>0</v>
      </c>
      <c r="W507" s="2300"/>
      <c r="X507" s="2305">
        <f t="shared" si="129"/>
        <v>0</v>
      </c>
      <c r="Y507" s="2305">
        <f t="shared" si="130"/>
        <v>0</v>
      </c>
      <c r="Z507" s="2300"/>
    </row>
    <row r="508" spans="1:26">
      <c r="A508" s="292" t="str">
        <f>'7.15'!B486</f>
        <v>9幢1单元2604室</v>
      </c>
      <c r="B508" s="207">
        <f>'7.17'!G486</f>
        <v>136.66999999999999</v>
      </c>
      <c r="C508" s="197">
        <f t="shared" si="119"/>
        <v>0.98</v>
      </c>
      <c r="D508" s="995" t="s">
        <v>7608</v>
      </c>
      <c r="E508" s="197">
        <f t="shared" si="120"/>
        <v>1.02</v>
      </c>
      <c r="F508" s="995" t="str">
        <f>'7.15'!D486</f>
        <v>跃层</v>
      </c>
      <c r="G508" s="197">
        <f t="shared" si="121"/>
        <v>1.02</v>
      </c>
      <c r="H508" s="995" t="str">
        <f>'7.15'!E486</f>
        <v>南北</v>
      </c>
      <c r="I508" s="197">
        <f t="shared" si="122"/>
        <v>1</v>
      </c>
      <c r="J508" s="995"/>
      <c r="K508" s="197">
        <f t="shared" si="123"/>
        <v>1</v>
      </c>
      <c r="L508" s="995"/>
      <c r="M508" s="197">
        <f t="shared" si="124"/>
        <v>1</v>
      </c>
      <c r="N508" s="995"/>
      <c r="O508" s="197">
        <f t="shared" si="125"/>
        <v>1</v>
      </c>
      <c r="P508" s="995"/>
      <c r="Q508" s="197">
        <f t="shared" si="126"/>
        <v>1</v>
      </c>
      <c r="R508" s="991">
        <f t="shared" ca="1" si="131"/>
        <v>16244</v>
      </c>
      <c r="S508" s="552">
        <f t="shared" ca="1" si="132"/>
        <v>2220067</v>
      </c>
      <c r="T508" s="2010">
        <f t="shared" ca="1" si="133"/>
        <v>222</v>
      </c>
      <c r="U508" s="2305">
        <f t="shared" si="127"/>
        <v>0</v>
      </c>
      <c r="V508" s="2305">
        <f t="shared" si="128"/>
        <v>0</v>
      </c>
      <c r="W508" s="2300"/>
      <c r="X508" s="2305">
        <f t="shared" si="129"/>
        <v>0</v>
      </c>
      <c r="Y508" s="2305">
        <f t="shared" si="130"/>
        <v>0</v>
      </c>
      <c r="Z508" s="2300"/>
    </row>
    <row r="509" spans="1:26">
      <c r="A509" s="292" t="str">
        <f>'7.15'!B487</f>
        <v>9幢1单元2804室</v>
      </c>
      <c r="B509" s="207">
        <f>'7.17'!G487</f>
        <v>136.66999999999999</v>
      </c>
      <c r="C509" s="197">
        <f t="shared" si="119"/>
        <v>0.98</v>
      </c>
      <c r="D509" s="995" t="s">
        <v>7608</v>
      </c>
      <c r="E509" s="197">
        <f t="shared" si="120"/>
        <v>1.02</v>
      </c>
      <c r="F509" s="995" t="str">
        <f>'7.15'!D487</f>
        <v>跃层</v>
      </c>
      <c r="G509" s="197">
        <f t="shared" si="121"/>
        <v>1.02</v>
      </c>
      <c r="H509" s="995" t="str">
        <f>'7.15'!E487</f>
        <v>南北</v>
      </c>
      <c r="I509" s="197">
        <f t="shared" si="122"/>
        <v>1</v>
      </c>
      <c r="J509" s="995"/>
      <c r="K509" s="197">
        <f t="shared" si="123"/>
        <v>1</v>
      </c>
      <c r="L509" s="995"/>
      <c r="M509" s="197">
        <f t="shared" si="124"/>
        <v>1</v>
      </c>
      <c r="N509" s="995"/>
      <c r="O509" s="197">
        <f t="shared" si="125"/>
        <v>1</v>
      </c>
      <c r="P509" s="995"/>
      <c r="Q509" s="197">
        <f t="shared" si="126"/>
        <v>1</v>
      </c>
      <c r="R509" s="991">
        <f t="shared" ca="1" si="131"/>
        <v>16244</v>
      </c>
      <c r="S509" s="552">
        <f t="shared" ca="1" si="132"/>
        <v>2220067</v>
      </c>
      <c r="T509" s="2010">
        <f t="shared" ca="1" si="133"/>
        <v>222</v>
      </c>
      <c r="U509" s="2305">
        <f t="shared" si="127"/>
        <v>0</v>
      </c>
      <c r="V509" s="2305">
        <f t="shared" si="128"/>
        <v>0</v>
      </c>
      <c r="W509" s="2300"/>
      <c r="X509" s="2305">
        <f t="shared" si="129"/>
        <v>0</v>
      </c>
      <c r="Y509" s="2305">
        <f t="shared" si="130"/>
        <v>0</v>
      </c>
      <c r="Z509" s="2300"/>
    </row>
    <row r="510" spans="1:26">
      <c r="A510" s="292" t="str">
        <f>'7.15'!B488</f>
        <v>9幢1单元3004室</v>
      </c>
      <c r="B510" s="207">
        <f>'7.17'!G488</f>
        <v>68.760000000000005</v>
      </c>
      <c r="C510" s="197">
        <f t="shared" si="119"/>
        <v>0.99</v>
      </c>
      <c r="D510" s="995" t="s">
        <v>7608</v>
      </c>
      <c r="E510" s="197">
        <f t="shared" si="120"/>
        <v>1.02</v>
      </c>
      <c r="F510" s="995" t="str">
        <f>'7.15'!D488</f>
        <v>平层</v>
      </c>
      <c r="G510" s="197">
        <f t="shared" si="121"/>
        <v>1</v>
      </c>
      <c r="H510" s="995" t="str">
        <f>'7.15'!E488</f>
        <v>南北</v>
      </c>
      <c r="I510" s="197">
        <f t="shared" si="122"/>
        <v>1</v>
      </c>
      <c r="J510" s="995"/>
      <c r="K510" s="197">
        <f t="shared" si="123"/>
        <v>1</v>
      </c>
      <c r="L510" s="995"/>
      <c r="M510" s="197">
        <f t="shared" si="124"/>
        <v>1</v>
      </c>
      <c r="N510" s="995"/>
      <c r="O510" s="197">
        <f t="shared" si="125"/>
        <v>1</v>
      </c>
      <c r="P510" s="995"/>
      <c r="Q510" s="197">
        <f t="shared" si="126"/>
        <v>1</v>
      </c>
      <c r="R510" s="991">
        <f t="shared" ca="1" si="131"/>
        <v>16088</v>
      </c>
      <c r="S510" s="552">
        <f t="shared" ca="1" si="132"/>
        <v>1106211</v>
      </c>
      <c r="T510" s="2010">
        <f t="shared" ca="1" si="133"/>
        <v>111</v>
      </c>
      <c r="U510" s="2305">
        <f t="shared" si="127"/>
        <v>0</v>
      </c>
      <c r="V510" s="2305">
        <f t="shared" si="128"/>
        <v>0</v>
      </c>
      <c r="W510" s="2300"/>
      <c r="X510" s="2305">
        <f t="shared" si="129"/>
        <v>0</v>
      </c>
      <c r="Y510" s="2305">
        <f t="shared" si="130"/>
        <v>0</v>
      </c>
      <c r="Z510" s="2300"/>
    </row>
    <row r="511" spans="1:26">
      <c r="A511" s="292" t="str">
        <f>'7.15'!B489</f>
        <v>9幢2单元201室</v>
      </c>
      <c r="B511" s="207">
        <f>'7.17'!G489</f>
        <v>136.66999999999999</v>
      </c>
      <c r="C511" s="197">
        <f t="shared" si="119"/>
        <v>0.98</v>
      </c>
      <c r="D511" s="995" t="s">
        <v>7606</v>
      </c>
      <c r="E511" s="197">
        <f t="shared" si="120"/>
        <v>1</v>
      </c>
      <c r="F511" s="995" t="str">
        <f>'7.15'!D489</f>
        <v>跃层</v>
      </c>
      <c r="G511" s="197">
        <f t="shared" si="121"/>
        <v>1.02</v>
      </c>
      <c r="H511" s="995" t="str">
        <f>'7.15'!E489</f>
        <v>南北</v>
      </c>
      <c r="I511" s="197">
        <f t="shared" si="122"/>
        <v>1</v>
      </c>
      <c r="J511" s="995"/>
      <c r="K511" s="197">
        <f t="shared" si="123"/>
        <v>1</v>
      </c>
      <c r="L511" s="995"/>
      <c r="M511" s="197">
        <f t="shared" si="124"/>
        <v>1</v>
      </c>
      <c r="N511" s="995"/>
      <c r="O511" s="197">
        <f t="shared" si="125"/>
        <v>1</v>
      </c>
      <c r="P511" s="995"/>
      <c r="Q511" s="197">
        <f t="shared" si="126"/>
        <v>1</v>
      </c>
      <c r="R511" s="991">
        <f t="shared" ca="1" si="131"/>
        <v>15926</v>
      </c>
      <c r="S511" s="552">
        <f t="shared" ca="1" si="132"/>
        <v>2176606</v>
      </c>
      <c r="T511" s="2010">
        <f t="shared" ca="1" si="133"/>
        <v>218</v>
      </c>
      <c r="U511" s="2305">
        <f t="shared" si="127"/>
        <v>0</v>
      </c>
      <c r="V511" s="2305">
        <f t="shared" si="128"/>
        <v>0</v>
      </c>
      <c r="W511" s="2300"/>
      <c r="X511" s="2305">
        <f t="shared" si="129"/>
        <v>0</v>
      </c>
      <c r="Y511" s="2305">
        <f t="shared" si="130"/>
        <v>0</v>
      </c>
      <c r="Z511" s="2300"/>
    </row>
    <row r="512" spans="1:26">
      <c r="A512" s="292" t="str">
        <f>'7.15'!B490</f>
        <v>9幢2单元401室</v>
      </c>
      <c r="B512" s="207">
        <f>'7.17'!G490</f>
        <v>136.66999999999999</v>
      </c>
      <c r="C512" s="197">
        <f t="shared" si="119"/>
        <v>0.98</v>
      </c>
      <c r="D512" s="995" t="s">
        <v>7606</v>
      </c>
      <c r="E512" s="197">
        <f t="shared" si="120"/>
        <v>1</v>
      </c>
      <c r="F512" s="995" t="str">
        <f>'7.15'!D490</f>
        <v>跃层</v>
      </c>
      <c r="G512" s="197">
        <f t="shared" si="121"/>
        <v>1.02</v>
      </c>
      <c r="H512" s="995" t="str">
        <f>'7.15'!E490</f>
        <v>南北</v>
      </c>
      <c r="I512" s="197">
        <f t="shared" si="122"/>
        <v>1</v>
      </c>
      <c r="J512" s="995"/>
      <c r="K512" s="197">
        <f t="shared" si="123"/>
        <v>1</v>
      </c>
      <c r="L512" s="995"/>
      <c r="M512" s="197">
        <f t="shared" si="124"/>
        <v>1</v>
      </c>
      <c r="N512" s="995"/>
      <c r="O512" s="197">
        <f t="shared" si="125"/>
        <v>1</v>
      </c>
      <c r="P512" s="995"/>
      <c r="Q512" s="197">
        <f t="shared" si="126"/>
        <v>1</v>
      </c>
      <c r="R512" s="991">
        <f t="shared" ca="1" si="131"/>
        <v>15926</v>
      </c>
      <c r="S512" s="552">
        <f t="shared" ca="1" si="132"/>
        <v>2176606</v>
      </c>
      <c r="T512" s="2010">
        <f t="shared" ca="1" si="133"/>
        <v>218</v>
      </c>
      <c r="U512" s="2305">
        <f t="shared" si="127"/>
        <v>0</v>
      </c>
      <c r="V512" s="2305">
        <f t="shared" si="128"/>
        <v>0</v>
      </c>
      <c r="W512" s="2300"/>
      <c r="X512" s="2305">
        <f t="shared" si="129"/>
        <v>0</v>
      </c>
      <c r="Y512" s="2305">
        <f t="shared" si="130"/>
        <v>0</v>
      </c>
      <c r="Z512" s="2300"/>
    </row>
    <row r="513" spans="1:26">
      <c r="A513" s="292" t="str">
        <f>'7.15'!B491</f>
        <v>9幢2单元601室</v>
      </c>
      <c r="B513" s="207">
        <f>'7.17'!G491</f>
        <v>136.66999999999999</v>
      </c>
      <c r="C513" s="197">
        <f t="shared" si="119"/>
        <v>0.98</v>
      </c>
      <c r="D513" s="995" t="s">
        <v>7606</v>
      </c>
      <c r="E513" s="197">
        <f t="shared" si="120"/>
        <v>1</v>
      </c>
      <c r="F513" s="995" t="str">
        <f>'7.15'!D491</f>
        <v>跃层</v>
      </c>
      <c r="G513" s="197">
        <f t="shared" si="121"/>
        <v>1.02</v>
      </c>
      <c r="H513" s="995" t="str">
        <f>'7.15'!E491</f>
        <v>南北</v>
      </c>
      <c r="I513" s="197">
        <f t="shared" si="122"/>
        <v>1</v>
      </c>
      <c r="J513" s="995"/>
      <c r="K513" s="197">
        <f t="shared" si="123"/>
        <v>1</v>
      </c>
      <c r="L513" s="995"/>
      <c r="M513" s="197">
        <f t="shared" si="124"/>
        <v>1</v>
      </c>
      <c r="N513" s="995"/>
      <c r="O513" s="197">
        <f t="shared" si="125"/>
        <v>1</v>
      </c>
      <c r="P513" s="995"/>
      <c r="Q513" s="197">
        <f t="shared" si="126"/>
        <v>1</v>
      </c>
      <c r="R513" s="991">
        <f t="shared" ca="1" si="131"/>
        <v>15926</v>
      </c>
      <c r="S513" s="552">
        <f t="shared" ca="1" si="132"/>
        <v>2176606</v>
      </c>
      <c r="T513" s="2010">
        <f t="shared" ca="1" si="133"/>
        <v>218</v>
      </c>
      <c r="U513" s="2305">
        <f t="shared" si="127"/>
        <v>0</v>
      </c>
      <c r="V513" s="2305">
        <f t="shared" si="128"/>
        <v>0</v>
      </c>
      <c r="W513" s="2300"/>
      <c r="X513" s="2305">
        <f t="shared" si="129"/>
        <v>0</v>
      </c>
      <c r="Y513" s="2305">
        <f t="shared" si="130"/>
        <v>0</v>
      </c>
      <c r="Z513" s="2300"/>
    </row>
    <row r="514" spans="1:26">
      <c r="A514" s="292" t="str">
        <f>'7.15'!B492</f>
        <v>9幢2单元801室</v>
      </c>
      <c r="B514" s="207">
        <f>'7.17'!G492</f>
        <v>136.66999999999999</v>
      </c>
      <c r="C514" s="197">
        <f t="shared" si="119"/>
        <v>0.98</v>
      </c>
      <c r="D514" s="995" t="s">
        <v>7606</v>
      </c>
      <c r="E514" s="197">
        <f t="shared" si="120"/>
        <v>1</v>
      </c>
      <c r="F514" s="995" t="str">
        <f>'7.15'!D492</f>
        <v>跃层</v>
      </c>
      <c r="G514" s="197">
        <f t="shared" si="121"/>
        <v>1.02</v>
      </c>
      <c r="H514" s="995" t="str">
        <f>'7.15'!E492</f>
        <v>南北</v>
      </c>
      <c r="I514" s="197">
        <f t="shared" si="122"/>
        <v>1</v>
      </c>
      <c r="J514" s="995"/>
      <c r="K514" s="197">
        <f t="shared" si="123"/>
        <v>1</v>
      </c>
      <c r="L514" s="995"/>
      <c r="M514" s="197">
        <f t="shared" si="124"/>
        <v>1</v>
      </c>
      <c r="N514" s="995"/>
      <c r="O514" s="197">
        <f t="shared" si="125"/>
        <v>1</v>
      </c>
      <c r="P514" s="995"/>
      <c r="Q514" s="197">
        <f t="shared" si="126"/>
        <v>1</v>
      </c>
      <c r="R514" s="991">
        <f t="shared" ca="1" si="131"/>
        <v>15926</v>
      </c>
      <c r="S514" s="552">
        <f t="shared" ca="1" si="132"/>
        <v>2176606</v>
      </c>
      <c r="T514" s="2010">
        <f t="shared" ca="1" si="133"/>
        <v>218</v>
      </c>
      <c r="U514" s="2305">
        <f t="shared" si="127"/>
        <v>0</v>
      </c>
      <c r="V514" s="2305">
        <f t="shared" si="128"/>
        <v>0</v>
      </c>
      <c r="W514" s="2300"/>
      <c r="X514" s="2305">
        <f t="shared" si="129"/>
        <v>0</v>
      </c>
      <c r="Y514" s="2305">
        <f t="shared" si="130"/>
        <v>0</v>
      </c>
      <c r="Z514" s="2300"/>
    </row>
    <row r="515" spans="1:26">
      <c r="A515" s="292" t="str">
        <f>'7.15'!B493</f>
        <v>9幢2单元1001室</v>
      </c>
      <c r="B515" s="207">
        <f>'7.17'!G493</f>
        <v>136.66999999999999</v>
      </c>
      <c r="C515" s="197">
        <f t="shared" si="119"/>
        <v>0.98</v>
      </c>
      <c r="D515" s="995" t="s">
        <v>7606</v>
      </c>
      <c r="E515" s="197">
        <f t="shared" si="120"/>
        <v>1</v>
      </c>
      <c r="F515" s="995" t="str">
        <f>'7.15'!D493</f>
        <v>跃层</v>
      </c>
      <c r="G515" s="197">
        <f t="shared" si="121"/>
        <v>1.02</v>
      </c>
      <c r="H515" s="995" t="str">
        <f>'7.15'!E493</f>
        <v>南北</v>
      </c>
      <c r="I515" s="197">
        <f t="shared" si="122"/>
        <v>1</v>
      </c>
      <c r="J515" s="995"/>
      <c r="K515" s="197">
        <f t="shared" si="123"/>
        <v>1</v>
      </c>
      <c r="L515" s="995"/>
      <c r="M515" s="197">
        <f t="shared" si="124"/>
        <v>1</v>
      </c>
      <c r="N515" s="995"/>
      <c r="O515" s="197">
        <f t="shared" si="125"/>
        <v>1</v>
      </c>
      <c r="P515" s="995"/>
      <c r="Q515" s="197">
        <f t="shared" si="126"/>
        <v>1</v>
      </c>
      <c r="R515" s="991">
        <f t="shared" ca="1" si="131"/>
        <v>15926</v>
      </c>
      <c r="S515" s="552">
        <f t="shared" ca="1" si="132"/>
        <v>2176606</v>
      </c>
      <c r="T515" s="2010">
        <f t="shared" ca="1" si="133"/>
        <v>218</v>
      </c>
      <c r="U515" s="2305">
        <f t="shared" si="127"/>
        <v>0</v>
      </c>
      <c r="V515" s="2305">
        <f t="shared" si="128"/>
        <v>0</v>
      </c>
      <c r="W515" s="2300"/>
      <c r="X515" s="2305">
        <f t="shared" si="129"/>
        <v>0</v>
      </c>
      <c r="Y515" s="2305">
        <f t="shared" si="130"/>
        <v>0</v>
      </c>
      <c r="Z515" s="2300"/>
    </row>
    <row r="516" spans="1:26">
      <c r="A516" s="292" t="str">
        <f>'7.15'!B494</f>
        <v>9幢2单元1201室</v>
      </c>
      <c r="B516" s="207">
        <f>'7.17'!G494</f>
        <v>136.66999999999999</v>
      </c>
      <c r="C516" s="197">
        <f t="shared" si="119"/>
        <v>0.98</v>
      </c>
      <c r="D516" s="995" t="s">
        <v>7609</v>
      </c>
      <c r="E516" s="197">
        <f t="shared" si="120"/>
        <v>1.04</v>
      </c>
      <c r="F516" s="995" t="str">
        <f>'7.15'!D494</f>
        <v>跃层</v>
      </c>
      <c r="G516" s="197">
        <f t="shared" si="121"/>
        <v>1.02</v>
      </c>
      <c r="H516" s="995" t="str">
        <f>'7.15'!E494</f>
        <v>南北</v>
      </c>
      <c r="I516" s="197">
        <f t="shared" si="122"/>
        <v>1</v>
      </c>
      <c r="J516" s="995"/>
      <c r="K516" s="197">
        <f t="shared" si="123"/>
        <v>1</v>
      </c>
      <c r="L516" s="995"/>
      <c r="M516" s="197">
        <f t="shared" si="124"/>
        <v>1</v>
      </c>
      <c r="N516" s="995"/>
      <c r="O516" s="197">
        <f t="shared" si="125"/>
        <v>1</v>
      </c>
      <c r="P516" s="995"/>
      <c r="Q516" s="197">
        <f t="shared" si="126"/>
        <v>1</v>
      </c>
      <c r="R516" s="991">
        <f t="shared" ca="1" si="131"/>
        <v>16563</v>
      </c>
      <c r="S516" s="552">
        <f t="shared" ca="1" si="132"/>
        <v>2263665</v>
      </c>
      <c r="T516" s="2010">
        <f t="shared" ca="1" si="133"/>
        <v>226</v>
      </c>
      <c r="U516" s="2305">
        <f t="shared" si="127"/>
        <v>0</v>
      </c>
      <c r="V516" s="2305">
        <f t="shared" si="128"/>
        <v>0</v>
      </c>
      <c r="W516" s="2300"/>
      <c r="X516" s="2305">
        <f t="shared" si="129"/>
        <v>0</v>
      </c>
      <c r="Y516" s="2305">
        <f t="shared" si="130"/>
        <v>0</v>
      </c>
      <c r="Z516" s="2300"/>
    </row>
    <row r="517" spans="1:26">
      <c r="A517" s="292" t="str">
        <f>'7.15'!B495</f>
        <v>9幢2单元1401室</v>
      </c>
      <c r="B517" s="207">
        <f>'7.17'!G495</f>
        <v>136.66999999999999</v>
      </c>
      <c r="C517" s="197">
        <f t="shared" si="119"/>
        <v>0.98</v>
      </c>
      <c r="D517" s="995" t="s">
        <v>7609</v>
      </c>
      <c r="E517" s="197">
        <f t="shared" si="120"/>
        <v>1.04</v>
      </c>
      <c r="F517" s="995" t="str">
        <f>'7.15'!D495</f>
        <v>跃层</v>
      </c>
      <c r="G517" s="197">
        <f t="shared" si="121"/>
        <v>1.02</v>
      </c>
      <c r="H517" s="995" t="str">
        <f>'7.15'!E495</f>
        <v>南北</v>
      </c>
      <c r="I517" s="197">
        <f t="shared" si="122"/>
        <v>1</v>
      </c>
      <c r="J517" s="995"/>
      <c r="K517" s="197">
        <f t="shared" si="123"/>
        <v>1</v>
      </c>
      <c r="L517" s="995"/>
      <c r="M517" s="197">
        <f t="shared" si="124"/>
        <v>1</v>
      </c>
      <c r="N517" s="995"/>
      <c r="O517" s="197">
        <f t="shared" si="125"/>
        <v>1</v>
      </c>
      <c r="P517" s="995"/>
      <c r="Q517" s="197">
        <f t="shared" si="126"/>
        <v>1</v>
      </c>
      <c r="R517" s="991">
        <f t="shared" ca="1" si="131"/>
        <v>16563</v>
      </c>
      <c r="S517" s="552">
        <f t="shared" ca="1" si="132"/>
        <v>2263665</v>
      </c>
      <c r="T517" s="2010">
        <f t="shared" ca="1" si="133"/>
        <v>226</v>
      </c>
      <c r="U517" s="2305">
        <f t="shared" si="127"/>
        <v>0</v>
      </c>
      <c r="V517" s="2305">
        <f t="shared" si="128"/>
        <v>0</v>
      </c>
      <c r="W517" s="2300"/>
      <c r="X517" s="2305">
        <f t="shared" si="129"/>
        <v>0</v>
      </c>
      <c r="Y517" s="2305">
        <f t="shared" si="130"/>
        <v>0</v>
      </c>
      <c r="Z517" s="2300"/>
    </row>
    <row r="518" spans="1:26">
      <c r="A518" s="292" t="str">
        <f>'7.15'!B496</f>
        <v>9幢2单元1601室</v>
      </c>
      <c r="B518" s="207">
        <f>'7.17'!G496</f>
        <v>136.66999999999999</v>
      </c>
      <c r="C518" s="197">
        <f t="shared" si="119"/>
        <v>0.98</v>
      </c>
      <c r="D518" s="995" t="s">
        <v>7609</v>
      </c>
      <c r="E518" s="197">
        <f t="shared" si="120"/>
        <v>1.04</v>
      </c>
      <c r="F518" s="995" t="str">
        <f>'7.15'!D496</f>
        <v>跃层</v>
      </c>
      <c r="G518" s="197">
        <f t="shared" si="121"/>
        <v>1.02</v>
      </c>
      <c r="H518" s="995" t="str">
        <f>'7.15'!E496</f>
        <v>南北</v>
      </c>
      <c r="I518" s="197">
        <f t="shared" si="122"/>
        <v>1</v>
      </c>
      <c r="J518" s="995"/>
      <c r="K518" s="197">
        <f t="shared" si="123"/>
        <v>1</v>
      </c>
      <c r="L518" s="995"/>
      <c r="M518" s="197">
        <f t="shared" si="124"/>
        <v>1</v>
      </c>
      <c r="N518" s="995"/>
      <c r="O518" s="197">
        <f t="shared" si="125"/>
        <v>1</v>
      </c>
      <c r="P518" s="995"/>
      <c r="Q518" s="197">
        <f t="shared" si="126"/>
        <v>1</v>
      </c>
      <c r="R518" s="991">
        <f t="shared" ca="1" si="131"/>
        <v>16563</v>
      </c>
      <c r="S518" s="552">
        <f t="shared" ca="1" si="132"/>
        <v>2263665</v>
      </c>
      <c r="T518" s="2010">
        <f t="shared" ca="1" si="133"/>
        <v>226</v>
      </c>
      <c r="U518" s="2305">
        <f t="shared" si="127"/>
        <v>0</v>
      </c>
      <c r="V518" s="2305">
        <f t="shared" si="128"/>
        <v>0</v>
      </c>
      <c r="W518" s="2300"/>
      <c r="X518" s="2305">
        <f t="shared" si="129"/>
        <v>0</v>
      </c>
      <c r="Y518" s="2305">
        <f t="shared" si="130"/>
        <v>0</v>
      </c>
      <c r="Z518" s="2300"/>
    </row>
    <row r="519" spans="1:26">
      <c r="A519" s="292" t="str">
        <f>'7.15'!B497</f>
        <v>9幢2单元1801室</v>
      </c>
      <c r="B519" s="207">
        <f>'7.17'!G497</f>
        <v>136.66999999999999</v>
      </c>
      <c r="C519" s="197">
        <f t="shared" si="119"/>
        <v>0.98</v>
      </c>
      <c r="D519" s="995" t="s">
        <v>7609</v>
      </c>
      <c r="E519" s="197">
        <f t="shared" si="120"/>
        <v>1.04</v>
      </c>
      <c r="F519" s="995" t="str">
        <f>'7.15'!D497</f>
        <v>跃层</v>
      </c>
      <c r="G519" s="197">
        <f t="shared" si="121"/>
        <v>1.02</v>
      </c>
      <c r="H519" s="995" t="str">
        <f>'7.15'!E497</f>
        <v>南北</v>
      </c>
      <c r="I519" s="197">
        <f t="shared" si="122"/>
        <v>1</v>
      </c>
      <c r="J519" s="995"/>
      <c r="K519" s="197">
        <f t="shared" si="123"/>
        <v>1</v>
      </c>
      <c r="L519" s="995"/>
      <c r="M519" s="197">
        <f t="shared" si="124"/>
        <v>1</v>
      </c>
      <c r="N519" s="995"/>
      <c r="O519" s="197">
        <f t="shared" si="125"/>
        <v>1</v>
      </c>
      <c r="P519" s="995"/>
      <c r="Q519" s="197">
        <f t="shared" si="126"/>
        <v>1</v>
      </c>
      <c r="R519" s="991">
        <f t="shared" ca="1" si="131"/>
        <v>16563</v>
      </c>
      <c r="S519" s="552">
        <f t="shared" ca="1" si="132"/>
        <v>2263665</v>
      </c>
      <c r="T519" s="2010">
        <f t="shared" ca="1" si="133"/>
        <v>226</v>
      </c>
      <c r="U519" s="2305">
        <f t="shared" si="127"/>
        <v>0</v>
      </c>
      <c r="V519" s="2305">
        <f t="shared" si="128"/>
        <v>0</v>
      </c>
      <c r="W519" s="2300"/>
      <c r="X519" s="2305">
        <f t="shared" si="129"/>
        <v>0</v>
      </c>
      <c r="Y519" s="2305">
        <f t="shared" si="130"/>
        <v>0</v>
      </c>
      <c r="Z519" s="2300"/>
    </row>
    <row r="520" spans="1:26">
      <c r="A520" s="292" t="str">
        <f>'7.15'!B498</f>
        <v>9幢2单元2001室</v>
      </c>
      <c r="B520" s="207">
        <f>'7.17'!G498</f>
        <v>136.66999999999999</v>
      </c>
      <c r="C520" s="197">
        <f t="shared" si="119"/>
        <v>0.98</v>
      </c>
      <c r="D520" s="995" t="s">
        <v>7609</v>
      </c>
      <c r="E520" s="197">
        <f t="shared" si="120"/>
        <v>1.04</v>
      </c>
      <c r="F520" s="995" t="str">
        <f>'7.15'!D498</f>
        <v>跃层</v>
      </c>
      <c r="G520" s="197">
        <f t="shared" si="121"/>
        <v>1.02</v>
      </c>
      <c r="H520" s="995" t="str">
        <f>'7.15'!E498</f>
        <v>南北</v>
      </c>
      <c r="I520" s="197">
        <f t="shared" si="122"/>
        <v>1</v>
      </c>
      <c r="J520" s="995"/>
      <c r="K520" s="197">
        <f t="shared" si="123"/>
        <v>1</v>
      </c>
      <c r="L520" s="995"/>
      <c r="M520" s="197">
        <f t="shared" si="124"/>
        <v>1</v>
      </c>
      <c r="N520" s="995"/>
      <c r="O520" s="197">
        <f t="shared" si="125"/>
        <v>1</v>
      </c>
      <c r="P520" s="995"/>
      <c r="Q520" s="197">
        <f t="shared" si="126"/>
        <v>1</v>
      </c>
      <c r="R520" s="991">
        <f t="shared" ca="1" si="131"/>
        <v>16563</v>
      </c>
      <c r="S520" s="552">
        <f t="shared" ca="1" si="132"/>
        <v>2263665</v>
      </c>
      <c r="T520" s="2010">
        <f t="shared" ca="1" si="133"/>
        <v>226</v>
      </c>
      <c r="U520" s="2305">
        <f t="shared" si="127"/>
        <v>0</v>
      </c>
      <c r="V520" s="2305">
        <f t="shared" si="128"/>
        <v>0</v>
      </c>
      <c r="W520" s="2300"/>
      <c r="X520" s="2305">
        <f t="shared" si="129"/>
        <v>0</v>
      </c>
      <c r="Y520" s="2305">
        <f t="shared" si="130"/>
        <v>0</v>
      </c>
      <c r="Z520" s="2300"/>
    </row>
    <row r="521" spans="1:26">
      <c r="A521" s="292" t="str">
        <f>'7.15'!B499</f>
        <v>9幢2单元2201室</v>
      </c>
      <c r="B521" s="207">
        <f>'7.17'!G499</f>
        <v>136.66999999999999</v>
      </c>
      <c r="C521" s="197">
        <f t="shared" si="119"/>
        <v>0.98</v>
      </c>
      <c r="D521" s="995" t="s">
        <v>7608</v>
      </c>
      <c r="E521" s="197">
        <f t="shared" si="120"/>
        <v>1.02</v>
      </c>
      <c r="F521" s="995" t="str">
        <f>'7.15'!D499</f>
        <v>跃层</v>
      </c>
      <c r="G521" s="197">
        <f t="shared" si="121"/>
        <v>1.02</v>
      </c>
      <c r="H521" s="995" t="str">
        <f>'7.15'!E499</f>
        <v>南北</v>
      </c>
      <c r="I521" s="197">
        <f t="shared" si="122"/>
        <v>1</v>
      </c>
      <c r="J521" s="995"/>
      <c r="K521" s="197">
        <f t="shared" si="123"/>
        <v>1</v>
      </c>
      <c r="L521" s="995"/>
      <c r="M521" s="197">
        <f t="shared" si="124"/>
        <v>1</v>
      </c>
      <c r="N521" s="995"/>
      <c r="O521" s="197">
        <f t="shared" si="125"/>
        <v>1</v>
      </c>
      <c r="P521" s="995"/>
      <c r="Q521" s="197">
        <f t="shared" si="126"/>
        <v>1</v>
      </c>
      <c r="R521" s="991">
        <f t="shared" ca="1" si="131"/>
        <v>16244</v>
      </c>
      <c r="S521" s="552">
        <f t="shared" ca="1" si="132"/>
        <v>2220067</v>
      </c>
      <c r="T521" s="2010">
        <f t="shared" ca="1" si="133"/>
        <v>222</v>
      </c>
      <c r="U521" s="2305">
        <f t="shared" si="127"/>
        <v>0</v>
      </c>
      <c r="V521" s="2305">
        <f t="shared" si="128"/>
        <v>0</v>
      </c>
      <c r="W521" s="2300"/>
      <c r="X521" s="2305">
        <f t="shared" si="129"/>
        <v>0</v>
      </c>
      <c r="Y521" s="2305">
        <f t="shared" si="130"/>
        <v>0</v>
      </c>
      <c r="Z521" s="2300"/>
    </row>
    <row r="522" spans="1:26">
      <c r="A522" s="292" t="str">
        <f>'7.15'!B500</f>
        <v>9幢2单元2401室</v>
      </c>
      <c r="B522" s="207">
        <f>'7.17'!G500</f>
        <v>136.66999999999999</v>
      </c>
      <c r="C522" s="197">
        <f t="shared" si="119"/>
        <v>0.98</v>
      </c>
      <c r="D522" s="995" t="s">
        <v>7608</v>
      </c>
      <c r="E522" s="197">
        <f t="shared" si="120"/>
        <v>1.02</v>
      </c>
      <c r="F522" s="995" t="str">
        <f>'7.15'!D500</f>
        <v>跃层</v>
      </c>
      <c r="G522" s="197">
        <f t="shared" si="121"/>
        <v>1.02</v>
      </c>
      <c r="H522" s="995" t="str">
        <f>'7.15'!E500</f>
        <v>南北</v>
      </c>
      <c r="I522" s="197">
        <f t="shared" si="122"/>
        <v>1</v>
      </c>
      <c r="J522" s="995"/>
      <c r="K522" s="197">
        <f t="shared" si="123"/>
        <v>1</v>
      </c>
      <c r="L522" s="995"/>
      <c r="M522" s="197">
        <f t="shared" si="124"/>
        <v>1</v>
      </c>
      <c r="N522" s="995"/>
      <c r="O522" s="197">
        <f t="shared" si="125"/>
        <v>1</v>
      </c>
      <c r="P522" s="995"/>
      <c r="Q522" s="197">
        <f t="shared" si="126"/>
        <v>1</v>
      </c>
      <c r="R522" s="991">
        <f t="shared" ca="1" si="131"/>
        <v>16244</v>
      </c>
      <c r="S522" s="552">
        <f t="shared" ca="1" si="132"/>
        <v>2220067</v>
      </c>
      <c r="T522" s="2010">
        <f t="shared" ca="1" si="133"/>
        <v>222</v>
      </c>
      <c r="U522" s="2305">
        <f t="shared" si="127"/>
        <v>0</v>
      </c>
      <c r="V522" s="2305">
        <f t="shared" si="128"/>
        <v>0</v>
      </c>
      <c r="W522" s="2300"/>
      <c r="X522" s="2305">
        <f t="shared" si="129"/>
        <v>0</v>
      </c>
      <c r="Y522" s="2305">
        <f t="shared" si="130"/>
        <v>0</v>
      </c>
      <c r="Z522" s="2300"/>
    </row>
    <row r="523" spans="1:26">
      <c r="A523" s="292" t="str">
        <f>'7.15'!B501</f>
        <v>9幢2单元2601室</v>
      </c>
      <c r="B523" s="207">
        <f>'7.17'!G501</f>
        <v>136.66999999999999</v>
      </c>
      <c r="C523" s="197">
        <f t="shared" si="119"/>
        <v>0.98</v>
      </c>
      <c r="D523" s="995" t="s">
        <v>7608</v>
      </c>
      <c r="E523" s="197">
        <f t="shared" si="120"/>
        <v>1.02</v>
      </c>
      <c r="F523" s="995" t="str">
        <f>'7.15'!D501</f>
        <v>跃层</v>
      </c>
      <c r="G523" s="197">
        <f t="shared" si="121"/>
        <v>1.02</v>
      </c>
      <c r="H523" s="995" t="str">
        <f>'7.15'!E501</f>
        <v>南北</v>
      </c>
      <c r="I523" s="197">
        <f t="shared" si="122"/>
        <v>1</v>
      </c>
      <c r="J523" s="995"/>
      <c r="K523" s="197">
        <f t="shared" si="123"/>
        <v>1</v>
      </c>
      <c r="L523" s="995"/>
      <c r="M523" s="197">
        <f t="shared" si="124"/>
        <v>1</v>
      </c>
      <c r="N523" s="995"/>
      <c r="O523" s="197">
        <f t="shared" si="125"/>
        <v>1</v>
      </c>
      <c r="P523" s="995"/>
      <c r="Q523" s="197">
        <f t="shared" si="126"/>
        <v>1</v>
      </c>
      <c r="R523" s="991">
        <f t="shared" ca="1" si="131"/>
        <v>16244</v>
      </c>
      <c r="S523" s="552">
        <f t="shared" ca="1" si="132"/>
        <v>2220067</v>
      </c>
      <c r="T523" s="2010">
        <f t="shared" ca="1" si="133"/>
        <v>222</v>
      </c>
      <c r="U523" s="2305">
        <f t="shared" si="127"/>
        <v>0</v>
      </c>
      <c r="V523" s="2305">
        <f t="shared" si="128"/>
        <v>0</v>
      </c>
      <c r="W523" s="2300"/>
      <c r="X523" s="2305">
        <f t="shared" si="129"/>
        <v>0</v>
      </c>
      <c r="Y523" s="2305">
        <f t="shared" si="130"/>
        <v>0</v>
      </c>
      <c r="Z523" s="2300"/>
    </row>
    <row r="524" spans="1:26">
      <c r="A524" s="292" t="str">
        <f>'7.15'!B502</f>
        <v>9幢2单元2801室</v>
      </c>
      <c r="B524" s="207">
        <f>'7.17'!G502</f>
        <v>136.66999999999999</v>
      </c>
      <c r="C524" s="197">
        <f t="shared" si="119"/>
        <v>0.98</v>
      </c>
      <c r="D524" s="995" t="s">
        <v>7608</v>
      </c>
      <c r="E524" s="197">
        <f t="shared" si="120"/>
        <v>1.02</v>
      </c>
      <c r="F524" s="995" t="str">
        <f>'7.15'!D502</f>
        <v>跃层</v>
      </c>
      <c r="G524" s="197">
        <f t="shared" si="121"/>
        <v>1.02</v>
      </c>
      <c r="H524" s="995" t="str">
        <f>'7.15'!E502</f>
        <v>南北</v>
      </c>
      <c r="I524" s="197">
        <f t="shared" si="122"/>
        <v>1</v>
      </c>
      <c r="J524" s="995"/>
      <c r="K524" s="197">
        <f t="shared" si="123"/>
        <v>1</v>
      </c>
      <c r="L524" s="995"/>
      <c r="M524" s="197">
        <f t="shared" si="124"/>
        <v>1</v>
      </c>
      <c r="N524" s="995"/>
      <c r="O524" s="197">
        <f t="shared" si="125"/>
        <v>1</v>
      </c>
      <c r="P524" s="995"/>
      <c r="Q524" s="197">
        <f t="shared" si="126"/>
        <v>1</v>
      </c>
      <c r="R524" s="991">
        <f t="shared" ca="1" si="131"/>
        <v>16244</v>
      </c>
      <c r="S524" s="552">
        <f t="shared" ca="1" si="132"/>
        <v>2220067</v>
      </c>
      <c r="T524" s="2010">
        <f t="shared" ca="1" si="133"/>
        <v>222</v>
      </c>
      <c r="U524" s="2305">
        <f t="shared" si="127"/>
        <v>0</v>
      </c>
      <c r="V524" s="2305">
        <f t="shared" si="128"/>
        <v>0</v>
      </c>
      <c r="W524" s="2300"/>
      <c r="X524" s="2305">
        <f t="shared" si="129"/>
        <v>0</v>
      </c>
      <c r="Y524" s="2305">
        <f t="shared" si="130"/>
        <v>0</v>
      </c>
      <c r="Z524" s="2300"/>
    </row>
    <row r="525" spans="1:26">
      <c r="A525" s="292" t="str">
        <f>'7.15'!B503</f>
        <v>9幢2单元3001室</v>
      </c>
      <c r="B525" s="207">
        <f>'7.17'!G503</f>
        <v>68.760000000000005</v>
      </c>
      <c r="C525" s="197">
        <f t="shared" si="119"/>
        <v>0.99</v>
      </c>
      <c r="D525" s="995" t="s">
        <v>7608</v>
      </c>
      <c r="E525" s="197">
        <f t="shared" si="120"/>
        <v>1.02</v>
      </c>
      <c r="F525" s="995" t="str">
        <f>'7.15'!D503</f>
        <v>平层</v>
      </c>
      <c r="G525" s="197">
        <f t="shared" si="121"/>
        <v>1</v>
      </c>
      <c r="H525" s="995" t="str">
        <f>'7.15'!E503</f>
        <v>南北</v>
      </c>
      <c r="I525" s="197">
        <f t="shared" si="122"/>
        <v>1</v>
      </c>
      <c r="J525" s="995"/>
      <c r="K525" s="197">
        <f t="shared" si="123"/>
        <v>1</v>
      </c>
      <c r="L525" s="995"/>
      <c r="M525" s="197">
        <f t="shared" si="124"/>
        <v>1</v>
      </c>
      <c r="N525" s="995"/>
      <c r="O525" s="197">
        <f t="shared" si="125"/>
        <v>1</v>
      </c>
      <c r="P525" s="995"/>
      <c r="Q525" s="197">
        <f t="shared" si="126"/>
        <v>1</v>
      </c>
      <c r="R525" s="991">
        <f t="shared" ca="1" si="131"/>
        <v>16088</v>
      </c>
      <c r="S525" s="552">
        <f t="shared" ca="1" si="132"/>
        <v>1106211</v>
      </c>
      <c r="T525" s="2010">
        <f t="shared" ca="1" si="133"/>
        <v>111</v>
      </c>
      <c r="U525" s="2305">
        <f t="shared" si="127"/>
        <v>0</v>
      </c>
      <c r="V525" s="2305">
        <f t="shared" si="128"/>
        <v>0</v>
      </c>
      <c r="W525" s="2300"/>
      <c r="X525" s="2305">
        <f t="shared" si="129"/>
        <v>0</v>
      </c>
      <c r="Y525" s="2305">
        <f t="shared" si="130"/>
        <v>0</v>
      </c>
      <c r="Z525" s="2300"/>
    </row>
    <row r="526" spans="1:26">
      <c r="A526" s="292" t="str">
        <f>'7.15'!B504</f>
        <v>9幢2单元202室</v>
      </c>
      <c r="B526" s="207">
        <f>'7.17'!G504</f>
        <v>88.16</v>
      </c>
      <c r="C526" s="197">
        <f t="shared" si="119"/>
        <v>1</v>
      </c>
      <c r="D526" s="995" t="s">
        <v>7606</v>
      </c>
      <c r="E526" s="197">
        <f t="shared" si="120"/>
        <v>1</v>
      </c>
      <c r="F526" s="995" t="str">
        <f>'7.15'!D504</f>
        <v>平层</v>
      </c>
      <c r="G526" s="197">
        <f t="shared" si="121"/>
        <v>1</v>
      </c>
      <c r="H526" s="995" t="str">
        <f>'7.15'!E504</f>
        <v>南北</v>
      </c>
      <c r="I526" s="197">
        <f t="shared" si="122"/>
        <v>1</v>
      </c>
      <c r="J526" s="995"/>
      <c r="K526" s="197">
        <f t="shared" si="123"/>
        <v>1</v>
      </c>
      <c r="L526" s="995"/>
      <c r="M526" s="197">
        <f t="shared" si="124"/>
        <v>1</v>
      </c>
      <c r="N526" s="995"/>
      <c r="O526" s="197">
        <f t="shared" si="125"/>
        <v>1</v>
      </c>
      <c r="P526" s="995"/>
      <c r="Q526" s="197">
        <f t="shared" si="126"/>
        <v>1</v>
      </c>
      <c r="R526" s="991">
        <f t="shared" ca="1" si="131"/>
        <v>15932</v>
      </c>
      <c r="S526" s="552">
        <f t="shared" ca="1" si="132"/>
        <v>1404565</v>
      </c>
      <c r="T526" s="2010">
        <f t="shared" ca="1" si="133"/>
        <v>140</v>
      </c>
      <c r="U526" s="2305">
        <f t="shared" si="127"/>
        <v>0</v>
      </c>
      <c r="V526" s="2305">
        <f t="shared" si="128"/>
        <v>0</v>
      </c>
      <c r="W526" s="2300"/>
      <c r="X526" s="2305">
        <f t="shared" si="129"/>
        <v>0</v>
      </c>
      <c r="Y526" s="2305">
        <f t="shared" si="130"/>
        <v>0</v>
      </c>
      <c r="Z526" s="2300"/>
    </row>
    <row r="527" spans="1:26">
      <c r="A527" s="292" t="str">
        <f>'7.15'!B505</f>
        <v>9幢2单元302室</v>
      </c>
      <c r="B527" s="207">
        <f>'7.17'!G505</f>
        <v>88.16</v>
      </c>
      <c r="C527" s="197">
        <f t="shared" si="119"/>
        <v>1</v>
      </c>
      <c r="D527" s="995" t="s">
        <v>7606</v>
      </c>
      <c r="E527" s="197">
        <f t="shared" si="120"/>
        <v>1</v>
      </c>
      <c r="F527" s="995" t="str">
        <f>'7.15'!D505</f>
        <v>平层</v>
      </c>
      <c r="G527" s="197">
        <f t="shared" si="121"/>
        <v>1</v>
      </c>
      <c r="H527" s="995" t="str">
        <f>'7.15'!E505</f>
        <v>南北</v>
      </c>
      <c r="I527" s="197">
        <f t="shared" si="122"/>
        <v>1</v>
      </c>
      <c r="J527" s="995"/>
      <c r="K527" s="197">
        <f t="shared" si="123"/>
        <v>1</v>
      </c>
      <c r="L527" s="995"/>
      <c r="M527" s="197">
        <f t="shared" si="124"/>
        <v>1</v>
      </c>
      <c r="N527" s="995"/>
      <c r="O527" s="197">
        <f t="shared" si="125"/>
        <v>1</v>
      </c>
      <c r="P527" s="995"/>
      <c r="Q527" s="197">
        <f t="shared" si="126"/>
        <v>1</v>
      </c>
      <c r="R527" s="991">
        <f t="shared" ca="1" si="131"/>
        <v>15932</v>
      </c>
      <c r="S527" s="552">
        <f t="shared" ca="1" si="132"/>
        <v>1404565</v>
      </c>
      <c r="T527" s="2010">
        <f t="shared" ca="1" si="133"/>
        <v>140</v>
      </c>
      <c r="U527" s="2305">
        <f t="shared" si="127"/>
        <v>0</v>
      </c>
      <c r="V527" s="2305">
        <f t="shared" si="128"/>
        <v>0</v>
      </c>
      <c r="W527" s="2300"/>
      <c r="X527" s="2305">
        <f t="shared" si="129"/>
        <v>0</v>
      </c>
      <c r="Y527" s="2305">
        <f t="shared" si="130"/>
        <v>0</v>
      </c>
      <c r="Z527" s="2300"/>
    </row>
    <row r="528" spans="1:26">
      <c r="A528" s="292" t="str">
        <f>'7.15'!B506</f>
        <v>9幢2单元402室</v>
      </c>
      <c r="B528" s="207">
        <f>'7.17'!G506</f>
        <v>88.16</v>
      </c>
      <c r="C528" s="197">
        <f t="shared" ref="C528:C591" si="134">IF(B528="",1,(LOOKUP(B528,$6:$6,$7:$7)-LOOKUP($B$27,$6:$6,$7:$7)+100)/100)</f>
        <v>1</v>
      </c>
      <c r="D528" s="995" t="s">
        <v>7606</v>
      </c>
      <c r="E528" s="197">
        <f t="shared" ref="E528:E591" si="135">(SUMIF($8:$8,D528,$9:$9)-SUMIF($8:$8,$D$27,$9:$9)+100)/100</f>
        <v>1</v>
      </c>
      <c r="F528" s="995" t="str">
        <f>'7.15'!D506</f>
        <v>平层</v>
      </c>
      <c r="G528" s="197">
        <f t="shared" ref="G528:G591" si="136">(SUMIF($10:$10,F528,$11:$11)-SUMIF($10:$10,$F$27,$11:$11)+100)/100</f>
        <v>1</v>
      </c>
      <c r="H528" s="995" t="str">
        <f>'7.15'!E506</f>
        <v>南北</v>
      </c>
      <c r="I528" s="197">
        <f t="shared" ref="I528:I591" si="137">(SUMIF($12:$12,H528,$13:$13)-SUMIF($12:$12,$H$27,$13:$13)+100)/100</f>
        <v>1</v>
      </c>
      <c r="J528" s="995"/>
      <c r="K528" s="197">
        <f t="shared" ref="K528:K591" si="138">(SUMIF($14:$14,J528,$15:$15)-SUMIF($14:$14,$J$27,$15:$15)+100)/100</f>
        <v>1</v>
      </c>
      <c r="L528" s="995"/>
      <c r="M528" s="197">
        <f t="shared" ref="M528:M591" si="139">(SUMIF($16:$16,L528,$17:$17)-SUMIF($16:$16,$L$27,$17:$17)+100)/100</f>
        <v>1</v>
      </c>
      <c r="N528" s="995"/>
      <c r="O528" s="197">
        <f t="shared" ref="O528:O591" si="140">(SUMIF($18:$18,N528,$19:$19)-SUMIF($18:$18,$N$27,$19:$19)+100)/100</f>
        <v>1</v>
      </c>
      <c r="P528" s="995"/>
      <c r="Q528" s="197">
        <f t="shared" ref="Q528:Q591" si="141">(SUMIF($20:$20,P528,$21:$21)-SUMIF($20:$20,$P$27,$21:$21)+100)/100</f>
        <v>1</v>
      </c>
      <c r="R528" s="991">
        <f t="shared" ref="R528:R591" ca="1" si="142">IF(B528="",0,ROUND($R$27*C528*E528*G528*I528*K528*M528*O528*Q528,0))</f>
        <v>15932</v>
      </c>
      <c r="S528" s="552">
        <f t="shared" ref="S528:S591" ca="1" si="143">ROUND(R528*B528,0)</f>
        <v>1404565</v>
      </c>
      <c r="T528" s="2010">
        <f t="shared" ref="T528:T591" ca="1" si="144">ROUND(R528*B528/10000,0)</f>
        <v>140</v>
      </c>
      <c r="U528" s="2305">
        <f t="shared" ref="U528:U591" si="145">ROUND(W528*B528,0)</f>
        <v>0</v>
      </c>
      <c r="V528" s="2305">
        <f t="shared" ref="V528:V591" si="146">ROUND(W528*B528/10000,0)</f>
        <v>0</v>
      </c>
      <c r="W528" s="2300"/>
      <c r="X528" s="2305">
        <f t="shared" ref="X528:X591" si="147">ROUND(Z528*B528,0)</f>
        <v>0</v>
      </c>
      <c r="Y528" s="2305">
        <f t="shared" ref="Y528:Y591" si="148">ROUND(Z528*B528/10000,0)</f>
        <v>0</v>
      </c>
      <c r="Z528" s="2300"/>
    </row>
    <row r="529" spans="1:26">
      <c r="A529" s="292" t="str">
        <f>'7.15'!B507</f>
        <v>9幢2单元502室</v>
      </c>
      <c r="B529" s="207">
        <f>'7.17'!G507</f>
        <v>88.16</v>
      </c>
      <c r="C529" s="197">
        <f t="shared" si="134"/>
        <v>1</v>
      </c>
      <c r="D529" s="995" t="s">
        <v>7606</v>
      </c>
      <c r="E529" s="197">
        <f t="shared" si="135"/>
        <v>1</v>
      </c>
      <c r="F529" s="995" t="str">
        <f>'7.15'!D507</f>
        <v>平层</v>
      </c>
      <c r="G529" s="197">
        <f t="shared" si="136"/>
        <v>1</v>
      </c>
      <c r="H529" s="995" t="str">
        <f>'7.15'!E507</f>
        <v>南北</v>
      </c>
      <c r="I529" s="197">
        <f t="shared" si="137"/>
        <v>1</v>
      </c>
      <c r="J529" s="995"/>
      <c r="K529" s="197">
        <f t="shared" si="138"/>
        <v>1</v>
      </c>
      <c r="L529" s="995"/>
      <c r="M529" s="197">
        <f t="shared" si="139"/>
        <v>1</v>
      </c>
      <c r="N529" s="995"/>
      <c r="O529" s="197">
        <f t="shared" si="140"/>
        <v>1</v>
      </c>
      <c r="P529" s="995"/>
      <c r="Q529" s="197">
        <f t="shared" si="141"/>
        <v>1</v>
      </c>
      <c r="R529" s="991">
        <f t="shared" ca="1" si="142"/>
        <v>15932</v>
      </c>
      <c r="S529" s="552">
        <f t="shared" ca="1" si="143"/>
        <v>1404565</v>
      </c>
      <c r="T529" s="2010">
        <f t="shared" ca="1" si="144"/>
        <v>140</v>
      </c>
      <c r="U529" s="2305">
        <f t="shared" si="145"/>
        <v>0</v>
      </c>
      <c r="V529" s="2305">
        <f t="shared" si="146"/>
        <v>0</v>
      </c>
      <c r="W529" s="2300"/>
      <c r="X529" s="2305">
        <f t="shared" si="147"/>
        <v>0</v>
      </c>
      <c r="Y529" s="2305">
        <f t="shared" si="148"/>
        <v>0</v>
      </c>
      <c r="Z529" s="2300"/>
    </row>
    <row r="530" spans="1:26">
      <c r="A530" s="292" t="str">
        <f>'7.15'!B508</f>
        <v>9幢2单元602室</v>
      </c>
      <c r="B530" s="207">
        <f>'7.17'!G508</f>
        <v>88.16</v>
      </c>
      <c r="C530" s="197">
        <f t="shared" si="134"/>
        <v>1</v>
      </c>
      <c r="D530" s="995" t="s">
        <v>7606</v>
      </c>
      <c r="E530" s="197">
        <f t="shared" si="135"/>
        <v>1</v>
      </c>
      <c r="F530" s="995" t="str">
        <f>'7.15'!D508</f>
        <v>平层</v>
      </c>
      <c r="G530" s="197">
        <f t="shared" si="136"/>
        <v>1</v>
      </c>
      <c r="H530" s="995" t="str">
        <f>'7.15'!E508</f>
        <v>南北</v>
      </c>
      <c r="I530" s="197">
        <f t="shared" si="137"/>
        <v>1</v>
      </c>
      <c r="J530" s="995"/>
      <c r="K530" s="197">
        <f t="shared" si="138"/>
        <v>1</v>
      </c>
      <c r="L530" s="995"/>
      <c r="M530" s="197">
        <f t="shared" si="139"/>
        <v>1</v>
      </c>
      <c r="N530" s="995"/>
      <c r="O530" s="197">
        <f t="shared" si="140"/>
        <v>1</v>
      </c>
      <c r="P530" s="995"/>
      <c r="Q530" s="197">
        <f t="shared" si="141"/>
        <v>1</v>
      </c>
      <c r="R530" s="991">
        <f t="shared" ca="1" si="142"/>
        <v>15932</v>
      </c>
      <c r="S530" s="552">
        <f t="shared" ca="1" si="143"/>
        <v>1404565</v>
      </c>
      <c r="T530" s="2010">
        <f t="shared" ca="1" si="144"/>
        <v>140</v>
      </c>
      <c r="U530" s="2305">
        <f t="shared" si="145"/>
        <v>0</v>
      </c>
      <c r="V530" s="2305">
        <f t="shared" si="146"/>
        <v>0</v>
      </c>
      <c r="W530" s="2300"/>
      <c r="X530" s="2305">
        <f t="shared" si="147"/>
        <v>0</v>
      </c>
      <c r="Y530" s="2305">
        <f t="shared" si="148"/>
        <v>0</v>
      </c>
      <c r="Z530" s="2300"/>
    </row>
    <row r="531" spans="1:26">
      <c r="A531" s="292" t="str">
        <f>'7.15'!B509</f>
        <v>9幢2单元702室</v>
      </c>
      <c r="B531" s="207">
        <f>'7.17'!G509</f>
        <v>88.16</v>
      </c>
      <c r="C531" s="197">
        <f t="shared" si="134"/>
        <v>1</v>
      </c>
      <c r="D531" s="995" t="s">
        <v>7606</v>
      </c>
      <c r="E531" s="197">
        <f t="shared" si="135"/>
        <v>1</v>
      </c>
      <c r="F531" s="995" t="str">
        <f>'7.15'!D509</f>
        <v>平层</v>
      </c>
      <c r="G531" s="197">
        <f t="shared" si="136"/>
        <v>1</v>
      </c>
      <c r="H531" s="995" t="str">
        <f>'7.15'!E509</f>
        <v>南北</v>
      </c>
      <c r="I531" s="197">
        <f t="shared" si="137"/>
        <v>1</v>
      </c>
      <c r="J531" s="995"/>
      <c r="K531" s="197">
        <f t="shared" si="138"/>
        <v>1</v>
      </c>
      <c r="L531" s="995"/>
      <c r="M531" s="197">
        <f t="shared" si="139"/>
        <v>1</v>
      </c>
      <c r="N531" s="995"/>
      <c r="O531" s="197">
        <f t="shared" si="140"/>
        <v>1</v>
      </c>
      <c r="P531" s="995"/>
      <c r="Q531" s="197">
        <f t="shared" si="141"/>
        <v>1</v>
      </c>
      <c r="R531" s="991">
        <f t="shared" ca="1" si="142"/>
        <v>15932</v>
      </c>
      <c r="S531" s="552">
        <f t="shared" ca="1" si="143"/>
        <v>1404565</v>
      </c>
      <c r="T531" s="2010">
        <f t="shared" ca="1" si="144"/>
        <v>140</v>
      </c>
      <c r="U531" s="2305">
        <f t="shared" si="145"/>
        <v>0</v>
      </c>
      <c r="V531" s="2305">
        <f t="shared" si="146"/>
        <v>0</v>
      </c>
      <c r="W531" s="2300"/>
      <c r="X531" s="2305">
        <f t="shared" si="147"/>
        <v>0</v>
      </c>
      <c r="Y531" s="2305">
        <f t="shared" si="148"/>
        <v>0</v>
      </c>
      <c r="Z531" s="2300"/>
    </row>
    <row r="532" spans="1:26">
      <c r="A532" s="292" t="str">
        <f>'7.15'!B510</f>
        <v>9幢2单元802室</v>
      </c>
      <c r="B532" s="207">
        <f>'7.17'!G510</f>
        <v>88.16</v>
      </c>
      <c r="C532" s="197">
        <f t="shared" si="134"/>
        <v>1</v>
      </c>
      <c r="D532" s="995" t="s">
        <v>7606</v>
      </c>
      <c r="E532" s="197">
        <f t="shared" si="135"/>
        <v>1</v>
      </c>
      <c r="F532" s="995" t="str">
        <f>'7.15'!D510</f>
        <v>平层</v>
      </c>
      <c r="G532" s="197">
        <f t="shared" si="136"/>
        <v>1</v>
      </c>
      <c r="H532" s="995" t="str">
        <f>'7.15'!E510</f>
        <v>南北</v>
      </c>
      <c r="I532" s="197">
        <f t="shared" si="137"/>
        <v>1</v>
      </c>
      <c r="J532" s="995"/>
      <c r="K532" s="197">
        <f t="shared" si="138"/>
        <v>1</v>
      </c>
      <c r="L532" s="995"/>
      <c r="M532" s="197">
        <f t="shared" si="139"/>
        <v>1</v>
      </c>
      <c r="N532" s="995"/>
      <c r="O532" s="197">
        <f t="shared" si="140"/>
        <v>1</v>
      </c>
      <c r="P532" s="995"/>
      <c r="Q532" s="197">
        <f t="shared" si="141"/>
        <v>1</v>
      </c>
      <c r="R532" s="991">
        <f t="shared" ca="1" si="142"/>
        <v>15932</v>
      </c>
      <c r="S532" s="552">
        <f t="shared" ca="1" si="143"/>
        <v>1404565</v>
      </c>
      <c r="T532" s="2010">
        <f t="shared" ca="1" si="144"/>
        <v>140</v>
      </c>
      <c r="U532" s="2305">
        <f t="shared" si="145"/>
        <v>0</v>
      </c>
      <c r="V532" s="2305">
        <f t="shared" si="146"/>
        <v>0</v>
      </c>
      <c r="W532" s="2300"/>
      <c r="X532" s="2305">
        <f t="shared" si="147"/>
        <v>0</v>
      </c>
      <c r="Y532" s="2305">
        <f t="shared" si="148"/>
        <v>0</v>
      </c>
      <c r="Z532" s="2300"/>
    </row>
    <row r="533" spans="1:26">
      <c r="A533" s="292" t="str">
        <f>'7.15'!B511</f>
        <v>9幢2单元902室</v>
      </c>
      <c r="B533" s="207">
        <f>'7.17'!G511</f>
        <v>88.16</v>
      </c>
      <c r="C533" s="197">
        <f t="shared" si="134"/>
        <v>1</v>
      </c>
      <c r="D533" s="995" t="s">
        <v>7606</v>
      </c>
      <c r="E533" s="197">
        <f t="shared" si="135"/>
        <v>1</v>
      </c>
      <c r="F533" s="995" t="str">
        <f>'7.15'!D511</f>
        <v>平层</v>
      </c>
      <c r="G533" s="197">
        <f t="shared" si="136"/>
        <v>1</v>
      </c>
      <c r="H533" s="995" t="str">
        <f>'7.15'!E511</f>
        <v>南北</v>
      </c>
      <c r="I533" s="197">
        <f t="shared" si="137"/>
        <v>1</v>
      </c>
      <c r="J533" s="995"/>
      <c r="K533" s="197">
        <f t="shared" si="138"/>
        <v>1</v>
      </c>
      <c r="L533" s="995"/>
      <c r="M533" s="197">
        <f t="shared" si="139"/>
        <v>1</v>
      </c>
      <c r="N533" s="995"/>
      <c r="O533" s="197">
        <f t="shared" si="140"/>
        <v>1</v>
      </c>
      <c r="P533" s="995"/>
      <c r="Q533" s="197">
        <f t="shared" si="141"/>
        <v>1</v>
      </c>
      <c r="R533" s="991">
        <f t="shared" ca="1" si="142"/>
        <v>15932</v>
      </c>
      <c r="S533" s="552">
        <f t="shared" ca="1" si="143"/>
        <v>1404565</v>
      </c>
      <c r="T533" s="2010">
        <f t="shared" ca="1" si="144"/>
        <v>140</v>
      </c>
      <c r="U533" s="2305">
        <f t="shared" si="145"/>
        <v>0</v>
      </c>
      <c r="V533" s="2305">
        <f t="shared" si="146"/>
        <v>0</v>
      </c>
      <c r="W533" s="2300"/>
      <c r="X533" s="2305">
        <f t="shared" si="147"/>
        <v>0</v>
      </c>
      <c r="Y533" s="2305">
        <f t="shared" si="148"/>
        <v>0</v>
      </c>
      <c r="Z533" s="2300"/>
    </row>
    <row r="534" spans="1:26">
      <c r="A534" s="292" t="str">
        <f>'7.15'!B512</f>
        <v>9幢2单元1002室</v>
      </c>
      <c r="B534" s="207">
        <f>'7.17'!G512</f>
        <v>88.16</v>
      </c>
      <c r="C534" s="197">
        <f t="shared" si="134"/>
        <v>1</v>
      </c>
      <c r="D534" s="995" t="s">
        <v>7606</v>
      </c>
      <c r="E534" s="197">
        <f t="shared" si="135"/>
        <v>1</v>
      </c>
      <c r="F534" s="995" t="str">
        <f>'7.15'!D512</f>
        <v>平层</v>
      </c>
      <c r="G534" s="197">
        <f t="shared" si="136"/>
        <v>1</v>
      </c>
      <c r="H534" s="995" t="str">
        <f>'7.15'!E512</f>
        <v>南北</v>
      </c>
      <c r="I534" s="197">
        <f t="shared" si="137"/>
        <v>1</v>
      </c>
      <c r="J534" s="995"/>
      <c r="K534" s="197">
        <f t="shared" si="138"/>
        <v>1</v>
      </c>
      <c r="L534" s="995"/>
      <c r="M534" s="197">
        <f t="shared" si="139"/>
        <v>1</v>
      </c>
      <c r="N534" s="995"/>
      <c r="O534" s="197">
        <f t="shared" si="140"/>
        <v>1</v>
      </c>
      <c r="P534" s="995"/>
      <c r="Q534" s="197">
        <f t="shared" si="141"/>
        <v>1</v>
      </c>
      <c r="R534" s="991">
        <f t="shared" ca="1" si="142"/>
        <v>15932</v>
      </c>
      <c r="S534" s="552">
        <f t="shared" ca="1" si="143"/>
        <v>1404565</v>
      </c>
      <c r="T534" s="2010">
        <f t="shared" ca="1" si="144"/>
        <v>140</v>
      </c>
      <c r="U534" s="2305">
        <f t="shared" si="145"/>
        <v>0</v>
      </c>
      <c r="V534" s="2305">
        <f t="shared" si="146"/>
        <v>0</v>
      </c>
      <c r="W534" s="2300"/>
      <c r="X534" s="2305">
        <f t="shared" si="147"/>
        <v>0</v>
      </c>
      <c r="Y534" s="2305">
        <f t="shared" si="148"/>
        <v>0</v>
      </c>
      <c r="Z534" s="2300"/>
    </row>
    <row r="535" spans="1:26">
      <c r="A535" s="292" t="str">
        <f>'7.15'!B513</f>
        <v>9幢2单元1102室</v>
      </c>
      <c r="B535" s="207">
        <f>'7.17'!G513</f>
        <v>88.16</v>
      </c>
      <c r="C535" s="197">
        <f t="shared" si="134"/>
        <v>1</v>
      </c>
      <c r="D535" s="995" t="s">
        <v>7609</v>
      </c>
      <c r="E535" s="197">
        <f t="shared" si="135"/>
        <v>1.04</v>
      </c>
      <c r="F535" s="995" t="str">
        <f>'7.15'!D513</f>
        <v>平层</v>
      </c>
      <c r="G535" s="197">
        <f t="shared" si="136"/>
        <v>1</v>
      </c>
      <c r="H535" s="995" t="str">
        <f>'7.15'!E513</f>
        <v>南北</v>
      </c>
      <c r="I535" s="197">
        <f t="shared" si="137"/>
        <v>1</v>
      </c>
      <c r="J535" s="995"/>
      <c r="K535" s="197">
        <f t="shared" si="138"/>
        <v>1</v>
      </c>
      <c r="L535" s="995"/>
      <c r="M535" s="197">
        <f t="shared" si="139"/>
        <v>1</v>
      </c>
      <c r="N535" s="995"/>
      <c r="O535" s="197">
        <f t="shared" si="140"/>
        <v>1</v>
      </c>
      <c r="P535" s="995"/>
      <c r="Q535" s="197">
        <f t="shared" si="141"/>
        <v>1</v>
      </c>
      <c r="R535" s="991">
        <f t="shared" ca="1" si="142"/>
        <v>16569</v>
      </c>
      <c r="S535" s="552">
        <f t="shared" ca="1" si="143"/>
        <v>1460723</v>
      </c>
      <c r="T535" s="2010">
        <f t="shared" ca="1" si="144"/>
        <v>146</v>
      </c>
      <c r="U535" s="2305">
        <f t="shared" si="145"/>
        <v>0</v>
      </c>
      <c r="V535" s="2305">
        <f t="shared" si="146"/>
        <v>0</v>
      </c>
      <c r="W535" s="2300"/>
      <c r="X535" s="2305">
        <f t="shared" si="147"/>
        <v>0</v>
      </c>
      <c r="Y535" s="2305">
        <f t="shared" si="148"/>
        <v>0</v>
      </c>
      <c r="Z535" s="2300"/>
    </row>
    <row r="536" spans="1:26">
      <c r="A536" s="292" t="str">
        <f>'7.15'!B514</f>
        <v>9幢2单元1202室</v>
      </c>
      <c r="B536" s="207">
        <f>'7.17'!G514</f>
        <v>88.16</v>
      </c>
      <c r="C536" s="197">
        <f t="shared" si="134"/>
        <v>1</v>
      </c>
      <c r="D536" s="995" t="s">
        <v>7609</v>
      </c>
      <c r="E536" s="197">
        <f t="shared" si="135"/>
        <v>1.04</v>
      </c>
      <c r="F536" s="995" t="str">
        <f>'7.15'!D514</f>
        <v>平层</v>
      </c>
      <c r="G536" s="197">
        <f t="shared" si="136"/>
        <v>1</v>
      </c>
      <c r="H536" s="995" t="str">
        <f>'7.15'!E514</f>
        <v>南北</v>
      </c>
      <c r="I536" s="197">
        <f t="shared" si="137"/>
        <v>1</v>
      </c>
      <c r="J536" s="995"/>
      <c r="K536" s="197">
        <f t="shared" si="138"/>
        <v>1</v>
      </c>
      <c r="L536" s="995"/>
      <c r="M536" s="197">
        <f t="shared" si="139"/>
        <v>1</v>
      </c>
      <c r="N536" s="995"/>
      <c r="O536" s="197">
        <f t="shared" si="140"/>
        <v>1</v>
      </c>
      <c r="P536" s="995"/>
      <c r="Q536" s="197">
        <f t="shared" si="141"/>
        <v>1</v>
      </c>
      <c r="R536" s="991">
        <f t="shared" ca="1" si="142"/>
        <v>16569</v>
      </c>
      <c r="S536" s="552">
        <f t="shared" ca="1" si="143"/>
        <v>1460723</v>
      </c>
      <c r="T536" s="2010">
        <f t="shared" ca="1" si="144"/>
        <v>146</v>
      </c>
      <c r="U536" s="2305">
        <f t="shared" si="145"/>
        <v>0</v>
      </c>
      <c r="V536" s="2305">
        <f t="shared" si="146"/>
        <v>0</v>
      </c>
      <c r="W536" s="2300"/>
      <c r="X536" s="2305">
        <f t="shared" si="147"/>
        <v>0</v>
      </c>
      <c r="Y536" s="2305">
        <f t="shared" si="148"/>
        <v>0</v>
      </c>
      <c r="Z536" s="2300"/>
    </row>
    <row r="537" spans="1:26">
      <c r="A537" s="292" t="str">
        <f>'7.15'!B515</f>
        <v>9幢2单元1302室</v>
      </c>
      <c r="B537" s="207">
        <f>'7.17'!G515</f>
        <v>88.16</v>
      </c>
      <c r="C537" s="197">
        <f t="shared" si="134"/>
        <v>1</v>
      </c>
      <c r="D537" s="995" t="s">
        <v>7609</v>
      </c>
      <c r="E537" s="197">
        <f t="shared" si="135"/>
        <v>1.04</v>
      </c>
      <c r="F537" s="995" t="str">
        <f>'7.15'!D515</f>
        <v>平层</v>
      </c>
      <c r="G537" s="197">
        <f t="shared" si="136"/>
        <v>1</v>
      </c>
      <c r="H537" s="995" t="str">
        <f>'7.15'!E515</f>
        <v>南北</v>
      </c>
      <c r="I537" s="197">
        <f t="shared" si="137"/>
        <v>1</v>
      </c>
      <c r="J537" s="995"/>
      <c r="K537" s="197">
        <f t="shared" si="138"/>
        <v>1</v>
      </c>
      <c r="L537" s="995"/>
      <c r="M537" s="197">
        <f t="shared" si="139"/>
        <v>1</v>
      </c>
      <c r="N537" s="995"/>
      <c r="O537" s="197">
        <f t="shared" si="140"/>
        <v>1</v>
      </c>
      <c r="P537" s="995"/>
      <c r="Q537" s="197">
        <f t="shared" si="141"/>
        <v>1</v>
      </c>
      <c r="R537" s="991">
        <f t="shared" ca="1" si="142"/>
        <v>16569</v>
      </c>
      <c r="S537" s="552">
        <f t="shared" ca="1" si="143"/>
        <v>1460723</v>
      </c>
      <c r="T537" s="2010">
        <f t="shared" ca="1" si="144"/>
        <v>146</v>
      </c>
      <c r="U537" s="2305">
        <f t="shared" si="145"/>
        <v>0</v>
      </c>
      <c r="V537" s="2305">
        <f t="shared" si="146"/>
        <v>0</v>
      </c>
      <c r="W537" s="2300"/>
      <c r="X537" s="2305">
        <f t="shared" si="147"/>
        <v>0</v>
      </c>
      <c r="Y537" s="2305">
        <f t="shared" si="148"/>
        <v>0</v>
      </c>
      <c r="Z537" s="2300"/>
    </row>
    <row r="538" spans="1:26">
      <c r="A538" s="292" t="str">
        <f>'7.15'!B516</f>
        <v>9幢2单元1402室</v>
      </c>
      <c r="B538" s="207">
        <f>'7.17'!G516</f>
        <v>88.16</v>
      </c>
      <c r="C538" s="197">
        <f t="shared" si="134"/>
        <v>1</v>
      </c>
      <c r="D538" s="995" t="s">
        <v>7609</v>
      </c>
      <c r="E538" s="197">
        <f t="shared" si="135"/>
        <v>1.04</v>
      </c>
      <c r="F538" s="995" t="str">
        <f>'7.15'!D516</f>
        <v>平层</v>
      </c>
      <c r="G538" s="197">
        <f t="shared" si="136"/>
        <v>1</v>
      </c>
      <c r="H538" s="995" t="str">
        <f>'7.15'!E516</f>
        <v>南北</v>
      </c>
      <c r="I538" s="197">
        <f t="shared" si="137"/>
        <v>1</v>
      </c>
      <c r="J538" s="995"/>
      <c r="K538" s="197">
        <f t="shared" si="138"/>
        <v>1</v>
      </c>
      <c r="L538" s="995"/>
      <c r="M538" s="197">
        <f t="shared" si="139"/>
        <v>1</v>
      </c>
      <c r="N538" s="995"/>
      <c r="O538" s="197">
        <f t="shared" si="140"/>
        <v>1</v>
      </c>
      <c r="P538" s="995"/>
      <c r="Q538" s="197">
        <f t="shared" si="141"/>
        <v>1</v>
      </c>
      <c r="R538" s="991">
        <f t="shared" ca="1" si="142"/>
        <v>16569</v>
      </c>
      <c r="S538" s="552">
        <f t="shared" ca="1" si="143"/>
        <v>1460723</v>
      </c>
      <c r="T538" s="2010">
        <f t="shared" ca="1" si="144"/>
        <v>146</v>
      </c>
      <c r="U538" s="2305">
        <f t="shared" si="145"/>
        <v>0</v>
      </c>
      <c r="V538" s="2305">
        <f t="shared" si="146"/>
        <v>0</v>
      </c>
      <c r="W538" s="2300"/>
      <c r="X538" s="2305">
        <f t="shared" si="147"/>
        <v>0</v>
      </c>
      <c r="Y538" s="2305">
        <f t="shared" si="148"/>
        <v>0</v>
      </c>
      <c r="Z538" s="2300"/>
    </row>
    <row r="539" spans="1:26">
      <c r="A539" s="292" t="str">
        <f>'7.15'!B517</f>
        <v>9幢2单元1502室</v>
      </c>
      <c r="B539" s="207">
        <f>'7.17'!G517</f>
        <v>88.16</v>
      </c>
      <c r="C539" s="197">
        <f t="shared" si="134"/>
        <v>1</v>
      </c>
      <c r="D539" s="995" t="s">
        <v>7609</v>
      </c>
      <c r="E539" s="197">
        <f t="shared" si="135"/>
        <v>1.04</v>
      </c>
      <c r="F539" s="995" t="str">
        <f>'7.15'!D517</f>
        <v>平层</v>
      </c>
      <c r="G539" s="197">
        <f t="shared" si="136"/>
        <v>1</v>
      </c>
      <c r="H539" s="995" t="str">
        <f>'7.15'!E517</f>
        <v>南北</v>
      </c>
      <c r="I539" s="197">
        <f t="shared" si="137"/>
        <v>1</v>
      </c>
      <c r="J539" s="995"/>
      <c r="K539" s="197">
        <f t="shared" si="138"/>
        <v>1</v>
      </c>
      <c r="L539" s="995"/>
      <c r="M539" s="197">
        <f t="shared" si="139"/>
        <v>1</v>
      </c>
      <c r="N539" s="995"/>
      <c r="O539" s="197">
        <f t="shared" si="140"/>
        <v>1</v>
      </c>
      <c r="P539" s="995"/>
      <c r="Q539" s="197">
        <f t="shared" si="141"/>
        <v>1</v>
      </c>
      <c r="R539" s="991">
        <f t="shared" ca="1" si="142"/>
        <v>16569</v>
      </c>
      <c r="S539" s="552">
        <f t="shared" ca="1" si="143"/>
        <v>1460723</v>
      </c>
      <c r="T539" s="2010">
        <f t="shared" ca="1" si="144"/>
        <v>146</v>
      </c>
      <c r="U539" s="2305">
        <f t="shared" si="145"/>
        <v>0</v>
      </c>
      <c r="V539" s="2305">
        <f t="shared" si="146"/>
        <v>0</v>
      </c>
      <c r="W539" s="2300"/>
      <c r="X539" s="2305">
        <f t="shared" si="147"/>
        <v>0</v>
      </c>
      <c r="Y539" s="2305">
        <f t="shared" si="148"/>
        <v>0</v>
      </c>
      <c r="Z539" s="2300"/>
    </row>
    <row r="540" spans="1:26">
      <c r="A540" s="292" t="str">
        <f>'7.15'!B518</f>
        <v>9幢2单元1602室</v>
      </c>
      <c r="B540" s="207">
        <f>'7.17'!G518</f>
        <v>88.16</v>
      </c>
      <c r="C540" s="197">
        <f t="shared" si="134"/>
        <v>1</v>
      </c>
      <c r="D540" s="995" t="s">
        <v>7609</v>
      </c>
      <c r="E540" s="197">
        <f t="shared" si="135"/>
        <v>1.04</v>
      </c>
      <c r="F540" s="995" t="str">
        <f>'7.15'!D518</f>
        <v>平层</v>
      </c>
      <c r="G540" s="197">
        <f t="shared" si="136"/>
        <v>1</v>
      </c>
      <c r="H540" s="995" t="str">
        <f>'7.15'!E518</f>
        <v>南北</v>
      </c>
      <c r="I540" s="197">
        <f t="shared" si="137"/>
        <v>1</v>
      </c>
      <c r="J540" s="995"/>
      <c r="K540" s="197">
        <f t="shared" si="138"/>
        <v>1</v>
      </c>
      <c r="L540" s="995"/>
      <c r="M540" s="197">
        <f t="shared" si="139"/>
        <v>1</v>
      </c>
      <c r="N540" s="995"/>
      <c r="O540" s="197">
        <f t="shared" si="140"/>
        <v>1</v>
      </c>
      <c r="P540" s="995"/>
      <c r="Q540" s="197">
        <f t="shared" si="141"/>
        <v>1</v>
      </c>
      <c r="R540" s="991">
        <f t="shared" ca="1" si="142"/>
        <v>16569</v>
      </c>
      <c r="S540" s="552">
        <f t="shared" ca="1" si="143"/>
        <v>1460723</v>
      </c>
      <c r="T540" s="2010">
        <f t="shared" ca="1" si="144"/>
        <v>146</v>
      </c>
      <c r="U540" s="2305">
        <f t="shared" si="145"/>
        <v>0</v>
      </c>
      <c r="V540" s="2305">
        <f t="shared" si="146"/>
        <v>0</v>
      </c>
      <c r="W540" s="2300"/>
      <c r="X540" s="2305">
        <f t="shared" si="147"/>
        <v>0</v>
      </c>
      <c r="Y540" s="2305">
        <f t="shared" si="148"/>
        <v>0</v>
      </c>
      <c r="Z540" s="2300"/>
    </row>
    <row r="541" spans="1:26">
      <c r="A541" s="292" t="str">
        <f>'7.15'!B519</f>
        <v>9幢2单元1702室</v>
      </c>
      <c r="B541" s="207">
        <f>'7.17'!G519</f>
        <v>88.16</v>
      </c>
      <c r="C541" s="197">
        <f t="shared" si="134"/>
        <v>1</v>
      </c>
      <c r="D541" s="995" t="s">
        <v>7609</v>
      </c>
      <c r="E541" s="197">
        <f t="shared" si="135"/>
        <v>1.04</v>
      </c>
      <c r="F541" s="995" t="str">
        <f>'7.15'!D519</f>
        <v>平层</v>
      </c>
      <c r="G541" s="197">
        <f t="shared" si="136"/>
        <v>1</v>
      </c>
      <c r="H541" s="995" t="str">
        <f>'7.15'!E519</f>
        <v>南北</v>
      </c>
      <c r="I541" s="197">
        <f t="shared" si="137"/>
        <v>1</v>
      </c>
      <c r="J541" s="995"/>
      <c r="K541" s="197">
        <f t="shared" si="138"/>
        <v>1</v>
      </c>
      <c r="L541" s="995"/>
      <c r="M541" s="197">
        <f t="shared" si="139"/>
        <v>1</v>
      </c>
      <c r="N541" s="995"/>
      <c r="O541" s="197">
        <f t="shared" si="140"/>
        <v>1</v>
      </c>
      <c r="P541" s="995"/>
      <c r="Q541" s="197">
        <f t="shared" si="141"/>
        <v>1</v>
      </c>
      <c r="R541" s="991">
        <f t="shared" ca="1" si="142"/>
        <v>16569</v>
      </c>
      <c r="S541" s="552">
        <f t="shared" ca="1" si="143"/>
        <v>1460723</v>
      </c>
      <c r="T541" s="2010">
        <f t="shared" ca="1" si="144"/>
        <v>146</v>
      </c>
      <c r="U541" s="2305">
        <f t="shared" si="145"/>
        <v>0</v>
      </c>
      <c r="V541" s="2305">
        <f t="shared" si="146"/>
        <v>0</v>
      </c>
      <c r="W541" s="2300"/>
      <c r="X541" s="2305">
        <f t="shared" si="147"/>
        <v>0</v>
      </c>
      <c r="Y541" s="2305">
        <f t="shared" si="148"/>
        <v>0</v>
      </c>
      <c r="Z541" s="2300"/>
    </row>
    <row r="542" spans="1:26">
      <c r="A542" s="292" t="str">
        <f>'7.15'!B520</f>
        <v>9幢2单元1802室</v>
      </c>
      <c r="B542" s="207">
        <f>'7.17'!G520</f>
        <v>88.16</v>
      </c>
      <c r="C542" s="197">
        <f t="shared" si="134"/>
        <v>1</v>
      </c>
      <c r="D542" s="995" t="s">
        <v>7609</v>
      </c>
      <c r="E542" s="197">
        <f t="shared" si="135"/>
        <v>1.04</v>
      </c>
      <c r="F542" s="995" t="str">
        <f>'7.15'!D520</f>
        <v>平层</v>
      </c>
      <c r="G542" s="197">
        <f t="shared" si="136"/>
        <v>1</v>
      </c>
      <c r="H542" s="995" t="str">
        <f>'7.15'!E520</f>
        <v>南北</v>
      </c>
      <c r="I542" s="197">
        <f t="shared" si="137"/>
        <v>1</v>
      </c>
      <c r="J542" s="995"/>
      <c r="K542" s="197">
        <f t="shared" si="138"/>
        <v>1</v>
      </c>
      <c r="L542" s="995"/>
      <c r="M542" s="197">
        <f t="shared" si="139"/>
        <v>1</v>
      </c>
      <c r="N542" s="995"/>
      <c r="O542" s="197">
        <f t="shared" si="140"/>
        <v>1</v>
      </c>
      <c r="P542" s="995"/>
      <c r="Q542" s="197">
        <f t="shared" si="141"/>
        <v>1</v>
      </c>
      <c r="R542" s="991">
        <f t="shared" ca="1" si="142"/>
        <v>16569</v>
      </c>
      <c r="S542" s="552">
        <f t="shared" ca="1" si="143"/>
        <v>1460723</v>
      </c>
      <c r="T542" s="2010">
        <f t="shared" ca="1" si="144"/>
        <v>146</v>
      </c>
      <c r="U542" s="2305">
        <f t="shared" si="145"/>
        <v>0</v>
      </c>
      <c r="V542" s="2305">
        <f t="shared" si="146"/>
        <v>0</v>
      </c>
      <c r="W542" s="2300"/>
      <c r="X542" s="2305">
        <f t="shared" si="147"/>
        <v>0</v>
      </c>
      <c r="Y542" s="2305">
        <f t="shared" si="148"/>
        <v>0</v>
      </c>
      <c r="Z542" s="2300"/>
    </row>
    <row r="543" spans="1:26">
      <c r="A543" s="292" t="str">
        <f>'7.15'!B521</f>
        <v>9幢2单元1902室</v>
      </c>
      <c r="B543" s="207">
        <f>'7.17'!G521</f>
        <v>88.16</v>
      </c>
      <c r="C543" s="197">
        <f t="shared" si="134"/>
        <v>1</v>
      </c>
      <c r="D543" s="995" t="s">
        <v>7609</v>
      </c>
      <c r="E543" s="197">
        <f t="shared" si="135"/>
        <v>1.04</v>
      </c>
      <c r="F543" s="995" t="str">
        <f>'7.15'!D521</f>
        <v>平层</v>
      </c>
      <c r="G543" s="197">
        <f t="shared" si="136"/>
        <v>1</v>
      </c>
      <c r="H543" s="995" t="str">
        <f>'7.15'!E521</f>
        <v>南北</v>
      </c>
      <c r="I543" s="197">
        <f t="shared" si="137"/>
        <v>1</v>
      </c>
      <c r="J543" s="995"/>
      <c r="K543" s="197">
        <f t="shared" si="138"/>
        <v>1</v>
      </c>
      <c r="L543" s="995"/>
      <c r="M543" s="197">
        <f t="shared" si="139"/>
        <v>1</v>
      </c>
      <c r="N543" s="995"/>
      <c r="O543" s="197">
        <f t="shared" si="140"/>
        <v>1</v>
      </c>
      <c r="P543" s="995"/>
      <c r="Q543" s="197">
        <f t="shared" si="141"/>
        <v>1</v>
      </c>
      <c r="R543" s="991">
        <f t="shared" ca="1" si="142"/>
        <v>16569</v>
      </c>
      <c r="S543" s="552">
        <f t="shared" ca="1" si="143"/>
        <v>1460723</v>
      </c>
      <c r="T543" s="2010">
        <f t="shared" ca="1" si="144"/>
        <v>146</v>
      </c>
      <c r="U543" s="2305">
        <f t="shared" si="145"/>
        <v>0</v>
      </c>
      <c r="V543" s="2305">
        <f t="shared" si="146"/>
        <v>0</v>
      </c>
      <c r="W543" s="2300"/>
      <c r="X543" s="2305">
        <f t="shared" si="147"/>
        <v>0</v>
      </c>
      <c r="Y543" s="2305">
        <f t="shared" si="148"/>
        <v>0</v>
      </c>
      <c r="Z543" s="2300"/>
    </row>
    <row r="544" spans="1:26">
      <c r="A544" s="292" t="str">
        <f>'7.15'!B522</f>
        <v>9幢2单元2002室</v>
      </c>
      <c r="B544" s="207">
        <f>'7.17'!G522</f>
        <v>88.16</v>
      </c>
      <c r="C544" s="197">
        <f t="shared" si="134"/>
        <v>1</v>
      </c>
      <c r="D544" s="995" t="s">
        <v>7609</v>
      </c>
      <c r="E544" s="197">
        <f t="shared" si="135"/>
        <v>1.04</v>
      </c>
      <c r="F544" s="995" t="str">
        <f>'7.15'!D522</f>
        <v>平层</v>
      </c>
      <c r="G544" s="197">
        <f t="shared" si="136"/>
        <v>1</v>
      </c>
      <c r="H544" s="995" t="str">
        <f>'7.15'!E522</f>
        <v>南北</v>
      </c>
      <c r="I544" s="197">
        <f t="shared" si="137"/>
        <v>1</v>
      </c>
      <c r="J544" s="995"/>
      <c r="K544" s="197">
        <f t="shared" si="138"/>
        <v>1</v>
      </c>
      <c r="L544" s="995"/>
      <c r="M544" s="197">
        <f t="shared" si="139"/>
        <v>1</v>
      </c>
      <c r="N544" s="995"/>
      <c r="O544" s="197">
        <f t="shared" si="140"/>
        <v>1</v>
      </c>
      <c r="P544" s="995"/>
      <c r="Q544" s="197">
        <f t="shared" si="141"/>
        <v>1</v>
      </c>
      <c r="R544" s="991">
        <f t="shared" ca="1" si="142"/>
        <v>16569</v>
      </c>
      <c r="S544" s="552">
        <f t="shared" ca="1" si="143"/>
        <v>1460723</v>
      </c>
      <c r="T544" s="2010">
        <f t="shared" ca="1" si="144"/>
        <v>146</v>
      </c>
      <c r="U544" s="2305">
        <f t="shared" si="145"/>
        <v>0</v>
      </c>
      <c r="V544" s="2305">
        <f t="shared" si="146"/>
        <v>0</v>
      </c>
      <c r="W544" s="2300"/>
      <c r="X544" s="2305">
        <f t="shared" si="147"/>
        <v>0</v>
      </c>
      <c r="Y544" s="2305">
        <f t="shared" si="148"/>
        <v>0</v>
      </c>
      <c r="Z544" s="2300"/>
    </row>
    <row r="545" spans="1:26">
      <c r="A545" s="292" t="str">
        <f>'7.15'!B523</f>
        <v>9幢2单元2102室</v>
      </c>
      <c r="B545" s="207">
        <f>'7.17'!G523</f>
        <v>88.16</v>
      </c>
      <c r="C545" s="197">
        <f t="shared" si="134"/>
        <v>1</v>
      </c>
      <c r="D545" s="995" t="s">
        <v>7608</v>
      </c>
      <c r="E545" s="197">
        <f t="shared" si="135"/>
        <v>1.02</v>
      </c>
      <c r="F545" s="995" t="str">
        <f>'7.15'!D523</f>
        <v>平层</v>
      </c>
      <c r="G545" s="197">
        <f t="shared" si="136"/>
        <v>1</v>
      </c>
      <c r="H545" s="995" t="str">
        <f>'7.15'!E523</f>
        <v>南北</v>
      </c>
      <c r="I545" s="197">
        <f t="shared" si="137"/>
        <v>1</v>
      </c>
      <c r="J545" s="995"/>
      <c r="K545" s="197">
        <f t="shared" si="138"/>
        <v>1</v>
      </c>
      <c r="L545" s="995"/>
      <c r="M545" s="197">
        <f t="shared" si="139"/>
        <v>1</v>
      </c>
      <c r="N545" s="995"/>
      <c r="O545" s="197">
        <f t="shared" si="140"/>
        <v>1</v>
      </c>
      <c r="P545" s="995"/>
      <c r="Q545" s="197">
        <f t="shared" si="141"/>
        <v>1</v>
      </c>
      <c r="R545" s="991">
        <f t="shared" ca="1" si="142"/>
        <v>16251</v>
      </c>
      <c r="S545" s="552">
        <f t="shared" ca="1" si="143"/>
        <v>1432688</v>
      </c>
      <c r="T545" s="2010">
        <f t="shared" ca="1" si="144"/>
        <v>143</v>
      </c>
      <c r="U545" s="2305">
        <f t="shared" si="145"/>
        <v>0</v>
      </c>
      <c r="V545" s="2305">
        <f t="shared" si="146"/>
        <v>0</v>
      </c>
      <c r="W545" s="2300"/>
      <c r="X545" s="2305">
        <f t="shared" si="147"/>
        <v>0</v>
      </c>
      <c r="Y545" s="2305">
        <f t="shared" si="148"/>
        <v>0</v>
      </c>
      <c r="Z545" s="2300"/>
    </row>
    <row r="546" spans="1:26">
      <c r="A546" s="292" t="str">
        <f>'7.15'!B524</f>
        <v>9幢2单元2202室</v>
      </c>
      <c r="B546" s="207">
        <f>'7.17'!G524</f>
        <v>88.16</v>
      </c>
      <c r="C546" s="197">
        <f t="shared" si="134"/>
        <v>1</v>
      </c>
      <c r="D546" s="995" t="s">
        <v>7608</v>
      </c>
      <c r="E546" s="197">
        <f t="shared" si="135"/>
        <v>1.02</v>
      </c>
      <c r="F546" s="995" t="str">
        <f>'7.15'!D524</f>
        <v>平层</v>
      </c>
      <c r="G546" s="197">
        <f t="shared" si="136"/>
        <v>1</v>
      </c>
      <c r="H546" s="995" t="str">
        <f>'7.15'!E524</f>
        <v>南北</v>
      </c>
      <c r="I546" s="197">
        <f t="shared" si="137"/>
        <v>1</v>
      </c>
      <c r="J546" s="995"/>
      <c r="K546" s="197">
        <f t="shared" si="138"/>
        <v>1</v>
      </c>
      <c r="L546" s="995"/>
      <c r="M546" s="197">
        <f t="shared" si="139"/>
        <v>1</v>
      </c>
      <c r="N546" s="995"/>
      <c r="O546" s="197">
        <f t="shared" si="140"/>
        <v>1</v>
      </c>
      <c r="P546" s="995"/>
      <c r="Q546" s="197">
        <f t="shared" si="141"/>
        <v>1</v>
      </c>
      <c r="R546" s="991">
        <f t="shared" ca="1" si="142"/>
        <v>16251</v>
      </c>
      <c r="S546" s="552">
        <f t="shared" ca="1" si="143"/>
        <v>1432688</v>
      </c>
      <c r="T546" s="2010">
        <f t="shared" ca="1" si="144"/>
        <v>143</v>
      </c>
      <c r="U546" s="2305">
        <f t="shared" si="145"/>
        <v>0</v>
      </c>
      <c r="V546" s="2305">
        <f t="shared" si="146"/>
        <v>0</v>
      </c>
      <c r="W546" s="2300"/>
      <c r="X546" s="2305">
        <f t="shared" si="147"/>
        <v>0</v>
      </c>
      <c r="Y546" s="2305">
        <f t="shared" si="148"/>
        <v>0</v>
      </c>
      <c r="Z546" s="2300"/>
    </row>
    <row r="547" spans="1:26">
      <c r="A547" s="292" t="str">
        <f>'7.15'!B525</f>
        <v>9幢2单元2302室</v>
      </c>
      <c r="B547" s="207">
        <f>'7.17'!G525</f>
        <v>88.16</v>
      </c>
      <c r="C547" s="197">
        <f t="shared" si="134"/>
        <v>1</v>
      </c>
      <c r="D547" s="995" t="s">
        <v>7608</v>
      </c>
      <c r="E547" s="197">
        <f t="shared" si="135"/>
        <v>1.02</v>
      </c>
      <c r="F547" s="995" t="str">
        <f>'7.15'!D525</f>
        <v>平层</v>
      </c>
      <c r="G547" s="197">
        <f t="shared" si="136"/>
        <v>1</v>
      </c>
      <c r="H547" s="995" t="str">
        <f>'7.15'!E525</f>
        <v>南北</v>
      </c>
      <c r="I547" s="197">
        <f t="shared" si="137"/>
        <v>1</v>
      </c>
      <c r="J547" s="995"/>
      <c r="K547" s="197">
        <f t="shared" si="138"/>
        <v>1</v>
      </c>
      <c r="L547" s="995"/>
      <c r="M547" s="197">
        <f t="shared" si="139"/>
        <v>1</v>
      </c>
      <c r="N547" s="995"/>
      <c r="O547" s="197">
        <f t="shared" si="140"/>
        <v>1</v>
      </c>
      <c r="P547" s="995"/>
      <c r="Q547" s="197">
        <f t="shared" si="141"/>
        <v>1</v>
      </c>
      <c r="R547" s="991">
        <f t="shared" ca="1" si="142"/>
        <v>16251</v>
      </c>
      <c r="S547" s="552">
        <f t="shared" ca="1" si="143"/>
        <v>1432688</v>
      </c>
      <c r="T547" s="2010">
        <f t="shared" ca="1" si="144"/>
        <v>143</v>
      </c>
      <c r="U547" s="2305">
        <f t="shared" si="145"/>
        <v>0</v>
      </c>
      <c r="V547" s="2305">
        <f t="shared" si="146"/>
        <v>0</v>
      </c>
      <c r="W547" s="2300"/>
      <c r="X547" s="2305">
        <f t="shared" si="147"/>
        <v>0</v>
      </c>
      <c r="Y547" s="2305">
        <f t="shared" si="148"/>
        <v>0</v>
      </c>
      <c r="Z547" s="2300"/>
    </row>
    <row r="548" spans="1:26">
      <c r="A548" s="292" t="str">
        <f>'7.15'!B526</f>
        <v>9幢2单元2402室</v>
      </c>
      <c r="B548" s="207">
        <f>'7.17'!G526</f>
        <v>88.16</v>
      </c>
      <c r="C548" s="197">
        <f t="shared" si="134"/>
        <v>1</v>
      </c>
      <c r="D548" s="995" t="s">
        <v>7608</v>
      </c>
      <c r="E548" s="197">
        <f t="shared" si="135"/>
        <v>1.02</v>
      </c>
      <c r="F548" s="995" t="str">
        <f>'7.15'!D526</f>
        <v>平层</v>
      </c>
      <c r="G548" s="197">
        <f t="shared" si="136"/>
        <v>1</v>
      </c>
      <c r="H548" s="995" t="str">
        <f>'7.15'!E526</f>
        <v>南北</v>
      </c>
      <c r="I548" s="197">
        <f t="shared" si="137"/>
        <v>1</v>
      </c>
      <c r="J548" s="995"/>
      <c r="K548" s="197">
        <f t="shared" si="138"/>
        <v>1</v>
      </c>
      <c r="L548" s="995"/>
      <c r="M548" s="197">
        <f t="shared" si="139"/>
        <v>1</v>
      </c>
      <c r="N548" s="995"/>
      <c r="O548" s="197">
        <f t="shared" si="140"/>
        <v>1</v>
      </c>
      <c r="P548" s="995"/>
      <c r="Q548" s="197">
        <f t="shared" si="141"/>
        <v>1</v>
      </c>
      <c r="R548" s="991">
        <f t="shared" ca="1" si="142"/>
        <v>16251</v>
      </c>
      <c r="S548" s="552">
        <f t="shared" ca="1" si="143"/>
        <v>1432688</v>
      </c>
      <c r="T548" s="2010">
        <f t="shared" ca="1" si="144"/>
        <v>143</v>
      </c>
      <c r="U548" s="2305">
        <f t="shared" si="145"/>
        <v>0</v>
      </c>
      <c r="V548" s="2305">
        <f t="shared" si="146"/>
        <v>0</v>
      </c>
      <c r="W548" s="2300"/>
      <c r="X548" s="2305">
        <f t="shared" si="147"/>
        <v>0</v>
      </c>
      <c r="Y548" s="2305">
        <f t="shared" si="148"/>
        <v>0</v>
      </c>
      <c r="Z548" s="2300"/>
    </row>
    <row r="549" spans="1:26">
      <c r="A549" s="292" t="str">
        <f>'7.15'!B527</f>
        <v>9幢2单元2502室</v>
      </c>
      <c r="B549" s="207">
        <f>'7.17'!G527</f>
        <v>88.16</v>
      </c>
      <c r="C549" s="197">
        <f t="shared" si="134"/>
        <v>1</v>
      </c>
      <c r="D549" s="995" t="s">
        <v>7608</v>
      </c>
      <c r="E549" s="197">
        <f t="shared" si="135"/>
        <v>1.02</v>
      </c>
      <c r="F549" s="995" t="str">
        <f>'7.15'!D527</f>
        <v>平层</v>
      </c>
      <c r="G549" s="197">
        <f t="shared" si="136"/>
        <v>1</v>
      </c>
      <c r="H549" s="995" t="str">
        <f>'7.15'!E527</f>
        <v>南北</v>
      </c>
      <c r="I549" s="197">
        <f t="shared" si="137"/>
        <v>1</v>
      </c>
      <c r="J549" s="995"/>
      <c r="K549" s="197">
        <f t="shared" si="138"/>
        <v>1</v>
      </c>
      <c r="L549" s="995"/>
      <c r="M549" s="197">
        <f t="shared" si="139"/>
        <v>1</v>
      </c>
      <c r="N549" s="995"/>
      <c r="O549" s="197">
        <f t="shared" si="140"/>
        <v>1</v>
      </c>
      <c r="P549" s="995"/>
      <c r="Q549" s="197">
        <f t="shared" si="141"/>
        <v>1</v>
      </c>
      <c r="R549" s="991">
        <f t="shared" ca="1" si="142"/>
        <v>16251</v>
      </c>
      <c r="S549" s="552">
        <f t="shared" ca="1" si="143"/>
        <v>1432688</v>
      </c>
      <c r="T549" s="2010">
        <f t="shared" ca="1" si="144"/>
        <v>143</v>
      </c>
      <c r="U549" s="2305">
        <f t="shared" si="145"/>
        <v>0</v>
      </c>
      <c r="V549" s="2305">
        <f t="shared" si="146"/>
        <v>0</v>
      </c>
      <c r="W549" s="2300"/>
      <c r="X549" s="2305">
        <f t="shared" si="147"/>
        <v>0</v>
      </c>
      <c r="Y549" s="2305">
        <f t="shared" si="148"/>
        <v>0</v>
      </c>
      <c r="Z549" s="2300"/>
    </row>
    <row r="550" spans="1:26">
      <c r="A550" s="292" t="str">
        <f>'7.15'!B528</f>
        <v>9幢2单元2602室</v>
      </c>
      <c r="B550" s="207">
        <f>'7.17'!G528</f>
        <v>88.16</v>
      </c>
      <c r="C550" s="197">
        <f t="shared" si="134"/>
        <v>1</v>
      </c>
      <c r="D550" s="995" t="s">
        <v>7608</v>
      </c>
      <c r="E550" s="197">
        <f t="shared" si="135"/>
        <v>1.02</v>
      </c>
      <c r="F550" s="995" t="str">
        <f>'7.15'!D528</f>
        <v>平层</v>
      </c>
      <c r="G550" s="197">
        <f t="shared" si="136"/>
        <v>1</v>
      </c>
      <c r="H550" s="995" t="str">
        <f>'7.15'!E528</f>
        <v>南北</v>
      </c>
      <c r="I550" s="197">
        <f t="shared" si="137"/>
        <v>1</v>
      </c>
      <c r="J550" s="995"/>
      <c r="K550" s="197">
        <f t="shared" si="138"/>
        <v>1</v>
      </c>
      <c r="L550" s="995"/>
      <c r="M550" s="197">
        <f t="shared" si="139"/>
        <v>1</v>
      </c>
      <c r="N550" s="995"/>
      <c r="O550" s="197">
        <f t="shared" si="140"/>
        <v>1</v>
      </c>
      <c r="P550" s="995"/>
      <c r="Q550" s="197">
        <f t="shared" si="141"/>
        <v>1</v>
      </c>
      <c r="R550" s="991">
        <f t="shared" ca="1" si="142"/>
        <v>16251</v>
      </c>
      <c r="S550" s="552">
        <f t="shared" ca="1" si="143"/>
        <v>1432688</v>
      </c>
      <c r="T550" s="2010">
        <f t="shared" ca="1" si="144"/>
        <v>143</v>
      </c>
      <c r="U550" s="2305">
        <f t="shared" si="145"/>
        <v>0</v>
      </c>
      <c r="V550" s="2305">
        <f t="shared" si="146"/>
        <v>0</v>
      </c>
      <c r="W550" s="2300"/>
      <c r="X550" s="2305">
        <f t="shared" si="147"/>
        <v>0</v>
      </c>
      <c r="Y550" s="2305">
        <f t="shared" si="148"/>
        <v>0</v>
      </c>
      <c r="Z550" s="2300"/>
    </row>
    <row r="551" spans="1:26">
      <c r="A551" s="292" t="str">
        <f>'7.15'!B529</f>
        <v>9幢2单元2702室</v>
      </c>
      <c r="B551" s="207">
        <f>'7.17'!G529</f>
        <v>88.16</v>
      </c>
      <c r="C551" s="197">
        <f t="shared" si="134"/>
        <v>1</v>
      </c>
      <c r="D551" s="995" t="s">
        <v>7608</v>
      </c>
      <c r="E551" s="197">
        <f t="shared" si="135"/>
        <v>1.02</v>
      </c>
      <c r="F551" s="995" t="str">
        <f>'7.15'!D529</f>
        <v>平层</v>
      </c>
      <c r="G551" s="197">
        <f t="shared" si="136"/>
        <v>1</v>
      </c>
      <c r="H551" s="995" t="str">
        <f>'7.15'!E529</f>
        <v>南北</v>
      </c>
      <c r="I551" s="197">
        <f t="shared" si="137"/>
        <v>1</v>
      </c>
      <c r="J551" s="995"/>
      <c r="K551" s="197">
        <f t="shared" si="138"/>
        <v>1</v>
      </c>
      <c r="L551" s="995"/>
      <c r="M551" s="197">
        <f t="shared" si="139"/>
        <v>1</v>
      </c>
      <c r="N551" s="995"/>
      <c r="O551" s="197">
        <f t="shared" si="140"/>
        <v>1</v>
      </c>
      <c r="P551" s="995"/>
      <c r="Q551" s="197">
        <f t="shared" si="141"/>
        <v>1</v>
      </c>
      <c r="R551" s="991">
        <f t="shared" ca="1" si="142"/>
        <v>16251</v>
      </c>
      <c r="S551" s="552">
        <f t="shared" ca="1" si="143"/>
        <v>1432688</v>
      </c>
      <c r="T551" s="2010">
        <f t="shared" ca="1" si="144"/>
        <v>143</v>
      </c>
      <c r="U551" s="2305">
        <f t="shared" si="145"/>
        <v>0</v>
      </c>
      <c r="V551" s="2305">
        <f t="shared" si="146"/>
        <v>0</v>
      </c>
      <c r="W551" s="2300"/>
      <c r="X551" s="2305">
        <f t="shared" si="147"/>
        <v>0</v>
      </c>
      <c r="Y551" s="2305">
        <f t="shared" si="148"/>
        <v>0</v>
      </c>
      <c r="Z551" s="2300"/>
    </row>
    <row r="552" spans="1:26">
      <c r="A552" s="292" t="str">
        <f>'7.15'!B530</f>
        <v>9幢2单元2802室</v>
      </c>
      <c r="B552" s="207">
        <f>'7.17'!G530</f>
        <v>88.16</v>
      </c>
      <c r="C552" s="197">
        <f t="shared" si="134"/>
        <v>1</v>
      </c>
      <c r="D552" s="995" t="s">
        <v>7608</v>
      </c>
      <c r="E552" s="197">
        <f t="shared" si="135"/>
        <v>1.02</v>
      </c>
      <c r="F552" s="995" t="str">
        <f>'7.15'!D530</f>
        <v>平层</v>
      </c>
      <c r="G552" s="197">
        <f t="shared" si="136"/>
        <v>1</v>
      </c>
      <c r="H552" s="995" t="str">
        <f>'7.15'!E530</f>
        <v>南北</v>
      </c>
      <c r="I552" s="197">
        <f t="shared" si="137"/>
        <v>1</v>
      </c>
      <c r="J552" s="995"/>
      <c r="K552" s="197">
        <f t="shared" si="138"/>
        <v>1</v>
      </c>
      <c r="L552" s="995"/>
      <c r="M552" s="197">
        <f t="shared" si="139"/>
        <v>1</v>
      </c>
      <c r="N552" s="995"/>
      <c r="O552" s="197">
        <f t="shared" si="140"/>
        <v>1</v>
      </c>
      <c r="P552" s="995"/>
      <c r="Q552" s="197">
        <f t="shared" si="141"/>
        <v>1</v>
      </c>
      <c r="R552" s="991">
        <f t="shared" ca="1" si="142"/>
        <v>16251</v>
      </c>
      <c r="S552" s="552">
        <f t="shared" ca="1" si="143"/>
        <v>1432688</v>
      </c>
      <c r="T552" s="2010">
        <f t="shared" ca="1" si="144"/>
        <v>143</v>
      </c>
      <c r="U552" s="2305">
        <f t="shared" si="145"/>
        <v>0</v>
      </c>
      <c r="V552" s="2305">
        <f t="shared" si="146"/>
        <v>0</v>
      </c>
      <c r="W552" s="2300"/>
      <c r="X552" s="2305">
        <f t="shared" si="147"/>
        <v>0</v>
      </c>
      <c r="Y552" s="2305">
        <f t="shared" si="148"/>
        <v>0</v>
      </c>
      <c r="Z552" s="2300"/>
    </row>
    <row r="553" spans="1:26">
      <c r="A553" s="292" t="str">
        <f>'7.15'!B531</f>
        <v>9幢2单元2902室</v>
      </c>
      <c r="B553" s="207">
        <f>'7.17'!G531</f>
        <v>88.16</v>
      </c>
      <c r="C553" s="197">
        <f t="shared" si="134"/>
        <v>1</v>
      </c>
      <c r="D553" s="995" t="s">
        <v>7608</v>
      </c>
      <c r="E553" s="197">
        <f t="shared" si="135"/>
        <v>1.02</v>
      </c>
      <c r="F553" s="995" t="str">
        <f>'7.15'!D531</f>
        <v>平层</v>
      </c>
      <c r="G553" s="197">
        <f t="shared" si="136"/>
        <v>1</v>
      </c>
      <c r="H553" s="995" t="str">
        <f>'7.15'!E531</f>
        <v>南北</v>
      </c>
      <c r="I553" s="197">
        <f t="shared" si="137"/>
        <v>1</v>
      </c>
      <c r="J553" s="995"/>
      <c r="K553" s="197">
        <f t="shared" si="138"/>
        <v>1</v>
      </c>
      <c r="L553" s="995"/>
      <c r="M553" s="197">
        <f t="shared" si="139"/>
        <v>1</v>
      </c>
      <c r="N553" s="995"/>
      <c r="O553" s="197">
        <f t="shared" si="140"/>
        <v>1</v>
      </c>
      <c r="P553" s="995"/>
      <c r="Q553" s="197">
        <f t="shared" si="141"/>
        <v>1</v>
      </c>
      <c r="R553" s="991">
        <f t="shared" ca="1" si="142"/>
        <v>16251</v>
      </c>
      <c r="S553" s="552">
        <f t="shared" ca="1" si="143"/>
        <v>1432688</v>
      </c>
      <c r="T553" s="2010">
        <f t="shared" ca="1" si="144"/>
        <v>143</v>
      </c>
      <c r="U553" s="2305">
        <f t="shared" si="145"/>
        <v>0</v>
      </c>
      <c r="V553" s="2305">
        <f t="shared" si="146"/>
        <v>0</v>
      </c>
      <c r="W553" s="2300"/>
      <c r="X553" s="2305">
        <f t="shared" si="147"/>
        <v>0</v>
      </c>
      <c r="Y553" s="2305">
        <f t="shared" si="148"/>
        <v>0</v>
      </c>
      <c r="Z553" s="2300"/>
    </row>
    <row r="554" spans="1:26">
      <c r="A554" s="292" t="str">
        <f>'7.15'!B532</f>
        <v>9幢2单元3002室</v>
      </c>
      <c r="B554" s="207">
        <f>'7.17'!G532</f>
        <v>88.16</v>
      </c>
      <c r="C554" s="197">
        <f t="shared" si="134"/>
        <v>1</v>
      </c>
      <c r="D554" s="995" t="s">
        <v>7608</v>
      </c>
      <c r="E554" s="197">
        <f t="shared" si="135"/>
        <v>1.02</v>
      </c>
      <c r="F554" s="995" t="str">
        <f>'7.15'!D532</f>
        <v>平层</v>
      </c>
      <c r="G554" s="197">
        <f t="shared" si="136"/>
        <v>1</v>
      </c>
      <c r="H554" s="995" t="str">
        <f>'7.15'!E532</f>
        <v>南北</v>
      </c>
      <c r="I554" s="197">
        <f t="shared" si="137"/>
        <v>1</v>
      </c>
      <c r="J554" s="995"/>
      <c r="K554" s="197">
        <f t="shared" si="138"/>
        <v>1</v>
      </c>
      <c r="L554" s="995"/>
      <c r="M554" s="197">
        <f t="shared" si="139"/>
        <v>1</v>
      </c>
      <c r="N554" s="995"/>
      <c r="O554" s="197">
        <f t="shared" si="140"/>
        <v>1</v>
      </c>
      <c r="P554" s="995"/>
      <c r="Q554" s="197">
        <f t="shared" si="141"/>
        <v>1</v>
      </c>
      <c r="R554" s="991">
        <f t="shared" ca="1" si="142"/>
        <v>16251</v>
      </c>
      <c r="S554" s="552">
        <f t="shared" ca="1" si="143"/>
        <v>1432688</v>
      </c>
      <c r="T554" s="2010">
        <f t="shared" ca="1" si="144"/>
        <v>143</v>
      </c>
      <c r="U554" s="2305">
        <f t="shared" si="145"/>
        <v>0</v>
      </c>
      <c r="V554" s="2305">
        <f t="shared" si="146"/>
        <v>0</v>
      </c>
      <c r="W554" s="2300"/>
      <c r="X554" s="2305">
        <f t="shared" si="147"/>
        <v>0</v>
      </c>
      <c r="Y554" s="2305">
        <f t="shared" si="148"/>
        <v>0</v>
      </c>
      <c r="Z554" s="2300"/>
    </row>
    <row r="555" spans="1:26">
      <c r="A555" s="292" t="str">
        <f>'7.15'!B533</f>
        <v>9幢2单元203室</v>
      </c>
      <c r="B555" s="207">
        <f>'7.17'!G533</f>
        <v>160.75</v>
      </c>
      <c r="C555" s="197">
        <f t="shared" si="134"/>
        <v>0.97</v>
      </c>
      <c r="D555" s="995" t="s">
        <v>7606</v>
      </c>
      <c r="E555" s="197">
        <f t="shared" si="135"/>
        <v>1</v>
      </c>
      <c r="F555" s="995" t="str">
        <f>'7.15'!D533</f>
        <v>平层</v>
      </c>
      <c r="G555" s="197">
        <f t="shared" si="136"/>
        <v>1</v>
      </c>
      <c r="H555" s="995" t="str">
        <f>'7.15'!E533</f>
        <v>南北西</v>
      </c>
      <c r="I555" s="197">
        <f t="shared" si="137"/>
        <v>1.01</v>
      </c>
      <c r="J555" s="995"/>
      <c r="K555" s="197">
        <f t="shared" si="138"/>
        <v>1</v>
      </c>
      <c r="L555" s="995"/>
      <c r="M555" s="197">
        <f t="shared" si="139"/>
        <v>1</v>
      </c>
      <c r="N555" s="995"/>
      <c r="O555" s="197">
        <f t="shared" si="140"/>
        <v>1</v>
      </c>
      <c r="P555" s="995"/>
      <c r="Q555" s="197">
        <f t="shared" si="141"/>
        <v>1</v>
      </c>
      <c r="R555" s="991">
        <f t="shared" ca="1" si="142"/>
        <v>15609</v>
      </c>
      <c r="S555" s="552">
        <f t="shared" ca="1" si="143"/>
        <v>2509147</v>
      </c>
      <c r="T555" s="2010">
        <f t="shared" ca="1" si="144"/>
        <v>251</v>
      </c>
      <c r="U555" s="2305">
        <f t="shared" si="145"/>
        <v>0</v>
      </c>
      <c r="V555" s="2305">
        <f t="shared" si="146"/>
        <v>0</v>
      </c>
      <c r="W555" s="2300"/>
      <c r="X555" s="2305">
        <f t="shared" si="147"/>
        <v>0</v>
      </c>
      <c r="Y555" s="2305">
        <f t="shared" si="148"/>
        <v>0</v>
      </c>
      <c r="Z555" s="2300"/>
    </row>
    <row r="556" spans="1:26">
      <c r="A556" s="292" t="str">
        <f>'7.15'!B534</f>
        <v>9幢2单元303室</v>
      </c>
      <c r="B556" s="207">
        <f>'7.17'!G534</f>
        <v>160.75</v>
      </c>
      <c r="C556" s="197">
        <f t="shared" si="134"/>
        <v>0.97</v>
      </c>
      <c r="D556" s="995" t="s">
        <v>7606</v>
      </c>
      <c r="E556" s="197">
        <f t="shared" si="135"/>
        <v>1</v>
      </c>
      <c r="F556" s="995" t="str">
        <f>'7.15'!D534</f>
        <v>平层</v>
      </c>
      <c r="G556" s="197">
        <f t="shared" si="136"/>
        <v>1</v>
      </c>
      <c r="H556" s="995" t="str">
        <f>'7.15'!E534</f>
        <v>南北西</v>
      </c>
      <c r="I556" s="197">
        <f t="shared" si="137"/>
        <v>1.01</v>
      </c>
      <c r="J556" s="995"/>
      <c r="K556" s="197">
        <f t="shared" si="138"/>
        <v>1</v>
      </c>
      <c r="L556" s="995"/>
      <c r="M556" s="197">
        <f t="shared" si="139"/>
        <v>1</v>
      </c>
      <c r="N556" s="995"/>
      <c r="O556" s="197">
        <f t="shared" si="140"/>
        <v>1</v>
      </c>
      <c r="P556" s="995"/>
      <c r="Q556" s="197">
        <f t="shared" si="141"/>
        <v>1</v>
      </c>
      <c r="R556" s="991">
        <f t="shared" ca="1" si="142"/>
        <v>15609</v>
      </c>
      <c r="S556" s="552">
        <f t="shared" ca="1" si="143"/>
        <v>2509147</v>
      </c>
      <c r="T556" s="2010">
        <f t="shared" ca="1" si="144"/>
        <v>251</v>
      </c>
      <c r="U556" s="2305">
        <f t="shared" si="145"/>
        <v>0</v>
      </c>
      <c r="V556" s="2305">
        <f t="shared" si="146"/>
        <v>0</v>
      </c>
      <c r="W556" s="2300"/>
      <c r="X556" s="2305">
        <f t="shared" si="147"/>
        <v>0</v>
      </c>
      <c r="Y556" s="2305">
        <f t="shared" si="148"/>
        <v>0</v>
      </c>
      <c r="Z556" s="2300"/>
    </row>
    <row r="557" spans="1:26">
      <c r="A557" s="292" t="str">
        <f>'7.15'!B535</f>
        <v>9幢2单元403室</v>
      </c>
      <c r="B557" s="207">
        <f>'7.17'!G535</f>
        <v>160.75</v>
      </c>
      <c r="C557" s="197">
        <f t="shared" si="134"/>
        <v>0.97</v>
      </c>
      <c r="D557" s="995" t="s">
        <v>7606</v>
      </c>
      <c r="E557" s="197">
        <f t="shared" si="135"/>
        <v>1</v>
      </c>
      <c r="F557" s="995" t="str">
        <f>'7.15'!D535</f>
        <v>平层</v>
      </c>
      <c r="G557" s="197">
        <f t="shared" si="136"/>
        <v>1</v>
      </c>
      <c r="H557" s="995" t="str">
        <f>'7.15'!E535</f>
        <v>南北西</v>
      </c>
      <c r="I557" s="197">
        <f t="shared" si="137"/>
        <v>1.01</v>
      </c>
      <c r="J557" s="995"/>
      <c r="K557" s="197">
        <f t="shared" si="138"/>
        <v>1</v>
      </c>
      <c r="L557" s="995"/>
      <c r="M557" s="197">
        <f t="shared" si="139"/>
        <v>1</v>
      </c>
      <c r="N557" s="995"/>
      <c r="O557" s="197">
        <f t="shared" si="140"/>
        <v>1</v>
      </c>
      <c r="P557" s="995"/>
      <c r="Q557" s="197">
        <f t="shared" si="141"/>
        <v>1</v>
      </c>
      <c r="R557" s="991">
        <f t="shared" ca="1" si="142"/>
        <v>15609</v>
      </c>
      <c r="S557" s="552">
        <f t="shared" ca="1" si="143"/>
        <v>2509147</v>
      </c>
      <c r="T557" s="2010">
        <f t="shared" ca="1" si="144"/>
        <v>251</v>
      </c>
      <c r="U557" s="2305">
        <f t="shared" si="145"/>
        <v>0</v>
      </c>
      <c r="V557" s="2305">
        <f t="shared" si="146"/>
        <v>0</v>
      </c>
      <c r="W557" s="2300"/>
      <c r="X557" s="2305">
        <f t="shared" si="147"/>
        <v>0</v>
      </c>
      <c r="Y557" s="2305">
        <f t="shared" si="148"/>
        <v>0</v>
      </c>
      <c r="Z557" s="2300"/>
    </row>
    <row r="558" spans="1:26">
      <c r="A558" s="292" t="str">
        <f>'7.15'!B536</f>
        <v>9幢2单元503室</v>
      </c>
      <c r="B558" s="207">
        <f>'7.17'!G536</f>
        <v>160.75</v>
      </c>
      <c r="C558" s="197">
        <f t="shared" si="134"/>
        <v>0.97</v>
      </c>
      <c r="D558" s="995" t="s">
        <v>7606</v>
      </c>
      <c r="E558" s="197">
        <f t="shared" si="135"/>
        <v>1</v>
      </c>
      <c r="F558" s="995" t="str">
        <f>'7.15'!D536</f>
        <v>平层</v>
      </c>
      <c r="G558" s="197">
        <f t="shared" si="136"/>
        <v>1</v>
      </c>
      <c r="H558" s="995" t="str">
        <f>'7.15'!E536</f>
        <v>南北西</v>
      </c>
      <c r="I558" s="197">
        <f t="shared" si="137"/>
        <v>1.01</v>
      </c>
      <c r="J558" s="995"/>
      <c r="K558" s="197">
        <f t="shared" si="138"/>
        <v>1</v>
      </c>
      <c r="L558" s="995"/>
      <c r="M558" s="197">
        <f t="shared" si="139"/>
        <v>1</v>
      </c>
      <c r="N558" s="995"/>
      <c r="O558" s="197">
        <f t="shared" si="140"/>
        <v>1</v>
      </c>
      <c r="P558" s="995"/>
      <c r="Q558" s="197">
        <f t="shared" si="141"/>
        <v>1</v>
      </c>
      <c r="R558" s="991">
        <f t="shared" ca="1" si="142"/>
        <v>15609</v>
      </c>
      <c r="S558" s="552">
        <f t="shared" ca="1" si="143"/>
        <v>2509147</v>
      </c>
      <c r="T558" s="2010">
        <f t="shared" ca="1" si="144"/>
        <v>251</v>
      </c>
      <c r="U558" s="2305">
        <f t="shared" si="145"/>
        <v>0</v>
      </c>
      <c r="V558" s="2305">
        <f t="shared" si="146"/>
        <v>0</v>
      </c>
      <c r="W558" s="2300"/>
      <c r="X558" s="2305">
        <f t="shared" si="147"/>
        <v>0</v>
      </c>
      <c r="Y558" s="2305">
        <f t="shared" si="148"/>
        <v>0</v>
      </c>
      <c r="Z558" s="2300"/>
    </row>
    <row r="559" spans="1:26">
      <c r="A559" s="292" t="str">
        <f>'7.15'!B537</f>
        <v>9幢2单元603室</v>
      </c>
      <c r="B559" s="207">
        <f>'7.17'!G537</f>
        <v>160.75</v>
      </c>
      <c r="C559" s="197">
        <f t="shared" si="134"/>
        <v>0.97</v>
      </c>
      <c r="D559" s="995" t="s">
        <v>7606</v>
      </c>
      <c r="E559" s="197">
        <f t="shared" si="135"/>
        <v>1</v>
      </c>
      <c r="F559" s="995" t="str">
        <f>'7.15'!D537</f>
        <v>平层</v>
      </c>
      <c r="G559" s="197">
        <f t="shared" si="136"/>
        <v>1</v>
      </c>
      <c r="H559" s="995" t="str">
        <f>'7.15'!E537</f>
        <v>南北西</v>
      </c>
      <c r="I559" s="197">
        <f t="shared" si="137"/>
        <v>1.01</v>
      </c>
      <c r="J559" s="995"/>
      <c r="K559" s="197">
        <f t="shared" si="138"/>
        <v>1</v>
      </c>
      <c r="L559" s="995"/>
      <c r="M559" s="197">
        <f t="shared" si="139"/>
        <v>1</v>
      </c>
      <c r="N559" s="995"/>
      <c r="O559" s="197">
        <f t="shared" si="140"/>
        <v>1</v>
      </c>
      <c r="P559" s="995"/>
      <c r="Q559" s="197">
        <f t="shared" si="141"/>
        <v>1</v>
      </c>
      <c r="R559" s="991">
        <f t="shared" ca="1" si="142"/>
        <v>15609</v>
      </c>
      <c r="S559" s="552">
        <f t="shared" ca="1" si="143"/>
        <v>2509147</v>
      </c>
      <c r="T559" s="2010">
        <f t="shared" ca="1" si="144"/>
        <v>251</v>
      </c>
      <c r="U559" s="2305">
        <f t="shared" si="145"/>
        <v>0</v>
      </c>
      <c r="V559" s="2305">
        <f t="shared" si="146"/>
        <v>0</v>
      </c>
      <c r="W559" s="2300"/>
      <c r="X559" s="2305">
        <f t="shared" si="147"/>
        <v>0</v>
      </c>
      <c r="Y559" s="2305">
        <f t="shared" si="148"/>
        <v>0</v>
      </c>
      <c r="Z559" s="2300"/>
    </row>
    <row r="560" spans="1:26">
      <c r="A560" s="292" t="str">
        <f>'7.15'!B538</f>
        <v>9幢2单元703室</v>
      </c>
      <c r="B560" s="207">
        <f>'7.17'!G538</f>
        <v>160.75</v>
      </c>
      <c r="C560" s="197">
        <f t="shared" si="134"/>
        <v>0.97</v>
      </c>
      <c r="D560" s="995" t="s">
        <v>7606</v>
      </c>
      <c r="E560" s="197">
        <f t="shared" si="135"/>
        <v>1</v>
      </c>
      <c r="F560" s="995" t="str">
        <f>'7.15'!D538</f>
        <v>平层</v>
      </c>
      <c r="G560" s="197">
        <f t="shared" si="136"/>
        <v>1</v>
      </c>
      <c r="H560" s="995" t="str">
        <f>'7.15'!E538</f>
        <v>南北西</v>
      </c>
      <c r="I560" s="197">
        <f t="shared" si="137"/>
        <v>1.01</v>
      </c>
      <c r="J560" s="995"/>
      <c r="K560" s="197">
        <f t="shared" si="138"/>
        <v>1</v>
      </c>
      <c r="L560" s="995"/>
      <c r="M560" s="197">
        <f t="shared" si="139"/>
        <v>1</v>
      </c>
      <c r="N560" s="995"/>
      <c r="O560" s="197">
        <f t="shared" si="140"/>
        <v>1</v>
      </c>
      <c r="P560" s="995"/>
      <c r="Q560" s="197">
        <f t="shared" si="141"/>
        <v>1</v>
      </c>
      <c r="R560" s="991">
        <f t="shared" ca="1" si="142"/>
        <v>15609</v>
      </c>
      <c r="S560" s="552">
        <f t="shared" ca="1" si="143"/>
        <v>2509147</v>
      </c>
      <c r="T560" s="2010">
        <f t="shared" ca="1" si="144"/>
        <v>251</v>
      </c>
      <c r="U560" s="2305">
        <f t="shared" si="145"/>
        <v>0</v>
      </c>
      <c r="V560" s="2305">
        <f t="shared" si="146"/>
        <v>0</v>
      </c>
      <c r="W560" s="2300"/>
      <c r="X560" s="2305">
        <f t="shared" si="147"/>
        <v>0</v>
      </c>
      <c r="Y560" s="2305">
        <f t="shared" si="148"/>
        <v>0</v>
      </c>
      <c r="Z560" s="2300"/>
    </row>
    <row r="561" spans="1:26">
      <c r="A561" s="292" t="str">
        <f>'7.15'!B539</f>
        <v>9幢2单元803室</v>
      </c>
      <c r="B561" s="207">
        <f>'7.17'!G539</f>
        <v>160.75</v>
      </c>
      <c r="C561" s="197">
        <f t="shared" si="134"/>
        <v>0.97</v>
      </c>
      <c r="D561" s="995" t="s">
        <v>7606</v>
      </c>
      <c r="E561" s="197">
        <f t="shared" si="135"/>
        <v>1</v>
      </c>
      <c r="F561" s="995" t="str">
        <f>'7.15'!D539</f>
        <v>平层</v>
      </c>
      <c r="G561" s="197">
        <f t="shared" si="136"/>
        <v>1</v>
      </c>
      <c r="H561" s="995" t="str">
        <f>'7.15'!E539</f>
        <v>南北西</v>
      </c>
      <c r="I561" s="197">
        <f t="shared" si="137"/>
        <v>1.01</v>
      </c>
      <c r="J561" s="995"/>
      <c r="K561" s="197">
        <f t="shared" si="138"/>
        <v>1</v>
      </c>
      <c r="L561" s="995"/>
      <c r="M561" s="197">
        <f t="shared" si="139"/>
        <v>1</v>
      </c>
      <c r="N561" s="995"/>
      <c r="O561" s="197">
        <f t="shared" si="140"/>
        <v>1</v>
      </c>
      <c r="P561" s="995"/>
      <c r="Q561" s="197">
        <f t="shared" si="141"/>
        <v>1</v>
      </c>
      <c r="R561" s="991">
        <f t="shared" ca="1" si="142"/>
        <v>15609</v>
      </c>
      <c r="S561" s="552">
        <f t="shared" ca="1" si="143"/>
        <v>2509147</v>
      </c>
      <c r="T561" s="2010">
        <f t="shared" ca="1" si="144"/>
        <v>251</v>
      </c>
      <c r="U561" s="2305">
        <f t="shared" si="145"/>
        <v>0</v>
      </c>
      <c r="V561" s="2305">
        <f t="shared" si="146"/>
        <v>0</v>
      </c>
      <c r="W561" s="2300"/>
      <c r="X561" s="2305">
        <f t="shared" si="147"/>
        <v>0</v>
      </c>
      <c r="Y561" s="2305">
        <f t="shared" si="148"/>
        <v>0</v>
      </c>
      <c r="Z561" s="2300"/>
    </row>
    <row r="562" spans="1:26">
      <c r="A562" s="292" t="str">
        <f>'7.15'!B540</f>
        <v>9幢2单元903室</v>
      </c>
      <c r="B562" s="207">
        <f>'7.17'!G540</f>
        <v>160.75</v>
      </c>
      <c r="C562" s="197">
        <f t="shared" si="134"/>
        <v>0.97</v>
      </c>
      <c r="D562" s="995" t="s">
        <v>7606</v>
      </c>
      <c r="E562" s="197">
        <f t="shared" si="135"/>
        <v>1</v>
      </c>
      <c r="F562" s="995" t="str">
        <f>'7.15'!D540</f>
        <v>平层</v>
      </c>
      <c r="G562" s="197">
        <f t="shared" si="136"/>
        <v>1</v>
      </c>
      <c r="H562" s="995" t="str">
        <f>'7.15'!E540</f>
        <v>南北西</v>
      </c>
      <c r="I562" s="197">
        <f t="shared" si="137"/>
        <v>1.01</v>
      </c>
      <c r="J562" s="995"/>
      <c r="K562" s="197">
        <f t="shared" si="138"/>
        <v>1</v>
      </c>
      <c r="L562" s="995"/>
      <c r="M562" s="197">
        <f t="shared" si="139"/>
        <v>1</v>
      </c>
      <c r="N562" s="995"/>
      <c r="O562" s="197">
        <f t="shared" si="140"/>
        <v>1</v>
      </c>
      <c r="P562" s="995"/>
      <c r="Q562" s="197">
        <f t="shared" si="141"/>
        <v>1</v>
      </c>
      <c r="R562" s="991">
        <f t="shared" ca="1" si="142"/>
        <v>15609</v>
      </c>
      <c r="S562" s="552">
        <f t="shared" ca="1" si="143"/>
        <v>2509147</v>
      </c>
      <c r="T562" s="2010">
        <f t="shared" ca="1" si="144"/>
        <v>251</v>
      </c>
      <c r="U562" s="2305">
        <f t="shared" si="145"/>
        <v>0</v>
      </c>
      <c r="V562" s="2305">
        <f t="shared" si="146"/>
        <v>0</v>
      </c>
      <c r="W562" s="2300"/>
      <c r="X562" s="2305">
        <f t="shared" si="147"/>
        <v>0</v>
      </c>
      <c r="Y562" s="2305">
        <f t="shared" si="148"/>
        <v>0</v>
      </c>
      <c r="Z562" s="2300"/>
    </row>
    <row r="563" spans="1:26">
      <c r="A563" s="292" t="str">
        <f>'7.15'!B541</f>
        <v>9幢2单元1003室</v>
      </c>
      <c r="B563" s="207">
        <f>'7.17'!G541</f>
        <v>160.75</v>
      </c>
      <c r="C563" s="197">
        <f t="shared" si="134"/>
        <v>0.97</v>
      </c>
      <c r="D563" s="995" t="s">
        <v>7606</v>
      </c>
      <c r="E563" s="197">
        <f t="shared" si="135"/>
        <v>1</v>
      </c>
      <c r="F563" s="995" t="str">
        <f>'7.15'!D541</f>
        <v>平层</v>
      </c>
      <c r="G563" s="197">
        <f t="shared" si="136"/>
        <v>1</v>
      </c>
      <c r="H563" s="995" t="str">
        <f>'7.15'!E541</f>
        <v>南北西</v>
      </c>
      <c r="I563" s="197">
        <f t="shared" si="137"/>
        <v>1.01</v>
      </c>
      <c r="J563" s="995"/>
      <c r="K563" s="197">
        <f t="shared" si="138"/>
        <v>1</v>
      </c>
      <c r="L563" s="995"/>
      <c r="M563" s="197">
        <f t="shared" si="139"/>
        <v>1</v>
      </c>
      <c r="N563" s="995"/>
      <c r="O563" s="197">
        <f t="shared" si="140"/>
        <v>1</v>
      </c>
      <c r="P563" s="995"/>
      <c r="Q563" s="197">
        <f t="shared" si="141"/>
        <v>1</v>
      </c>
      <c r="R563" s="991">
        <f t="shared" ca="1" si="142"/>
        <v>15609</v>
      </c>
      <c r="S563" s="552">
        <f t="shared" ca="1" si="143"/>
        <v>2509147</v>
      </c>
      <c r="T563" s="2010">
        <f t="shared" ca="1" si="144"/>
        <v>251</v>
      </c>
      <c r="U563" s="2305">
        <f t="shared" si="145"/>
        <v>0</v>
      </c>
      <c r="V563" s="2305">
        <f t="shared" si="146"/>
        <v>0</v>
      </c>
      <c r="W563" s="2300"/>
      <c r="X563" s="2305">
        <f t="shared" si="147"/>
        <v>0</v>
      </c>
      <c r="Y563" s="2305">
        <f t="shared" si="148"/>
        <v>0</v>
      </c>
      <c r="Z563" s="2300"/>
    </row>
    <row r="564" spans="1:26">
      <c r="A564" s="292" t="str">
        <f>'7.15'!B542</f>
        <v>9幢2单元1103室</v>
      </c>
      <c r="B564" s="207">
        <f>'7.17'!G542</f>
        <v>160.75</v>
      </c>
      <c r="C564" s="197">
        <f t="shared" si="134"/>
        <v>0.97</v>
      </c>
      <c r="D564" s="995" t="s">
        <v>7609</v>
      </c>
      <c r="E564" s="197">
        <f t="shared" si="135"/>
        <v>1.04</v>
      </c>
      <c r="F564" s="995" t="str">
        <f>'7.15'!D542</f>
        <v>平层</v>
      </c>
      <c r="G564" s="197">
        <f t="shared" si="136"/>
        <v>1</v>
      </c>
      <c r="H564" s="995" t="str">
        <f>'7.15'!E542</f>
        <v>南北西</v>
      </c>
      <c r="I564" s="197">
        <f t="shared" si="137"/>
        <v>1.01</v>
      </c>
      <c r="J564" s="995"/>
      <c r="K564" s="197">
        <f t="shared" si="138"/>
        <v>1</v>
      </c>
      <c r="L564" s="995"/>
      <c r="M564" s="197">
        <f t="shared" si="139"/>
        <v>1</v>
      </c>
      <c r="N564" s="995"/>
      <c r="O564" s="197">
        <f t="shared" si="140"/>
        <v>1</v>
      </c>
      <c r="P564" s="995"/>
      <c r="Q564" s="197">
        <f t="shared" si="141"/>
        <v>1</v>
      </c>
      <c r="R564" s="991">
        <f t="shared" ca="1" si="142"/>
        <v>16233</v>
      </c>
      <c r="S564" s="552">
        <f t="shared" ca="1" si="143"/>
        <v>2609455</v>
      </c>
      <c r="T564" s="2010">
        <f t="shared" ca="1" si="144"/>
        <v>261</v>
      </c>
      <c r="U564" s="2305">
        <f t="shared" si="145"/>
        <v>0</v>
      </c>
      <c r="V564" s="2305">
        <f t="shared" si="146"/>
        <v>0</v>
      </c>
      <c r="W564" s="2300"/>
      <c r="X564" s="2305">
        <f t="shared" si="147"/>
        <v>0</v>
      </c>
      <c r="Y564" s="2305">
        <f t="shared" si="148"/>
        <v>0</v>
      </c>
      <c r="Z564" s="2300"/>
    </row>
    <row r="565" spans="1:26">
      <c r="A565" s="292" t="str">
        <f>'7.15'!B543</f>
        <v>9幢2单元1203室</v>
      </c>
      <c r="B565" s="207">
        <f>'7.17'!G543</f>
        <v>160.75</v>
      </c>
      <c r="C565" s="197">
        <f t="shared" si="134"/>
        <v>0.97</v>
      </c>
      <c r="D565" s="995" t="s">
        <v>7609</v>
      </c>
      <c r="E565" s="197">
        <f t="shared" si="135"/>
        <v>1.04</v>
      </c>
      <c r="F565" s="995" t="str">
        <f>'7.15'!D543</f>
        <v>平层</v>
      </c>
      <c r="G565" s="197">
        <f t="shared" si="136"/>
        <v>1</v>
      </c>
      <c r="H565" s="995" t="str">
        <f>'7.15'!E543</f>
        <v>南北西</v>
      </c>
      <c r="I565" s="197">
        <f t="shared" si="137"/>
        <v>1.01</v>
      </c>
      <c r="J565" s="995"/>
      <c r="K565" s="197">
        <f t="shared" si="138"/>
        <v>1</v>
      </c>
      <c r="L565" s="995"/>
      <c r="M565" s="197">
        <f t="shared" si="139"/>
        <v>1</v>
      </c>
      <c r="N565" s="995"/>
      <c r="O565" s="197">
        <f t="shared" si="140"/>
        <v>1</v>
      </c>
      <c r="P565" s="995"/>
      <c r="Q565" s="197">
        <f t="shared" si="141"/>
        <v>1</v>
      </c>
      <c r="R565" s="991">
        <f t="shared" ca="1" si="142"/>
        <v>16233</v>
      </c>
      <c r="S565" s="552">
        <f t="shared" ca="1" si="143"/>
        <v>2609455</v>
      </c>
      <c r="T565" s="2010">
        <f t="shared" ca="1" si="144"/>
        <v>261</v>
      </c>
      <c r="U565" s="2305">
        <f t="shared" si="145"/>
        <v>0</v>
      </c>
      <c r="V565" s="2305">
        <f t="shared" si="146"/>
        <v>0</v>
      </c>
      <c r="W565" s="2300"/>
      <c r="X565" s="2305">
        <f t="shared" si="147"/>
        <v>0</v>
      </c>
      <c r="Y565" s="2305">
        <f t="shared" si="148"/>
        <v>0</v>
      </c>
      <c r="Z565" s="2300"/>
    </row>
    <row r="566" spans="1:26">
      <c r="A566" s="292" t="str">
        <f>'7.15'!B544</f>
        <v>9幢2单元1303室</v>
      </c>
      <c r="B566" s="207">
        <f>'7.17'!G544</f>
        <v>160.75</v>
      </c>
      <c r="C566" s="197">
        <f t="shared" si="134"/>
        <v>0.97</v>
      </c>
      <c r="D566" s="995" t="s">
        <v>7609</v>
      </c>
      <c r="E566" s="197">
        <f t="shared" si="135"/>
        <v>1.04</v>
      </c>
      <c r="F566" s="995" t="str">
        <f>'7.15'!D544</f>
        <v>平层</v>
      </c>
      <c r="G566" s="197">
        <f t="shared" si="136"/>
        <v>1</v>
      </c>
      <c r="H566" s="995" t="str">
        <f>'7.15'!E544</f>
        <v>南北西</v>
      </c>
      <c r="I566" s="197">
        <f t="shared" si="137"/>
        <v>1.01</v>
      </c>
      <c r="J566" s="995"/>
      <c r="K566" s="197">
        <f t="shared" si="138"/>
        <v>1</v>
      </c>
      <c r="L566" s="995"/>
      <c r="M566" s="197">
        <f t="shared" si="139"/>
        <v>1</v>
      </c>
      <c r="N566" s="995"/>
      <c r="O566" s="197">
        <f t="shared" si="140"/>
        <v>1</v>
      </c>
      <c r="P566" s="995"/>
      <c r="Q566" s="197">
        <f t="shared" si="141"/>
        <v>1</v>
      </c>
      <c r="R566" s="991">
        <f t="shared" ca="1" si="142"/>
        <v>16233</v>
      </c>
      <c r="S566" s="552">
        <f t="shared" ca="1" si="143"/>
        <v>2609455</v>
      </c>
      <c r="T566" s="2010">
        <f t="shared" ca="1" si="144"/>
        <v>261</v>
      </c>
      <c r="U566" s="2305">
        <f t="shared" si="145"/>
        <v>0</v>
      </c>
      <c r="V566" s="2305">
        <f t="shared" si="146"/>
        <v>0</v>
      </c>
      <c r="W566" s="2300"/>
      <c r="X566" s="2305">
        <f t="shared" si="147"/>
        <v>0</v>
      </c>
      <c r="Y566" s="2305">
        <f t="shared" si="148"/>
        <v>0</v>
      </c>
      <c r="Z566" s="2300"/>
    </row>
    <row r="567" spans="1:26">
      <c r="A567" s="292" t="str">
        <f>'7.15'!B545</f>
        <v>9幢2单元1403室</v>
      </c>
      <c r="B567" s="207">
        <f>'7.17'!G545</f>
        <v>160.75</v>
      </c>
      <c r="C567" s="197">
        <f t="shared" si="134"/>
        <v>0.97</v>
      </c>
      <c r="D567" s="995" t="s">
        <v>7609</v>
      </c>
      <c r="E567" s="197">
        <f t="shared" si="135"/>
        <v>1.04</v>
      </c>
      <c r="F567" s="995" t="str">
        <f>'7.15'!D545</f>
        <v>平层</v>
      </c>
      <c r="G567" s="197">
        <f t="shared" si="136"/>
        <v>1</v>
      </c>
      <c r="H567" s="995" t="str">
        <f>'7.15'!E545</f>
        <v>南北西</v>
      </c>
      <c r="I567" s="197">
        <f t="shared" si="137"/>
        <v>1.01</v>
      </c>
      <c r="J567" s="995"/>
      <c r="K567" s="197">
        <f t="shared" si="138"/>
        <v>1</v>
      </c>
      <c r="L567" s="995"/>
      <c r="M567" s="197">
        <f t="shared" si="139"/>
        <v>1</v>
      </c>
      <c r="N567" s="995"/>
      <c r="O567" s="197">
        <f t="shared" si="140"/>
        <v>1</v>
      </c>
      <c r="P567" s="995"/>
      <c r="Q567" s="197">
        <f t="shared" si="141"/>
        <v>1</v>
      </c>
      <c r="R567" s="991">
        <f t="shared" ca="1" si="142"/>
        <v>16233</v>
      </c>
      <c r="S567" s="552">
        <f t="shared" ca="1" si="143"/>
        <v>2609455</v>
      </c>
      <c r="T567" s="2010">
        <f t="shared" ca="1" si="144"/>
        <v>261</v>
      </c>
      <c r="U567" s="2305">
        <f t="shared" si="145"/>
        <v>0</v>
      </c>
      <c r="V567" s="2305">
        <f t="shared" si="146"/>
        <v>0</v>
      </c>
      <c r="W567" s="2300"/>
      <c r="X567" s="2305">
        <f t="shared" si="147"/>
        <v>0</v>
      </c>
      <c r="Y567" s="2305">
        <f t="shared" si="148"/>
        <v>0</v>
      </c>
      <c r="Z567" s="2300"/>
    </row>
    <row r="568" spans="1:26">
      <c r="A568" s="292" t="str">
        <f>'7.15'!B546</f>
        <v>9幢2单元1503室</v>
      </c>
      <c r="B568" s="207">
        <f>'7.17'!G546</f>
        <v>160.75</v>
      </c>
      <c r="C568" s="197">
        <f t="shared" si="134"/>
        <v>0.97</v>
      </c>
      <c r="D568" s="995" t="s">
        <v>7609</v>
      </c>
      <c r="E568" s="197">
        <f t="shared" si="135"/>
        <v>1.04</v>
      </c>
      <c r="F568" s="995" t="str">
        <f>'7.15'!D546</f>
        <v>平层</v>
      </c>
      <c r="G568" s="197">
        <f t="shared" si="136"/>
        <v>1</v>
      </c>
      <c r="H568" s="995" t="str">
        <f>'7.15'!E546</f>
        <v>南北西</v>
      </c>
      <c r="I568" s="197">
        <f t="shared" si="137"/>
        <v>1.01</v>
      </c>
      <c r="J568" s="995"/>
      <c r="K568" s="197">
        <f t="shared" si="138"/>
        <v>1</v>
      </c>
      <c r="L568" s="995"/>
      <c r="M568" s="197">
        <f t="shared" si="139"/>
        <v>1</v>
      </c>
      <c r="N568" s="995"/>
      <c r="O568" s="197">
        <f t="shared" si="140"/>
        <v>1</v>
      </c>
      <c r="P568" s="995"/>
      <c r="Q568" s="197">
        <f t="shared" si="141"/>
        <v>1</v>
      </c>
      <c r="R568" s="991">
        <f t="shared" ca="1" si="142"/>
        <v>16233</v>
      </c>
      <c r="S568" s="552">
        <f t="shared" ca="1" si="143"/>
        <v>2609455</v>
      </c>
      <c r="T568" s="2010">
        <f t="shared" ca="1" si="144"/>
        <v>261</v>
      </c>
      <c r="U568" s="2305">
        <f t="shared" si="145"/>
        <v>0</v>
      </c>
      <c r="V568" s="2305">
        <f t="shared" si="146"/>
        <v>0</v>
      </c>
      <c r="W568" s="2300"/>
      <c r="X568" s="2305">
        <f t="shared" si="147"/>
        <v>0</v>
      </c>
      <c r="Y568" s="2305">
        <f t="shared" si="148"/>
        <v>0</v>
      </c>
      <c r="Z568" s="2300"/>
    </row>
    <row r="569" spans="1:26">
      <c r="A569" s="292" t="str">
        <f>'7.15'!B547</f>
        <v>9幢2单元1603室</v>
      </c>
      <c r="B569" s="207">
        <f>'7.17'!G547</f>
        <v>160.75</v>
      </c>
      <c r="C569" s="197">
        <f t="shared" si="134"/>
        <v>0.97</v>
      </c>
      <c r="D569" s="995" t="s">
        <v>7609</v>
      </c>
      <c r="E569" s="197">
        <f t="shared" si="135"/>
        <v>1.04</v>
      </c>
      <c r="F569" s="995" t="str">
        <f>'7.15'!D547</f>
        <v>平层</v>
      </c>
      <c r="G569" s="197">
        <f t="shared" si="136"/>
        <v>1</v>
      </c>
      <c r="H569" s="995" t="str">
        <f>'7.15'!E547</f>
        <v>南北西</v>
      </c>
      <c r="I569" s="197">
        <f t="shared" si="137"/>
        <v>1.01</v>
      </c>
      <c r="J569" s="995"/>
      <c r="K569" s="197">
        <f t="shared" si="138"/>
        <v>1</v>
      </c>
      <c r="L569" s="995"/>
      <c r="M569" s="197">
        <f t="shared" si="139"/>
        <v>1</v>
      </c>
      <c r="N569" s="995"/>
      <c r="O569" s="197">
        <f t="shared" si="140"/>
        <v>1</v>
      </c>
      <c r="P569" s="995"/>
      <c r="Q569" s="197">
        <f t="shared" si="141"/>
        <v>1</v>
      </c>
      <c r="R569" s="991">
        <f t="shared" ca="1" si="142"/>
        <v>16233</v>
      </c>
      <c r="S569" s="552">
        <f t="shared" ca="1" si="143"/>
        <v>2609455</v>
      </c>
      <c r="T569" s="2010">
        <f t="shared" ca="1" si="144"/>
        <v>261</v>
      </c>
      <c r="U569" s="2305">
        <f t="shared" si="145"/>
        <v>0</v>
      </c>
      <c r="V569" s="2305">
        <f t="shared" si="146"/>
        <v>0</v>
      </c>
      <c r="W569" s="2300"/>
      <c r="X569" s="2305">
        <f t="shared" si="147"/>
        <v>0</v>
      </c>
      <c r="Y569" s="2305">
        <f t="shared" si="148"/>
        <v>0</v>
      </c>
      <c r="Z569" s="2300"/>
    </row>
    <row r="570" spans="1:26">
      <c r="A570" s="292" t="str">
        <f>'7.15'!B548</f>
        <v>9幢2单元1703室</v>
      </c>
      <c r="B570" s="207">
        <f>'7.17'!G548</f>
        <v>160.75</v>
      </c>
      <c r="C570" s="197">
        <f t="shared" si="134"/>
        <v>0.97</v>
      </c>
      <c r="D570" s="995" t="s">
        <v>7609</v>
      </c>
      <c r="E570" s="197">
        <f t="shared" si="135"/>
        <v>1.04</v>
      </c>
      <c r="F570" s="995" t="str">
        <f>'7.15'!D548</f>
        <v>平层</v>
      </c>
      <c r="G570" s="197">
        <f t="shared" si="136"/>
        <v>1</v>
      </c>
      <c r="H570" s="995" t="str">
        <f>'7.15'!E548</f>
        <v>南北西</v>
      </c>
      <c r="I570" s="197">
        <f t="shared" si="137"/>
        <v>1.01</v>
      </c>
      <c r="J570" s="995"/>
      <c r="K570" s="197">
        <f t="shared" si="138"/>
        <v>1</v>
      </c>
      <c r="L570" s="995"/>
      <c r="M570" s="197">
        <f t="shared" si="139"/>
        <v>1</v>
      </c>
      <c r="N570" s="995"/>
      <c r="O570" s="197">
        <f t="shared" si="140"/>
        <v>1</v>
      </c>
      <c r="P570" s="995"/>
      <c r="Q570" s="197">
        <f t="shared" si="141"/>
        <v>1</v>
      </c>
      <c r="R570" s="991">
        <f t="shared" ca="1" si="142"/>
        <v>16233</v>
      </c>
      <c r="S570" s="552">
        <f t="shared" ca="1" si="143"/>
        <v>2609455</v>
      </c>
      <c r="T570" s="2010">
        <f t="shared" ca="1" si="144"/>
        <v>261</v>
      </c>
      <c r="U570" s="2305">
        <f t="shared" si="145"/>
        <v>0</v>
      </c>
      <c r="V570" s="2305">
        <f t="shared" si="146"/>
        <v>0</v>
      </c>
      <c r="W570" s="2300"/>
      <c r="X570" s="2305">
        <f t="shared" si="147"/>
        <v>0</v>
      </c>
      <c r="Y570" s="2305">
        <f t="shared" si="148"/>
        <v>0</v>
      </c>
      <c r="Z570" s="2300"/>
    </row>
    <row r="571" spans="1:26">
      <c r="A571" s="292" t="str">
        <f>'7.15'!B549</f>
        <v>9幢2单元1803室</v>
      </c>
      <c r="B571" s="207">
        <f>'7.17'!G549</f>
        <v>160.75</v>
      </c>
      <c r="C571" s="197">
        <f t="shared" si="134"/>
        <v>0.97</v>
      </c>
      <c r="D571" s="995" t="s">
        <v>7609</v>
      </c>
      <c r="E571" s="197">
        <f t="shared" si="135"/>
        <v>1.04</v>
      </c>
      <c r="F571" s="995" t="str">
        <f>'7.15'!D549</f>
        <v>平层</v>
      </c>
      <c r="G571" s="197">
        <f t="shared" si="136"/>
        <v>1</v>
      </c>
      <c r="H571" s="995" t="str">
        <f>'7.15'!E549</f>
        <v>南北西</v>
      </c>
      <c r="I571" s="197">
        <f t="shared" si="137"/>
        <v>1.01</v>
      </c>
      <c r="J571" s="995"/>
      <c r="K571" s="197">
        <f t="shared" si="138"/>
        <v>1</v>
      </c>
      <c r="L571" s="995"/>
      <c r="M571" s="197">
        <f t="shared" si="139"/>
        <v>1</v>
      </c>
      <c r="N571" s="995"/>
      <c r="O571" s="197">
        <f t="shared" si="140"/>
        <v>1</v>
      </c>
      <c r="P571" s="995"/>
      <c r="Q571" s="197">
        <f t="shared" si="141"/>
        <v>1</v>
      </c>
      <c r="R571" s="991">
        <f t="shared" ca="1" si="142"/>
        <v>16233</v>
      </c>
      <c r="S571" s="552">
        <f t="shared" ca="1" si="143"/>
        <v>2609455</v>
      </c>
      <c r="T571" s="2010">
        <f t="shared" ca="1" si="144"/>
        <v>261</v>
      </c>
      <c r="U571" s="2305">
        <f t="shared" si="145"/>
        <v>0</v>
      </c>
      <c r="V571" s="2305">
        <f t="shared" si="146"/>
        <v>0</v>
      </c>
      <c r="W571" s="2300"/>
      <c r="X571" s="2305">
        <f t="shared" si="147"/>
        <v>0</v>
      </c>
      <c r="Y571" s="2305">
        <f t="shared" si="148"/>
        <v>0</v>
      </c>
      <c r="Z571" s="2300"/>
    </row>
    <row r="572" spans="1:26">
      <c r="A572" s="292" t="str">
        <f>'7.15'!B550</f>
        <v>9幢2单元1903室</v>
      </c>
      <c r="B572" s="207">
        <f>'7.17'!G550</f>
        <v>160.75</v>
      </c>
      <c r="C572" s="197">
        <f t="shared" si="134"/>
        <v>0.97</v>
      </c>
      <c r="D572" s="995" t="s">
        <v>7609</v>
      </c>
      <c r="E572" s="197">
        <f t="shared" si="135"/>
        <v>1.04</v>
      </c>
      <c r="F572" s="995" t="str">
        <f>'7.15'!D550</f>
        <v>平层</v>
      </c>
      <c r="G572" s="197">
        <f t="shared" si="136"/>
        <v>1</v>
      </c>
      <c r="H572" s="995" t="str">
        <f>'7.15'!E550</f>
        <v>南北西</v>
      </c>
      <c r="I572" s="197">
        <f t="shared" si="137"/>
        <v>1.01</v>
      </c>
      <c r="J572" s="995"/>
      <c r="K572" s="197">
        <f t="shared" si="138"/>
        <v>1</v>
      </c>
      <c r="L572" s="995"/>
      <c r="M572" s="197">
        <f t="shared" si="139"/>
        <v>1</v>
      </c>
      <c r="N572" s="995"/>
      <c r="O572" s="197">
        <f t="shared" si="140"/>
        <v>1</v>
      </c>
      <c r="P572" s="995"/>
      <c r="Q572" s="197">
        <f t="shared" si="141"/>
        <v>1</v>
      </c>
      <c r="R572" s="991">
        <f t="shared" ca="1" si="142"/>
        <v>16233</v>
      </c>
      <c r="S572" s="552">
        <f t="shared" ca="1" si="143"/>
        <v>2609455</v>
      </c>
      <c r="T572" s="2010">
        <f t="shared" ca="1" si="144"/>
        <v>261</v>
      </c>
      <c r="U572" s="2305">
        <f t="shared" si="145"/>
        <v>0</v>
      </c>
      <c r="V572" s="2305">
        <f t="shared" si="146"/>
        <v>0</v>
      </c>
      <c r="W572" s="2300"/>
      <c r="X572" s="2305">
        <f t="shared" si="147"/>
        <v>0</v>
      </c>
      <c r="Y572" s="2305">
        <f t="shared" si="148"/>
        <v>0</v>
      </c>
      <c r="Z572" s="2300"/>
    </row>
    <row r="573" spans="1:26">
      <c r="A573" s="292" t="str">
        <f>'7.15'!B551</f>
        <v>9幢2单元2003室</v>
      </c>
      <c r="B573" s="207">
        <f>'7.17'!G551</f>
        <v>160.75</v>
      </c>
      <c r="C573" s="197">
        <f t="shared" si="134"/>
        <v>0.97</v>
      </c>
      <c r="D573" s="995" t="s">
        <v>7609</v>
      </c>
      <c r="E573" s="197">
        <f t="shared" si="135"/>
        <v>1.04</v>
      </c>
      <c r="F573" s="995" t="str">
        <f>'7.15'!D551</f>
        <v>平层</v>
      </c>
      <c r="G573" s="197">
        <f t="shared" si="136"/>
        <v>1</v>
      </c>
      <c r="H573" s="995" t="str">
        <f>'7.15'!E551</f>
        <v>南北西</v>
      </c>
      <c r="I573" s="197">
        <f t="shared" si="137"/>
        <v>1.01</v>
      </c>
      <c r="J573" s="995"/>
      <c r="K573" s="197">
        <f t="shared" si="138"/>
        <v>1</v>
      </c>
      <c r="L573" s="995"/>
      <c r="M573" s="197">
        <f t="shared" si="139"/>
        <v>1</v>
      </c>
      <c r="N573" s="995"/>
      <c r="O573" s="197">
        <f t="shared" si="140"/>
        <v>1</v>
      </c>
      <c r="P573" s="995"/>
      <c r="Q573" s="197">
        <f t="shared" si="141"/>
        <v>1</v>
      </c>
      <c r="R573" s="991">
        <f t="shared" ca="1" si="142"/>
        <v>16233</v>
      </c>
      <c r="S573" s="552">
        <f t="shared" ca="1" si="143"/>
        <v>2609455</v>
      </c>
      <c r="T573" s="2010">
        <f t="shared" ca="1" si="144"/>
        <v>261</v>
      </c>
      <c r="U573" s="2305">
        <f t="shared" si="145"/>
        <v>0</v>
      </c>
      <c r="V573" s="2305">
        <f t="shared" si="146"/>
        <v>0</v>
      </c>
      <c r="W573" s="2300"/>
      <c r="X573" s="2305">
        <f t="shared" si="147"/>
        <v>0</v>
      </c>
      <c r="Y573" s="2305">
        <f t="shared" si="148"/>
        <v>0</v>
      </c>
      <c r="Z573" s="2300"/>
    </row>
    <row r="574" spans="1:26">
      <c r="A574" s="292" t="str">
        <f>'7.15'!B552</f>
        <v>9幢2单元2103室</v>
      </c>
      <c r="B574" s="207">
        <f>'7.17'!G552</f>
        <v>160.75</v>
      </c>
      <c r="C574" s="197">
        <f t="shared" si="134"/>
        <v>0.97</v>
      </c>
      <c r="D574" s="995" t="s">
        <v>7608</v>
      </c>
      <c r="E574" s="197">
        <f t="shared" si="135"/>
        <v>1.02</v>
      </c>
      <c r="F574" s="995" t="str">
        <f>'7.15'!D552</f>
        <v>平层</v>
      </c>
      <c r="G574" s="197">
        <f t="shared" si="136"/>
        <v>1</v>
      </c>
      <c r="H574" s="995" t="str">
        <f>'7.15'!E552</f>
        <v>南北西</v>
      </c>
      <c r="I574" s="197">
        <f t="shared" si="137"/>
        <v>1.01</v>
      </c>
      <c r="J574" s="995"/>
      <c r="K574" s="197">
        <f t="shared" si="138"/>
        <v>1</v>
      </c>
      <c r="L574" s="995"/>
      <c r="M574" s="197">
        <f t="shared" si="139"/>
        <v>1</v>
      </c>
      <c r="N574" s="995"/>
      <c r="O574" s="197">
        <f t="shared" si="140"/>
        <v>1</v>
      </c>
      <c r="P574" s="995"/>
      <c r="Q574" s="197">
        <f t="shared" si="141"/>
        <v>1</v>
      </c>
      <c r="R574" s="991">
        <f t="shared" ca="1" si="142"/>
        <v>15921</v>
      </c>
      <c r="S574" s="552">
        <f t="shared" ca="1" si="143"/>
        <v>2559301</v>
      </c>
      <c r="T574" s="2010">
        <f t="shared" ca="1" si="144"/>
        <v>256</v>
      </c>
      <c r="U574" s="2305">
        <f t="shared" si="145"/>
        <v>0</v>
      </c>
      <c r="V574" s="2305">
        <f t="shared" si="146"/>
        <v>0</v>
      </c>
      <c r="W574" s="2300"/>
      <c r="X574" s="2305">
        <f t="shared" si="147"/>
        <v>0</v>
      </c>
      <c r="Y574" s="2305">
        <f t="shared" si="148"/>
        <v>0</v>
      </c>
      <c r="Z574" s="2300"/>
    </row>
    <row r="575" spans="1:26">
      <c r="A575" s="292" t="str">
        <f>'7.15'!B553</f>
        <v>9幢2单元2203室</v>
      </c>
      <c r="B575" s="207">
        <f>'7.17'!G553</f>
        <v>160.75</v>
      </c>
      <c r="C575" s="197">
        <f t="shared" si="134"/>
        <v>0.97</v>
      </c>
      <c r="D575" s="995" t="s">
        <v>7608</v>
      </c>
      <c r="E575" s="197">
        <f t="shared" si="135"/>
        <v>1.02</v>
      </c>
      <c r="F575" s="995" t="str">
        <f>'7.15'!D553</f>
        <v>平层</v>
      </c>
      <c r="G575" s="197">
        <f t="shared" si="136"/>
        <v>1</v>
      </c>
      <c r="H575" s="995" t="str">
        <f>'7.15'!E553</f>
        <v>南北西</v>
      </c>
      <c r="I575" s="197">
        <f t="shared" si="137"/>
        <v>1.01</v>
      </c>
      <c r="J575" s="995"/>
      <c r="K575" s="197">
        <f t="shared" si="138"/>
        <v>1</v>
      </c>
      <c r="L575" s="995"/>
      <c r="M575" s="197">
        <f t="shared" si="139"/>
        <v>1</v>
      </c>
      <c r="N575" s="995"/>
      <c r="O575" s="197">
        <f t="shared" si="140"/>
        <v>1</v>
      </c>
      <c r="P575" s="995"/>
      <c r="Q575" s="197">
        <f t="shared" si="141"/>
        <v>1</v>
      </c>
      <c r="R575" s="991">
        <f t="shared" ca="1" si="142"/>
        <v>15921</v>
      </c>
      <c r="S575" s="552">
        <f t="shared" ca="1" si="143"/>
        <v>2559301</v>
      </c>
      <c r="T575" s="2010">
        <f t="shared" ca="1" si="144"/>
        <v>256</v>
      </c>
      <c r="U575" s="2305">
        <f t="shared" si="145"/>
        <v>0</v>
      </c>
      <c r="V575" s="2305">
        <f t="shared" si="146"/>
        <v>0</v>
      </c>
      <c r="W575" s="2300"/>
      <c r="X575" s="2305">
        <f t="shared" si="147"/>
        <v>0</v>
      </c>
      <c r="Y575" s="2305">
        <f t="shared" si="148"/>
        <v>0</v>
      </c>
      <c r="Z575" s="2300"/>
    </row>
    <row r="576" spans="1:26">
      <c r="A576" s="292" t="str">
        <f>'7.15'!B554</f>
        <v>9幢2单元2303室</v>
      </c>
      <c r="B576" s="207">
        <f>'7.17'!G554</f>
        <v>160.75</v>
      </c>
      <c r="C576" s="197">
        <f t="shared" si="134"/>
        <v>0.97</v>
      </c>
      <c r="D576" s="995" t="s">
        <v>7608</v>
      </c>
      <c r="E576" s="197">
        <f t="shared" si="135"/>
        <v>1.02</v>
      </c>
      <c r="F576" s="995" t="str">
        <f>'7.15'!D554</f>
        <v>平层</v>
      </c>
      <c r="G576" s="197">
        <f t="shared" si="136"/>
        <v>1</v>
      </c>
      <c r="H576" s="995" t="str">
        <f>'7.15'!E554</f>
        <v>南北西</v>
      </c>
      <c r="I576" s="197">
        <f t="shared" si="137"/>
        <v>1.01</v>
      </c>
      <c r="J576" s="995"/>
      <c r="K576" s="197">
        <f t="shared" si="138"/>
        <v>1</v>
      </c>
      <c r="L576" s="995"/>
      <c r="M576" s="197">
        <f t="shared" si="139"/>
        <v>1</v>
      </c>
      <c r="N576" s="995"/>
      <c r="O576" s="197">
        <f t="shared" si="140"/>
        <v>1</v>
      </c>
      <c r="P576" s="995"/>
      <c r="Q576" s="197">
        <f t="shared" si="141"/>
        <v>1</v>
      </c>
      <c r="R576" s="991">
        <f t="shared" ca="1" si="142"/>
        <v>15921</v>
      </c>
      <c r="S576" s="552">
        <f t="shared" ca="1" si="143"/>
        <v>2559301</v>
      </c>
      <c r="T576" s="2010">
        <f t="shared" ca="1" si="144"/>
        <v>256</v>
      </c>
      <c r="U576" s="2305">
        <f t="shared" si="145"/>
        <v>0</v>
      </c>
      <c r="V576" s="2305">
        <f t="shared" si="146"/>
        <v>0</v>
      </c>
      <c r="W576" s="2300"/>
      <c r="X576" s="2305">
        <f t="shared" si="147"/>
        <v>0</v>
      </c>
      <c r="Y576" s="2305">
        <f t="shared" si="148"/>
        <v>0</v>
      </c>
      <c r="Z576" s="2300"/>
    </row>
    <row r="577" spans="1:26">
      <c r="A577" s="292" t="str">
        <f>'7.15'!B555</f>
        <v>9幢2单元2403室</v>
      </c>
      <c r="B577" s="207">
        <f>'7.17'!G555</f>
        <v>160.75</v>
      </c>
      <c r="C577" s="197">
        <f t="shared" si="134"/>
        <v>0.97</v>
      </c>
      <c r="D577" s="995" t="s">
        <v>7608</v>
      </c>
      <c r="E577" s="197">
        <f t="shared" si="135"/>
        <v>1.02</v>
      </c>
      <c r="F577" s="995" t="str">
        <f>'7.15'!D555</f>
        <v>平层</v>
      </c>
      <c r="G577" s="197">
        <f t="shared" si="136"/>
        <v>1</v>
      </c>
      <c r="H577" s="995" t="str">
        <f>'7.15'!E555</f>
        <v>南北西</v>
      </c>
      <c r="I577" s="197">
        <f t="shared" si="137"/>
        <v>1.01</v>
      </c>
      <c r="J577" s="995"/>
      <c r="K577" s="197">
        <f t="shared" si="138"/>
        <v>1</v>
      </c>
      <c r="L577" s="995"/>
      <c r="M577" s="197">
        <f t="shared" si="139"/>
        <v>1</v>
      </c>
      <c r="N577" s="995"/>
      <c r="O577" s="197">
        <f t="shared" si="140"/>
        <v>1</v>
      </c>
      <c r="P577" s="995"/>
      <c r="Q577" s="197">
        <f t="shared" si="141"/>
        <v>1</v>
      </c>
      <c r="R577" s="991">
        <f t="shared" ca="1" si="142"/>
        <v>15921</v>
      </c>
      <c r="S577" s="552">
        <f t="shared" ca="1" si="143"/>
        <v>2559301</v>
      </c>
      <c r="T577" s="2010">
        <f t="shared" ca="1" si="144"/>
        <v>256</v>
      </c>
      <c r="U577" s="2305">
        <f t="shared" si="145"/>
        <v>0</v>
      </c>
      <c r="V577" s="2305">
        <f t="shared" si="146"/>
        <v>0</v>
      </c>
      <c r="W577" s="2300"/>
      <c r="X577" s="2305">
        <f t="shared" si="147"/>
        <v>0</v>
      </c>
      <c r="Y577" s="2305">
        <f t="shared" si="148"/>
        <v>0</v>
      </c>
      <c r="Z577" s="2300"/>
    </row>
    <row r="578" spans="1:26">
      <c r="A578" s="292" t="str">
        <f>'7.15'!B556</f>
        <v>9幢2单元2503室</v>
      </c>
      <c r="B578" s="207">
        <f>'7.17'!G556</f>
        <v>160.75</v>
      </c>
      <c r="C578" s="197">
        <f t="shared" si="134"/>
        <v>0.97</v>
      </c>
      <c r="D578" s="995" t="s">
        <v>7608</v>
      </c>
      <c r="E578" s="197">
        <f t="shared" si="135"/>
        <v>1.02</v>
      </c>
      <c r="F578" s="995" t="str">
        <f>'7.15'!D556</f>
        <v>平层</v>
      </c>
      <c r="G578" s="197">
        <f t="shared" si="136"/>
        <v>1</v>
      </c>
      <c r="H578" s="995" t="str">
        <f>'7.15'!E556</f>
        <v>南北西</v>
      </c>
      <c r="I578" s="197">
        <f t="shared" si="137"/>
        <v>1.01</v>
      </c>
      <c r="J578" s="995"/>
      <c r="K578" s="197">
        <f t="shared" si="138"/>
        <v>1</v>
      </c>
      <c r="L578" s="995"/>
      <c r="M578" s="197">
        <f t="shared" si="139"/>
        <v>1</v>
      </c>
      <c r="N578" s="995"/>
      <c r="O578" s="197">
        <f t="shared" si="140"/>
        <v>1</v>
      </c>
      <c r="P578" s="995"/>
      <c r="Q578" s="197">
        <f t="shared" si="141"/>
        <v>1</v>
      </c>
      <c r="R578" s="991">
        <f t="shared" ca="1" si="142"/>
        <v>15921</v>
      </c>
      <c r="S578" s="552">
        <f t="shared" ca="1" si="143"/>
        <v>2559301</v>
      </c>
      <c r="T578" s="2010">
        <f t="shared" ca="1" si="144"/>
        <v>256</v>
      </c>
      <c r="U578" s="2305">
        <f t="shared" si="145"/>
        <v>0</v>
      </c>
      <c r="V578" s="2305">
        <f t="shared" si="146"/>
        <v>0</v>
      </c>
      <c r="W578" s="2300"/>
      <c r="X578" s="2305">
        <f t="shared" si="147"/>
        <v>0</v>
      </c>
      <c r="Y578" s="2305">
        <f t="shared" si="148"/>
        <v>0</v>
      </c>
      <c r="Z578" s="2300"/>
    </row>
    <row r="579" spans="1:26">
      <c r="A579" s="292" t="str">
        <f>'7.15'!B557</f>
        <v>9幢2单元2603室</v>
      </c>
      <c r="B579" s="207">
        <f>'7.17'!G557</f>
        <v>160.75</v>
      </c>
      <c r="C579" s="197">
        <f t="shared" si="134"/>
        <v>0.97</v>
      </c>
      <c r="D579" s="995" t="s">
        <v>7608</v>
      </c>
      <c r="E579" s="197">
        <f t="shared" si="135"/>
        <v>1.02</v>
      </c>
      <c r="F579" s="995" t="str">
        <f>'7.15'!D557</f>
        <v>平层</v>
      </c>
      <c r="G579" s="197">
        <f t="shared" si="136"/>
        <v>1</v>
      </c>
      <c r="H579" s="995" t="str">
        <f>'7.15'!E557</f>
        <v>南北西</v>
      </c>
      <c r="I579" s="197">
        <f t="shared" si="137"/>
        <v>1.01</v>
      </c>
      <c r="J579" s="995"/>
      <c r="K579" s="197">
        <f t="shared" si="138"/>
        <v>1</v>
      </c>
      <c r="L579" s="995"/>
      <c r="M579" s="197">
        <f t="shared" si="139"/>
        <v>1</v>
      </c>
      <c r="N579" s="995"/>
      <c r="O579" s="197">
        <f t="shared" si="140"/>
        <v>1</v>
      </c>
      <c r="P579" s="995"/>
      <c r="Q579" s="197">
        <f t="shared" si="141"/>
        <v>1</v>
      </c>
      <c r="R579" s="991">
        <f t="shared" ca="1" si="142"/>
        <v>15921</v>
      </c>
      <c r="S579" s="552">
        <f t="shared" ca="1" si="143"/>
        <v>2559301</v>
      </c>
      <c r="T579" s="2010">
        <f t="shared" ca="1" si="144"/>
        <v>256</v>
      </c>
      <c r="U579" s="2305">
        <f t="shared" si="145"/>
        <v>0</v>
      </c>
      <c r="V579" s="2305">
        <f t="shared" si="146"/>
        <v>0</v>
      </c>
      <c r="W579" s="2300"/>
      <c r="X579" s="2305">
        <f t="shared" si="147"/>
        <v>0</v>
      </c>
      <c r="Y579" s="2305">
        <f t="shared" si="148"/>
        <v>0</v>
      </c>
      <c r="Z579" s="2300"/>
    </row>
    <row r="580" spans="1:26">
      <c r="A580" s="292" t="str">
        <f>'7.15'!B558</f>
        <v>9幢2单元2703室</v>
      </c>
      <c r="B580" s="207">
        <f>'7.17'!G558</f>
        <v>160.75</v>
      </c>
      <c r="C580" s="197">
        <f t="shared" si="134"/>
        <v>0.97</v>
      </c>
      <c r="D580" s="995" t="s">
        <v>7608</v>
      </c>
      <c r="E580" s="197">
        <f t="shared" si="135"/>
        <v>1.02</v>
      </c>
      <c r="F580" s="995" t="str">
        <f>'7.15'!D558</f>
        <v>平层</v>
      </c>
      <c r="G580" s="197">
        <f t="shared" si="136"/>
        <v>1</v>
      </c>
      <c r="H580" s="995" t="str">
        <f>'7.15'!E558</f>
        <v>南北西</v>
      </c>
      <c r="I580" s="197">
        <f t="shared" si="137"/>
        <v>1.01</v>
      </c>
      <c r="J580" s="995"/>
      <c r="K580" s="197">
        <f t="shared" si="138"/>
        <v>1</v>
      </c>
      <c r="L580" s="995"/>
      <c r="M580" s="197">
        <f t="shared" si="139"/>
        <v>1</v>
      </c>
      <c r="N580" s="995"/>
      <c r="O580" s="197">
        <f t="shared" si="140"/>
        <v>1</v>
      </c>
      <c r="P580" s="995"/>
      <c r="Q580" s="197">
        <f t="shared" si="141"/>
        <v>1</v>
      </c>
      <c r="R580" s="991">
        <f t="shared" ca="1" si="142"/>
        <v>15921</v>
      </c>
      <c r="S580" s="552">
        <f t="shared" ca="1" si="143"/>
        <v>2559301</v>
      </c>
      <c r="T580" s="2010">
        <f t="shared" ca="1" si="144"/>
        <v>256</v>
      </c>
      <c r="U580" s="2305">
        <f t="shared" si="145"/>
        <v>0</v>
      </c>
      <c r="V580" s="2305">
        <f t="shared" si="146"/>
        <v>0</v>
      </c>
      <c r="W580" s="2300"/>
      <c r="X580" s="2305">
        <f t="shared" si="147"/>
        <v>0</v>
      </c>
      <c r="Y580" s="2305">
        <f t="shared" si="148"/>
        <v>0</v>
      </c>
      <c r="Z580" s="2300"/>
    </row>
    <row r="581" spans="1:26">
      <c r="A581" s="292" t="str">
        <f>'7.15'!B559</f>
        <v>9幢2单元2803室</v>
      </c>
      <c r="B581" s="207">
        <f>'7.17'!G559</f>
        <v>160.75</v>
      </c>
      <c r="C581" s="197">
        <f t="shared" si="134"/>
        <v>0.97</v>
      </c>
      <c r="D581" s="995" t="s">
        <v>7608</v>
      </c>
      <c r="E581" s="197">
        <f t="shared" si="135"/>
        <v>1.02</v>
      </c>
      <c r="F581" s="995" t="str">
        <f>'7.15'!D559</f>
        <v>平层</v>
      </c>
      <c r="G581" s="197">
        <f t="shared" si="136"/>
        <v>1</v>
      </c>
      <c r="H581" s="995" t="str">
        <f>'7.15'!E559</f>
        <v>南北西</v>
      </c>
      <c r="I581" s="197">
        <f t="shared" si="137"/>
        <v>1.01</v>
      </c>
      <c r="J581" s="995"/>
      <c r="K581" s="197">
        <f t="shared" si="138"/>
        <v>1</v>
      </c>
      <c r="L581" s="995"/>
      <c r="M581" s="197">
        <f t="shared" si="139"/>
        <v>1</v>
      </c>
      <c r="N581" s="995"/>
      <c r="O581" s="197">
        <f t="shared" si="140"/>
        <v>1</v>
      </c>
      <c r="P581" s="995"/>
      <c r="Q581" s="197">
        <f t="shared" si="141"/>
        <v>1</v>
      </c>
      <c r="R581" s="991">
        <f t="shared" ca="1" si="142"/>
        <v>15921</v>
      </c>
      <c r="S581" s="552">
        <f t="shared" ca="1" si="143"/>
        <v>2559301</v>
      </c>
      <c r="T581" s="2010">
        <f t="shared" ca="1" si="144"/>
        <v>256</v>
      </c>
      <c r="U581" s="2305">
        <f t="shared" si="145"/>
        <v>0</v>
      </c>
      <c r="V581" s="2305">
        <f t="shared" si="146"/>
        <v>0</v>
      </c>
      <c r="W581" s="2300"/>
      <c r="X581" s="2305">
        <f t="shared" si="147"/>
        <v>0</v>
      </c>
      <c r="Y581" s="2305">
        <f t="shared" si="148"/>
        <v>0</v>
      </c>
      <c r="Z581" s="2300"/>
    </row>
    <row r="582" spans="1:26">
      <c r="A582" s="292" t="str">
        <f>'7.15'!B560</f>
        <v>9幢2单元2903室</v>
      </c>
      <c r="B582" s="207">
        <f>'7.17'!G560</f>
        <v>160.75</v>
      </c>
      <c r="C582" s="197">
        <f t="shared" si="134"/>
        <v>0.97</v>
      </c>
      <c r="D582" s="995" t="s">
        <v>7608</v>
      </c>
      <c r="E582" s="197">
        <f t="shared" si="135"/>
        <v>1.02</v>
      </c>
      <c r="F582" s="995" t="str">
        <f>'7.15'!D560</f>
        <v>平层</v>
      </c>
      <c r="G582" s="197">
        <f t="shared" si="136"/>
        <v>1</v>
      </c>
      <c r="H582" s="995" t="str">
        <f>'7.15'!E560</f>
        <v>南北西</v>
      </c>
      <c r="I582" s="197">
        <f t="shared" si="137"/>
        <v>1.01</v>
      </c>
      <c r="J582" s="995"/>
      <c r="K582" s="197">
        <f t="shared" si="138"/>
        <v>1</v>
      </c>
      <c r="L582" s="995"/>
      <c r="M582" s="197">
        <f t="shared" si="139"/>
        <v>1</v>
      </c>
      <c r="N582" s="995"/>
      <c r="O582" s="197">
        <f t="shared" si="140"/>
        <v>1</v>
      </c>
      <c r="P582" s="995"/>
      <c r="Q582" s="197">
        <f t="shared" si="141"/>
        <v>1</v>
      </c>
      <c r="R582" s="991">
        <f t="shared" ca="1" si="142"/>
        <v>15921</v>
      </c>
      <c r="S582" s="552">
        <f t="shared" ca="1" si="143"/>
        <v>2559301</v>
      </c>
      <c r="T582" s="2010">
        <f t="shared" ca="1" si="144"/>
        <v>256</v>
      </c>
      <c r="U582" s="2305">
        <f t="shared" si="145"/>
        <v>0</v>
      </c>
      <c r="V582" s="2305">
        <f t="shared" si="146"/>
        <v>0</v>
      </c>
      <c r="W582" s="2300"/>
      <c r="X582" s="2305">
        <f t="shared" si="147"/>
        <v>0</v>
      </c>
      <c r="Y582" s="2305">
        <f t="shared" si="148"/>
        <v>0</v>
      </c>
      <c r="Z582" s="2300"/>
    </row>
    <row r="583" spans="1:26">
      <c r="A583" s="292" t="str">
        <f>'7.15'!B561</f>
        <v>9幢2单元3003室</v>
      </c>
      <c r="B583" s="207">
        <f>'7.17'!G561</f>
        <v>138.51</v>
      </c>
      <c r="C583" s="197">
        <f t="shared" si="134"/>
        <v>0.98</v>
      </c>
      <c r="D583" s="995" t="s">
        <v>7608</v>
      </c>
      <c r="E583" s="197">
        <f t="shared" si="135"/>
        <v>1.02</v>
      </c>
      <c r="F583" s="995" t="str">
        <f>'7.15'!D561</f>
        <v>平层</v>
      </c>
      <c r="G583" s="197">
        <f t="shared" si="136"/>
        <v>1</v>
      </c>
      <c r="H583" s="995" t="str">
        <f>'7.15'!E561</f>
        <v>南北西</v>
      </c>
      <c r="I583" s="197">
        <f t="shared" si="137"/>
        <v>1.01</v>
      </c>
      <c r="J583" s="995"/>
      <c r="K583" s="197">
        <f t="shared" si="138"/>
        <v>1</v>
      </c>
      <c r="L583" s="995"/>
      <c r="M583" s="197">
        <f t="shared" si="139"/>
        <v>1</v>
      </c>
      <c r="N583" s="995"/>
      <c r="O583" s="197">
        <f t="shared" si="140"/>
        <v>1</v>
      </c>
      <c r="P583" s="995"/>
      <c r="Q583" s="197">
        <f t="shared" si="141"/>
        <v>1</v>
      </c>
      <c r="R583" s="991">
        <f t="shared" ca="1" si="142"/>
        <v>16085</v>
      </c>
      <c r="S583" s="552">
        <f t="shared" ca="1" si="143"/>
        <v>2227933</v>
      </c>
      <c r="T583" s="2010">
        <f t="shared" ca="1" si="144"/>
        <v>223</v>
      </c>
      <c r="U583" s="2305">
        <f t="shared" si="145"/>
        <v>0</v>
      </c>
      <c r="V583" s="2305">
        <f t="shared" si="146"/>
        <v>0</v>
      </c>
      <c r="W583" s="2300"/>
      <c r="X583" s="2305">
        <f t="shared" si="147"/>
        <v>0</v>
      </c>
      <c r="Y583" s="2305">
        <f t="shared" si="148"/>
        <v>0</v>
      </c>
      <c r="Z583" s="2300"/>
    </row>
    <row r="584" spans="1:26">
      <c r="A584" s="292" t="str">
        <f>'7.15'!B562</f>
        <v>10幢1单元401室</v>
      </c>
      <c r="B584" s="207">
        <f>'7.17'!G562</f>
        <v>160.75</v>
      </c>
      <c r="C584" s="197">
        <f t="shared" si="134"/>
        <v>0.97</v>
      </c>
      <c r="D584" s="995" t="s">
        <v>7606</v>
      </c>
      <c r="E584" s="197">
        <f t="shared" si="135"/>
        <v>1</v>
      </c>
      <c r="F584" s="995" t="str">
        <f>'7.15'!D562</f>
        <v>平层</v>
      </c>
      <c r="G584" s="197">
        <f t="shared" si="136"/>
        <v>1</v>
      </c>
      <c r="H584" s="995" t="str">
        <f>'7.15'!E562</f>
        <v>南北东</v>
      </c>
      <c r="I584" s="197">
        <f t="shared" si="137"/>
        <v>1.02</v>
      </c>
      <c r="J584" s="995"/>
      <c r="K584" s="197">
        <f t="shared" si="138"/>
        <v>1</v>
      </c>
      <c r="L584" s="995"/>
      <c r="M584" s="197">
        <f t="shared" si="139"/>
        <v>1</v>
      </c>
      <c r="N584" s="995"/>
      <c r="O584" s="197">
        <f t="shared" si="140"/>
        <v>1</v>
      </c>
      <c r="P584" s="995"/>
      <c r="Q584" s="197">
        <f t="shared" si="141"/>
        <v>1</v>
      </c>
      <c r="R584" s="991">
        <f t="shared" ca="1" si="142"/>
        <v>15763</v>
      </c>
      <c r="S584" s="552">
        <f t="shared" ca="1" si="143"/>
        <v>2533902</v>
      </c>
      <c r="T584" s="2010">
        <f t="shared" ca="1" si="144"/>
        <v>253</v>
      </c>
      <c r="U584" s="2305">
        <f t="shared" si="145"/>
        <v>0</v>
      </c>
      <c r="V584" s="2305">
        <f t="shared" si="146"/>
        <v>0</v>
      </c>
      <c r="W584" s="2300"/>
      <c r="X584" s="2305">
        <f t="shared" si="147"/>
        <v>0</v>
      </c>
      <c r="Y584" s="2305">
        <f t="shared" si="148"/>
        <v>0</v>
      </c>
      <c r="Z584" s="2300"/>
    </row>
    <row r="585" spans="1:26">
      <c r="A585" s="292" t="str">
        <f>'7.15'!B563</f>
        <v>10幢1单元2302室</v>
      </c>
      <c r="B585" s="207">
        <f>'7.17'!G563</f>
        <v>88.16</v>
      </c>
      <c r="C585" s="197">
        <f t="shared" si="134"/>
        <v>1</v>
      </c>
      <c r="D585" s="995" t="s">
        <v>7608</v>
      </c>
      <c r="E585" s="197">
        <f t="shared" si="135"/>
        <v>1.02</v>
      </c>
      <c r="F585" s="995" t="str">
        <f>'7.15'!D563</f>
        <v>平层</v>
      </c>
      <c r="G585" s="197">
        <f t="shared" si="136"/>
        <v>1</v>
      </c>
      <c r="H585" s="995" t="str">
        <f>'7.15'!E563</f>
        <v>南北</v>
      </c>
      <c r="I585" s="197">
        <f t="shared" si="137"/>
        <v>1</v>
      </c>
      <c r="J585" s="995"/>
      <c r="K585" s="197">
        <f t="shared" si="138"/>
        <v>1</v>
      </c>
      <c r="L585" s="995"/>
      <c r="M585" s="197">
        <f t="shared" si="139"/>
        <v>1</v>
      </c>
      <c r="N585" s="995"/>
      <c r="O585" s="197">
        <f t="shared" si="140"/>
        <v>1</v>
      </c>
      <c r="P585" s="995"/>
      <c r="Q585" s="197">
        <f t="shared" si="141"/>
        <v>1</v>
      </c>
      <c r="R585" s="991">
        <f t="shared" ca="1" si="142"/>
        <v>16251</v>
      </c>
      <c r="S585" s="552">
        <f t="shared" ca="1" si="143"/>
        <v>1432688</v>
      </c>
      <c r="T585" s="2010">
        <f t="shared" ca="1" si="144"/>
        <v>143</v>
      </c>
      <c r="U585" s="2305">
        <f t="shared" si="145"/>
        <v>0</v>
      </c>
      <c r="V585" s="2305">
        <f t="shared" si="146"/>
        <v>0</v>
      </c>
      <c r="W585" s="2300"/>
      <c r="X585" s="2305">
        <f t="shared" si="147"/>
        <v>0</v>
      </c>
      <c r="Y585" s="2305">
        <f t="shared" si="148"/>
        <v>0</v>
      </c>
      <c r="Z585" s="2300"/>
    </row>
    <row r="586" spans="1:26">
      <c r="A586" s="292" t="str">
        <f>'7.15'!B564</f>
        <v>10幢1单元203室</v>
      </c>
      <c r="B586" s="207">
        <f>'7.17'!G564</f>
        <v>136.66999999999999</v>
      </c>
      <c r="C586" s="197">
        <f t="shared" si="134"/>
        <v>0.98</v>
      </c>
      <c r="D586" s="995" t="s">
        <v>7606</v>
      </c>
      <c r="E586" s="197">
        <f t="shared" si="135"/>
        <v>1</v>
      </c>
      <c r="F586" s="995" t="str">
        <f>'7.15'!D564</f>
        <v>跃层</v>
      </c>
      <c r="G586" s="197">
        <f t="shared" si="136"/>
        <v>1.02</v>
      </c>
      <c r="H586" s="995" t="str">
        <f>'7.15'!E564</f>
        <v>南北</v>
      </c>
      <c r="I586" s="197">
        <f t="shared" si="137"/>
        <v>1</v>
      </c>
      <c r="J586" s="995"/>
      <c r="K586" s="197">
        <f t="shared" si="138"/>
        <v>1</v>
      </c>
      <c r="L586" s="995"/>
      <c r="M586" s="197">
        <f t="shared" si="139"/>
        <v>1</v>
      </c>
      <c r="N586" s="995"/>
      <c r="O586" s="197">
        <f t="shared" si="140"/>
        <v>1</v>
      </c>
      <c r="P586" s="995"/>
      <c r="Q586" s="197">
        <f t="shared" si="141"/>
        <v>1</v>
      </c>
      <c r="R586" s="991">
        <f t="shared" ca="1" si="142"/>
        <v>15926</v>
      </c>
      <c r="S586" s="552">
        <f t="shared" ca="1" si="143"/>
        <v>2176606</v>
      </c>
      <c r="T586" s="2010">
        <f t="shared" ca="1" si="144"/>
        <v>218</v>
      </c>
      <c r="U586" s="2305">
        <f t="shared" si="145"/>
        <v>0</v>
      </c>
      <c r="V586" s="2305">
        <f t="shared" si="146"/>
        <v>0</v>
      </c>
      <c r="W586" s="2300"/>
      <c r="X586" s="2305">
        <f t="shared" si="147"/>
        <v>0</v>
      </c>
      <c r="Y586" s="2305">
        <f t="shared" si="148"/>
        <v>0</v>
      </c>
      <c r="Z586" s="2300"/>
    </row>
    <row r="587" spans="1:26">
      <c r="A587" s="292" t="str">
        <f>'7.15'!B565</f>
        <v>10幢1单元403室</v>
      </c>
      <c r="B587" s="207">
        <f>'7.17'!G565</f>
        <v>136.66999999999999</v>
      </c>
      <c r="C587" s="197">
        <f t="shared" si="134"/>
        <v>0.98</v>
      </c>
      <c r="D587" s="995" t="s">
        <v>7606</v>
      </c>
      <c r="E587" s="197">
        <f t="shared" si="135"/>
        <v>1</v>
      </c>
      <c r="F587" s="995" t="str">
        <f>'7.15'!D565</f>
        <v>跃层</v>
      </c>
      <c r="G587" s="197">
        <f t="shared" si="136"/>
        <v>1.02</v>
      </c>
      <c r="H587" s="995" t="str">
        <f>'7.15'!E565</f>
        <v>南北</v>
      </c>
      <c r="I587" s="197">
        <f t="shared" si="137"/>
        <v>1</v>
      </c>
      <c r="J587" s="995"/>
      <c r="K587" s="197">
        <f t="shared" si="138"/>
        <v>1</v>
      </c>
      <c r="L587" s="995"/>
      <c r="M587" s="197">
        <f t="shared" si="139"/>
        <v>1</v>
      </c>
      <c r="N587" s="995"/>
      <c r="O587" s="197">
        <f t="shared" si="140"/>
        <v>1</v>
      </c>
      <c r="P587" s="995"/>
      <c r="Q587" s="197">
        <f t="shared" si="141"/>
        <v>1</v>
      </c>
      <c r="R587" s="991">
        <f t="shared" ca="1" si="142"/>
        <v>15926</v>
      </c>
      <c r="S587" s="552">
        <f t="shared" ca="1" si="143"/>
        <v>2176606</v>
      </c>
      <c r="T587" s="2010">
        <f t="shared" ca="1" si="144"/>
        <v>218</v>
      </c>
      <c r="U587" s="2305">
        <f t="shared" si="145"/>
        <v>0</v>
      </c>
      <c r="V587" s="2305">
        <f t="shared" si="146"/>
        <v>0</v>
      </c>
      <c r="W587" s="2300"/>
      <c r="X587" s="2305">
        <f t="shared" si="147"/>
        <v>0</v>
      </c>
      <c r="Y587" s="2305">
        <f t="shared" si="148"/>
        <v>0</v>
      </c>
      <c r="Z587" s="2300"/>
    </row>
    <row r="588" spans="1:26">
      <c r="A588" s="292" t="str">
        <f>'7.15'!B566</f>
        <v>10幢2单元201室</v>
      </c>
      <c r="B588" s="207">
        <f>'7.17'!G566</f>
        <v>136.66999999999999</v>
      </c>
      <c r="C588" s="197">
        <f t="shared" si="134"/>
        <v>0.98</v>
      </c>
      <c r="D588" s="995" t="s">
        <v>7606</v>
      </c>
      <c r="E588" s="197">
        <f t="shared" si="135"/>
        <v>1</v>
      </c>
      <c r="F588" s="995" t="str">
        <f>'7.15'!D566</f>
        <v>跃层</v>
      </c>
      <c r="G588" s="197">
        <f t="shared" si="136"/>
        <v>1.02</v>
      </c>
      <c r="H588" s="995" t="str">
        <f>'7.15'!E566</f>
        <v>南北</v>
      </c>
      <c r="I588" s="197">
        <f t="shared" si="137"/>
        <v>1</v>
      </c>
      <c r="J588" s="995"/>
      <c r="K588" s="197">
        <f t="shared" si="138"/>
        <v>1</v>
      </c>
      <c r="L588" s="995"/>
      <c r="M588" s="197">
        <f t="shared" si="139"/>
        <v>1</v>
      </c>
      <c r="N588" s="995"/>
      <c r="O588" s="197">
        <f t="shared" si="140"/>
        <v>1</v>
      </c>
      <c r="P588" s="995"/>
      <c r="Q588" s="197">
        <f t="shared" si="141"/>
        <v>1</v>
      </c>
      <c r="R588" s="991">
        <f t="shared" ca="1" si="142"/>
        <v>15926</v>
      </c>
      <c r="S588" s="552">
        <f t="shared" ca="1" si="143"/>
        <v>2176606</v>
      </c>
      <c r="T588" s="2010">
        <f t="shared" ca="1" si="144"/>
        <v>218</v>
      </c>
      <c r="U588" s="2305">
        <f t="shared" si="145"/>
        <v>0</v>
      </c>
      <c r="V588" s="2305">
        <f t="shared" si="146"/>
        <v>0</v>
      </c>
      <c r="W588" s="2300"/>
      <c r="X588" s="2305">
        <f t="shared" si="147"/>
        <v>0</v>
      </c>
      <c r="Y588" s="2305">
        <f t="shared" si="148"/>
        <v>0</v>
      </c>
      <c r="Z588" s="2300"/>
    </row>
    <row r="589" spans="1:26">
      <c r="A589" s="292" t="str">
        <f>'7.15'!B567</f>
        <v>11幢1单元203室</v>
      </c>
      <c r="B589" s="207">
        <f>'7.17'!G567</f>
        <v>110.76</v>
      </c>
      <c r="C589" s="197">
        <f t="shared" si="134"/>
        <v>1.01</v>
      </c>
      <c r="D589" s="995" t="s">
        <v>7606</v>
      </c>
      <c r="E589" s="197">
        <f t="shared" si="135"/>
        <v>1</v>
      </c>
      <c r="F589" s="995" t="str">
        <f>'7.15'!D567</f>
        <v>平层</v>
      </c>
      <c r="G589" s="197">
        <f t="shared" si="136"/>
        <v>1</v>
      </c>
      <c r="H589" s="995" t="str">
        <f>'7.15'!E567</f>
        <v>南北</v>
      </c>
      <c r="I589" s="197">
        <f t="shared" si="137"/>
        <v>1</v>
      </c>
      <c r="J589" s="995"/>
      <c r="K589" s="197">
        <f t="shared" si="138"/>
        <v>1</v>
      </c>
      <c r="L589" s="995"/>
      <c r="M589" s="197">
        <f t="shared" si="139"/>
        <v>1</v>
      </c>
      <c r="N589" s="995"/>
      <c r="O589" s="197">
        <f t="shared" si="140"/>
        <v>1</v>
      </c>
      <c r="P589" s="995"/>
      <c r="Q589" s="197">
        <f t="shared" si="141"/>
        <v>1</v>
      </c>
      <c r="R589" s="991">
        <f t="shared" ca="1" si="142"/>
        <v>16091</v>
      </c>
      <c r="S589" s="552">
        <f t="shared" ca="1" si="143"/>
        <v>1782239</v>
      </c>
      <c r="T589" s="2010">
        <f t="shared" ca="1" si="144"/>
        <v>178</v>
      </c>
      <c r="U589" s="2305">
        <f t="shared" si="145"/>
        <v>0</v>
      </c>
      <c r="V589" s="2305">
        <f t="shared" si="146"/>
        <v>0</v>
      </c>
      <c r="W589" s="2300"/>
      <c r="X589" s="2305">
        <f t="shared" si="147"/>
        <v>0</v>
      </c>
      <c r="Y589" s="2305">
        <f t="shared" si="148"/>
        <v>0</v>
      </c>
      <c r="Z589" s="2300"/>
    </row>
    <row r="590" spans="1:26">
      <c r="A590" s="292" t="str">
        <f>'7.15'!B568</f>
        <v>11幢1单元1703室</v>
      </c>
      <c r="B590" s="207">
        <f>'7.17'!G568</f>
        <v>110.76</v>
      </c>
      <c r="C590" s="197">
        <f t="shared" si="134"/>
        <v>1.01</v>
      </c>
      <c r="D590" s="995" t="s">
        <v>7609</v>
      </c>
      <c r="E590" s="197">
        <f t="shared" si="135"/>
        <v>1.04</v>
      </c>
      <c r="F590" s="995" t="str">
        <f>'7.15'!D568</f>
        <v>平层</v>
      </c>
      <c r="G590" s="197">
        <f t="shared" si="136"/>
        <v>1</v>
      </c>
      <c r="H590" s="995" t="str">
        <f>'7.15'!E568</f>
        <v>南北</v>
      </c>
      <c r="I590" s="197">
        <f t="shared" si="137"/>
        <v>1</v>
      </c>
      <c r="J590" s="995"/>
      <c r="K590" s="197">
        <f t="shared" si="138"/>
        <v>1</v>
      </c>
      <c r="L590" s="995"/>
      <c r="M590" s="197">
        <f t="shared" si="139"/>
        <v>1</v>
      </c>
      <c r="N590" s="995"/>
      <c r="O590" s="197">
        <f t="shared" si="140"/>
        <v>1</v>
      </c>
      <c r="P590" s="995"/>
      <c r="Q590" s="197">
        <f t="shared" si="141"/>
        <v>1</v>
      </c>
      <c r="R590" s="991">
        <f t="shared" ca="1" si="142"/>
        <v>16735</v>
      </c>
      <c r="S590" s="552">
        <f t="shared" ca="1" si="143"/>
        <v>1853569</v>
      </c>
      <c r="T590" s="2010">
        <f t="shared" ca="1" si="144"/>
        <v>185</v>
      </c>
      <c r="U590" s="2305">
        <f t="shared" si="145"/>
        <v>0</v>
      </c>
      <c r="V590" s="2305">
        <f t="shared" si="146"/>
        <v>0</v>
      </c>
      <c r="W590" s="2300"/>
      <c r="X590" s="2305">
        <f t="shared" si="147"/>
        <v>0</v>
      </c>
      <c r="Y590" s="2305">
        <f t="shared" si="148"/>
        <v>0</v>
      </c>
      <c r="Z590" s="2300"/>
    </row>
    <row r="591" spans="1:26">
      <c r="A591" s="292" t="str">
        <f>'7.15'!B569</f>
        <v>11幢2单元201室</v>
      </c>
      <c r="B591" s="207">
        <f>'7.17'!G569</f>
        <v>110.89</v>
      </c>
      <c r="C591" s="197">
        <f t="shared" si="134"/>
        <v>1.01</v>
      </c>
      <c r="D591" s="995" t="s">
        <v>7606</v>
      </c>
      <c r="E591" s="197">
        <f t="shared" si="135"/>
        <v>1</v>
      </c>
      <c r="F591" s="995" t="str">
        <f>'7.15'!D569</f>
        <v>平层</v>
      </c>
      <c r="G591" s="197">
        <f t="shared" si="136"/>
        <v>1</v>
      </c>
      <c r="H591" s="995" t="str">
        <f>'7.15'!E569</f>
        <v>南北</v>
      </c>
      <c r="I591" s="197">
        <f t="shared" si="137"/>
        <v>1</v>
      </c>
      <c r="J591" s="995"/>
      <c r="K591" s="197">
        <f t="shared" si="138"/>
        <v>1</v>
      </c>
      <c r="L591" s="995"/>
      <c r="M591" s="197">
        <f t="shared" si="139"/>
        <v>1</v>
      </c>
      <c r="N591" s="995"/>
      <c r="O591" s="197">
        <f t="shared" si="140"/>
        <v>1</v>
      </c>
      <c r="P591" s="995"/>
      <c r="Q591" s="197">
        <f t="shared" si="141"/>
        <v>1</v>
      </c>
      <c r="R591" s="991">
        <f t="shared" ca="1" si="142"/>
        <v>16091</v>
      </c>
      <c r="S591" s="552">
        <f t="shared" ca="1" si="143"/>
        <v>1784331</v>
      </c>
      <c r="T591" s="2010">
        <f t="shared" ca="1" si="144"/>
        <v>178</v>
      </c>
      <c r="U591" s="2305">
        <f t="shared" si="145"/>
        <v>0</v>
      </c>
      <c r="V591" s="2305">
        <f t="shared" si="146"/>
        <v>0</v>
      </c>
      <c r="W591" s="2300"/>
      <c r="X591" s="2305">
        <f t="shared" si="147"/>
        <v>0</v>
      </c>
      <c r="Y591" s="2305">
        <f t="shared" si="148"/>
        <v>0</v>
      </c>
      <c r="Z591" s="2300"/>
    </row>
    <row r="592" spans="1:26">
      <c r="A592" s="292" t="str">
        <f>'7.15'!B570</f>
        <v>11幢2单元301室</v>
      </c>
      <c r="B592" s="207">
        <f>'7.17'!G570</f>
        <v>110.89</v>
      </c>
      <c r="C592" s="197">
        <f t="shared" ref="C592:C655" si="149">IF(B592="",1,(LOOKUP(B592,$6:$6,$7:$7)-LOOKUP($B$27,$6:$6,$7:$7)+100)/100)</f>
        <v>1.01</v>
      </c>
      <c r="D592" s="995" t="s">
        <v>7606</v>
      </c>
      <c r="E592" s="197">
        <f t="shared" ref="E592:E655" si="150">(SUMIF($8:$8,D592,$9:$9)-SUMIF($8:$8,$D$27,$9:$9)+100)/100</f>
        <v>1</v>
      </c>
      <c r="F592" s="995" t="str">
        <f>'7.15'!D570</f>
        <v>平层</v>
      </c>
      <c r="G592" s="197">
        <f t="shared" ref="G592:G655" si="151">(SUMIF($10:$10,F592,$11:$11)-SUMIF($10:$10,$F$27,$11:$11)+100)/100</f>
        <v>1</v>
      </c>
      <c r="H592" s="995" t="str">
        <f>'7.15'!E570</f>
        <v>南北</v>
      </c>
      <c r="I592" s="197">
        <f t="shared" ref="I592:I655" si="152">(SUMIF($12:$12,H592,$13:$13)-SUMIF($12:$12,$H$27,$13:$13)+100)/100</f>
        <v>1</v>
      </c>
      <c r="J592" s="995"/>
      <c r="K592" s="197">
        <f t="shared" ref="K592:K655" si="153">(SUMIF($14:$14,J592,$15:$15)-SUMIF($14:$14,$J$27,$15:$15)+100)/100</f>
        <v>1</v>
      </c>
      <c r="L592" s="995"/>
      <c r="M592" s="197">
        <f t="shared" ref="M592:M655" si="154">(SUMIF($16:$16,L592,$17:$17)-SUMIF($16:$16,$L$27,$17:$17)+100)/100</f>
        <v>1</v>
      </c>
      <c r="N592" s="995"/>
      <c r="O592" s="197">
        <f t="shared" ref="O592:O655" si="155">(SUMIF($18:$18,N592,$19:$19)-SUMIF($18:$18,$N$27,$19:$19)+100)/100</f>
        <v>1</v>
      </c>
      <c r="P592" s="995"/>
      <c r="Q592" s="197">
        <f t="shared" ref="Q592:Q655" si="156">(SUMIF($20:$20,P592,$21:$21)-SUMIF($20:$20,$P$27,$21:$21)+100)/100</f>
        <v>1</v>
      </c>
      <c r="R592" s="991">
        <f t="shared" ref="R592:R655" ca="1" si="157">IF(B592="",0,ROUND($R$27*C592*E592*G592*I592*K592*M592*O592*Q592,0))</f>
        <v>16091</v>
      </c>
      <c r="S592" s="552">
        <f t="shared" ref="S592:S655" ca="1" si="158">ROUND(R592*B592,0)</f>
        <v>1784331</v>
      </c>
      <c r="T592" s="2010">
        <f t="shared" ref="T592:T655" ca="1" si="159">ROUND(R592*B592/10000,0)</f>
        <v>178</v>
      </c>
      <c r="U592" s="2305">
        <f t="shared" ref="U592:U655" si="160">ROUND(W592*B592,0)</f>
        <v>0</v>
      </c>
      <c r="V592" s="2305">
        <f t="shared" ref="V592:V655" si="161">ROUND(W592*B592/10000,0)</f>
        <v>0</v>
      </c>
      <c r="W592" s="2300"/>
      <c r="X592" s="2305">
        <f t="shared" ref="X592:X655" si="162">ROUND(Z592*B592,0)</f>
        <v>0</v>
      </c>
      <c r="Y592" s="2305">
        <f t="shared" ref="Y592:Y655" si="163">ROUND(Z592*B592/10000,0)</f>
        <v>0</v>
      </c>
      <c r="Z592" s="2300"/>
    </row>
    <row r="593" spans="1:26">
      <c r="A593" s="292" t="str">
        <f>'7.15'!B571</f>
        <v>11幢2单元401室</v>
      </c>
      <c r="B593" s="207">
        <f>'7.17'!G571</f>
        <v>110.89</v>
      </c>
      <c r="C593" s="197">
        <f t="shared" si="149"/>
        <v>1.01</v>
      </c>
      <c r="D593" s="995" t="s">
        <v>7606</v>
      </c>
      <c r="E593" s="197">
        <f t="shared" si="150"/>
        <v>1</v>
      </c>
      <c r="F593" s="995" t="str">
        <f>'7.15'!D571</f>
        <v>平层</v>
      </c>
      <c r="G593" s="197">
        <f t="shared" si="151"/>
        <v>1</v>
      </c>
      <c r="H593" s="995" t="str">
        <f>'7.15'!E571</f>
        <v>南北</v>
      </c>
      <c r="I593" s="197">
        <f t="shared" si="152"/>
        <v>1</v>
      </c>
      <c r="J593" s="995"/>
      <c r="K593" s="197">
        <f t="shared" si="153"/>
        <v>1</v>
      </c>
      <c r="L593" s="995"/>
      <c r="M593" s="197">
        <f t="shared" si="154"/>
        <v>1</v>
      </c>
      <c r="N593" s="995"/>
      <c r="O593" s="197">
        <f t="shared" si="155"/>
        <v>1</v>
      </c>
      <c r="P593" s="995"/>
      <c r="Q593" s="197">
        <f t="shared" si="156"/>
        <v>1</v>
      </c>
      <c r="R593" s="991">
        <f t="shared" ca="1" si="157"/>
        <v>16091</v>
      </c>
      <c r="S593" s="552">
        <f t="shared" ca="1" si="158"/>
        <v>1784331</v>
      </c>
      <c r="T593" s="2010">
        <f t="shared" ca="1" si="159"/>
        <v>178</v>
      </c>
      <c r="U593" s="2305">
        <f t="shared" si="160"/>
        <v>0</v>
      </c>
      <c r="V593" s="2305">
        <f t="shared" si="161"/>
        <v>0</v>
      </c>
      <c r="W593" s="2300"/>
      <c r="X593" s="2305">
        <f t="shared" si="162"/>
        <v>0</v>
      </c>
      <c r="Y593" s="2305">
        <f t="shared" si="163"/>
        <v>0</v>
      </c>
      <c r="Z593" s="2300"/>
    </row>
    <row r="594" spans="1:26">
      <c r="A594" s="292" t="str">
        <f>'7.15'!B572</f>
        <v>11幢2单元501室</v>
      </c>
      <c r="B594" s="207">
        <f>'7.17'!G572</f>
        <v>110.89</v>
      </c>
      <c r="C594" s="197">
        <f t="shared" si="149"/>
        <v>1.01</v>
      </c>
      <c r="D594" s="995" t="s">
        <v>7606</v>
      </c>
      <c r="E594" s="197">
        <f t="shared" si="150"/>
        <v>1</v>
      </c>
      <c r="F594" s="995" t="str">
        <f>'7.15'!D572</f>
        <v>平层</v>
      </c>
      <c r="G594" s="197">
        <f t="shared" si="151"/>
        <v>1</v>
      </c>
      <c r="H594" s="995" t="str">
        <f>'7.15'!E572</f>
        <v>南北</v>
      </c>
      <c r="I594" s="197">
        <f t="shared" si="152"/>
        <v>1</v>
      </c>
      <c r="J594" s="995"/>
      <c r="K594" s="197">
        <f t="shared" si="153"/>
        <v>1</v>
      </c>
      <c r="L594" s="995"/>
      <c r="M594" s="197">
        <f t="shared" si="154"/>
        <v>1</v>
      </c>
      <c r="N594" s="995"/>
      <c r="O594" s="197">
        <f t="shared" si="155"/>
        <v>1</v>
      </c>
      <c r="P594" s="995"/>
      <c r="Q594" s="197">
        <f t="shared" si="156"/>
        <v>1</v>
      </c>
      <c r="R594" s="991">
        <f t="shared" ca="1" si="157"/>
        <v>16091</v>
      </c>
      <c r="S594" s="552">
        <f t="shared" ca="1" si="158"/>
        <v>1784331</v>
      </c>
      <c r="T594" s="2010">
        <f t="shared" ca="1" si="159"/>
        <v>178</v>
      </c>
      <c r="U594" s="2305">
        <f t="shared" si="160"/>
        <v>0</v>
      </c>
      <c r="V594" s="2305">
        <f t="shared" si="161"/>
        <v>0</v>
      </c>
      <c r="W594" s="2300"/>
      <c r="X594" s="2305">
        <f t="shared" si="162"/>
        <v>0</v>
      </c>
      <c r="Y594" s="2305">
        <f t="shared" si="163"/>
        <v>0</v>
      </c>
      <c r="Z594" s="2300"/>
    </row>
    <row r="595" spans="1:26">
      <c r="A595" s="292" t="str">
        <f>'7.15'!B573</f>
        <v>11幢2单元601室</v>
      </c>
      <c r="B595" s="207">
        <f>'7.17'!G573</f>
        <v>110.89</v>
      </c>
      <c r="C595" s="197">
        <f t="shared" si="149"/>
        <v>1.01</v>
      </c>
      <c r="D595" s="995" t="s">
        <v>7606</v>
      </c>
      <c r="E595" s="197">
        <f t="shared" si="150"/>
        <v>1</v>
      </c>
      <c r="F595" s="995" t="str">
        <f>'7.15'!D573</f>
        <v>平层</v>
      </c>
      <c r="G595" s="197">
        <f t="shared" si="151"/>
        <v>1</v>
      </c>
      <c r="H595" s="995" t="str">
        <f>'7.15'!E573</f>
        <v>南北</v>
      </c>
      <c r="I595" s="197">
        <f t="shared" si="152"/>
        <v>1</v>
      </c>
      <c r="J595" s="995"/>
      <c r="K595" s="197">
        <f t="shared" si="153"/>
        <v>1</v>
      </c>
      <c r="L595" s="995"/>
      <c r="M595" s="197">
        <f t="shared" si="154"/>
        <v>1</v>
      </c>
      <c r="N595" s="995"/>
      <c r="O595" s="197">
        <f t="shared" si="155"/>
        <v>1</v>
      </c>
      <c r="P595" s="995"/>
      <c r="Q595" s="197">
        <f t="shared" si="156"/>
        <v>1</v>
      </c>
      <c r="R595" s="991">
        <f t="shared" ca="1" si="157"/>
        <v>16091</v>
      </c>
      <c r="S595" s="552">
        <f t="shared" ca="1" si="158"/>
        <v>1784331</v>
      </c>
      <c r="T595" s="2010">
        <f t="shared" ca="1" si="159"/>
        <v>178</v>
      </c>
      <c r="U595" s="2305">
        <f t="shared" si="160"/>
        <v>0</v>
      </c>
      <c r="V595" s="2305">
        <f t="shared" si="161"/>
        <v>0</v>
      </c>
      <c r="W595" s="2300"/>
      <c r="X595" s="2305">
        <f t="shared" si="162"/>
        <v>0</v>
      </c>
      <c r="Y595" s="2305">
        <f t="shared" si="163"/>
        <v>0</v>
      </c>
      <c r="Z595" s="2300"/>
    </row>
    <row r="596" spans="1:26">
      <c r="A596" s="292" t="str">
        <f>'7.15'!B574</f>
        <v>11幢2单元701室</v>
      </c>
      <c r="B596" s="207">
        <f>'7.17'!G574</f>
        <v>110.89</v>
      </c>
      <c r="C596" s="197">
        <f t="shared" si="149"/>
        <v>1.01</v>
      </c>
      <c r="D596" s="995" t="s">
        <v>7606</v>
      </c>
      <c r="E596" s="197">
        <f t="shared" si="150"/>
        <v>1</v>
      </c>
      <c r="F596" s="995" t="str">
        <f>'7.15'!D574</f>
        <v>平层</v>
      </c>
      <c r="G596" s="197">
        <f t="shared" si="151"/>
        <v>1</v>
      </c>
      <c r="H596" s="995" t="str">
        <f>'7.15'!E574</f>
        <v>南北</v>
      </c>
      <c r="I596" s="197">
        <f t="shared" si="152"/>
        <v>1</v>
      </c>
      <c r="J596" s="995"/>
      <c r="K596" s="197">
        <f t="shared" si="153"/>
        <v>1</v>
      </c>
      <c r="L596" s="995"/>
      <c r="M596" s="197">
        <f t="shared" si="154"/>
        <v>1</v>
      </c>
      <c r="N596" s="995"/>
      <c r="O596" s="197">
        <f t="shared" si="155"/>
        <v>1</v>
      </c>
      <c r="P596" s="995"/>
      <c r="Q596" s="197">
        <f t="shared" si="156"/>
        <v>1</v>
      </c>
      <c r="R596" s="991">
        <f t="shared" ca="1" si="157"/>
        <v>16091</v>
      </c>
      <c r="S596" s="552">
        <f t="shared" ca="1" si="158"/>
        <v>1784331</v>
      </c>
      <c r="T596" s="2010">
        <f t="shared" ca="1" si="159"/>
        <v>178</v>
      </c>
      <c r="U596" s="2305">
        <f t="shared" si="160"/>
        <v>0</v>
      </c>
      <c r="V596" s="2305">
        <f t="shared" si="161"/>
        <v>0</v>
      </c>
      <c r="W596" s="2300"/>
      <c r="X596" s="2305">
        <f t="shared" si="162"/>
        <v>0</v>
      </c>
      <c r="Y596" s="2305">
        <f t="shared" si="163"/>
        <v>0</v>
      </c>
      <c r="Z596" s="2300"/>
    </row>
    <row r="597" spans="1:26">
      <c r="A597" s="292" t="str">
        <f>'7.15'!B575</f>
        <v>11幢2单元801室</v>
      </c>
      <c r="B597" s="207">
        <f>'7.17'!G575</f>
        <v>110.89</v>
      </c>
      <c r="C597" s="197">
        <f t="shared" si="149"/>
        <v>1.01</v>
      </c>
      <c r="D597" s="995" t="s">
        <v>7606</v>
      </c>
      <c r="E597" s="197">
        <f t="shared" si="150"/>
        <v>1</v>
      </c>
      <c r="F597" s="995" t="str">
        <f>'7.15'!D575</f>
        <v>平层</v>
      </c>
      <c r="G597" s="197">
        <f t="shared" si="151"/>
        <v>1</v>
      </c>
      <c r="H597" s="995" t="str">
        <f>'7.15'!E575</f>
        <v>南北</v>
      </c>
      <c r="I597" s="197">
        <f t="shared" si="152"/>
        <v>1</v>
      </c>
      <c r="J597" s="995"/>
      <c r="K597" s="197">
        <f t="shared" si="153"/>
        <v>1</v>
      </c>
      <c r="L597" s="995"/>
      <c r="M597" s="197">
        <f t="shared" si="154"/>
        <v>1</v>
      </c>
      <c r="N597" s="995"/>
      <c r="O597" s="197">
        <f t="shared" si="155"/>
        <v>1</v>
      </c>
      <c r="P597" s="995"/>
      <c r="Q597" s="197">
        <f t="shared" si="156"/>
        <v>1</v>
      </c>
      <c r="R597" s="991">
        <f t="shared" ca="1" si="157"/>
        <v>16091</v>
      </c>
      <c r="S597" s="552">
        <f t="shared" ca="1" si="158"/>
        <v>1784331</v>
      </c>
      <c r="T597" s="2010">
        <f t="shared" ca="1" si="159"/>
        <v>178</v>
      </c>
      <c r="U597" s="2305">
        <f t="shared" si="160"/>
        <v>0</v>
      </c>
      <c r="V597" s="2305">
        <f t="shared" si="161"/>
        <v>0</v>
      </c>
      <c r="W597" s="2300"/>
      <c r="X597" s="2305">
        <f t="shared" si="162"/>
        <v>0</v>
      </c>
      <c r="Y597" s="2305">
        <f t="shared" si="163"/>
        <v>0</v>
      </c>
      <c r="Z597" s="2300"/>
    </row>
    <row r="598" spans="1:26">
      <c r="A598" s="292" t="str">
        <f>'7.15'!B576</f>
        <v>11幢2单元901室</v>
      </c>
      <c r="B598" s="207">
        <f>'7.17'!G576</f>
        <v>110.89</v>
      </c>
      <c r="C598" s="197">
        <f t="shared" si="149"/>
        <v>1.01</v>
      </c>
      <c r="D598" s="995" t="s">
        <v>7606</v>
      </c>
      <c r="E598" s="197">
        <f t="shared" si="150"/>
        <v>1</v>
      </c>
      <c r="F598" s="995" t="str">
        <f>'7.15'!D576</f>
        <v>平层</v>
      </c>
      <c r="G598" s="197">
        <f t="shared" si="151"/>
        <v>1</v>
      </c>
      <c r="H598" s="995" t="str">
        <f>'7.15'!E576</f>
        <v>南北</v>
      </c>
      <c r="I598" s="197">
        <f t="shared" si="152"/>
        <v>1</v>
      </c>
      <c r="J598" s="995"/>
      <c r="K598" s="197">
        <f t="shared" si="153"/>
        <v>1</v>
      </c>
      <c r="L598" s="995"/>
      <c r="M598" s="197">
        <f t="shared" si="154"/>
        <v>1</v>
      </c>
      <c r="N598" s="995"/>
      <c r="O598" s="197">
        <f t="shared" si="155"/>
        <v>1</v>
      </c>
      <c r="P598" s="995"/>
      <c r="Q598" s="197">
        <f t="shared" si="156"/>
        <v>1</v>
      </c>
      <c r="R598" s="991">
        <f t="shared" ca="1" si="157"/>
        <v>16091</v>
      </c>
      <c r="S598" s="552">
        <f t="shared" ca="1" si="158"/>
        <v>1784331</v>
      </c>
      <c r="T598" s="2010">
        <f t="shared" ca="1" si="159"/>
        <v>178</v>
      </c>
      <c r="U598" s="2305">
        <f t="shared" si="160"/>
        <v>0</v>
      </c>
      <c r="V598" s="2305">
        <f t="shared" si="161"/>
        <v>0</v>
      </c>
      <c r="W598" s="2300"/>
      <c r="X598" s="2305">
        <f t="shared" si="162"/>
        <v>0</v>
      </c>
      <c r="Y598" s="2305">
        <f t="shared" si="163"/>
        <v>0</v>
      </c>
      <c r="Z598" s="2300"/>
    </row>
    <row r="599" spans="1:26">
      <c r="A599" s="292" t="str">
        <f>'7.15'!B577</f>
        <v>11幢2单元1001室</v>
      </c>
      <c r="B599" s="207">
        <f>'7.17'!G577</f>
        <v>110.89</v>
      </c>
      <c r="C599" s="197">
        <f t="shared" si="149"/>
        <v>1.01</v>
      </c>
      <c r="D599" s="995" t="s">
        <v>7606</v>
      </c>
      <c r="E599" s="197">
        <f t="shared" si="150"/>
        <v>1</v>
      </c>
      <c r="F599" s="995" t="str">
        <f>'7.15'!D577</f>
        <v>平层</v>
      </c>
      <c r="G599" s="197">
        <f t="shared" si="151"/>
        <v>1</v>
      </c>
      <c r="H599" s="995" t="str">
        <f>'7.15'!E577</f>
        <v>南北</v>
      </c>
      <c r="I599" s="197">
        <f t="shared" si="152"/>
        <v>1</v>
      </c>
      <c r="J599" s="995"/>
      <c r="K599" s="197">
        <f t="shared" si="153"/>
        <v>1</v>
      </c>
      <c r="L599" s="995"/>
      <c r="M599" s="197">
        <f t="shared" si="154"/>
        <v>1</v>
      </c>
      <c r="N599" s="995"/>
      <c r="O599" s="197">
        <f t="shared" si="155"/>
        <v>1</v>
      </c>
      <c r="P599" s="995"/>
      <c r="Q599" s="197">
        <f t="shared" si="156"/>
        <v>1</v>
      </c>
      <c r="R599" s="991">
        <f t="shared" ca="1" si="157"/>
        <v>16091</v>
      </c>
      <c r="S599" s="552">
        <f t="shared" ca="1" si="158"/>
        <v>1784331</v>
      </c>
      <c r="T599" s="2010">
        <f t="shared" ca="1" si="159"/>
        <v>178</v>
      </c>
      <c r="U599" s="2305">
        <f t="shared" si="160"/>
        <v>0</v>
      </c>
      <c r="V599" s="2305">
        <f t="shared" si="161"/>
        <v>0</v>
      </c>
      <c r="W599" s="2300"/>
      <c r="X599" s="2305">
        <f t="shared" si="162"/>
        <v>0</v>
      </c>
      <c r="Y599" s="2305">
        <f t="shared" si="163"/>
        <v>0</v>
      </c>
      <c r="Z599" s="2300"/>
    </row>
    <row r="600" spans="1:26">
      <c r="A600" s="292" t="str">
        <f>'7.15'!B578</f>
        <v>11幢2单元1101室</v>
      </c>
      <c r="B600" s="207">
        <f>'7.17'!G578</f>
        <v>110.89</v>
      </c>
      <c r="C600" s="197">
        <f t="shared" si="149"/>
        <v>1.01</v>
      </c>
      <c r="D600" s="995" t="s">
        <v>7609</v>
      </c>
      <c r="E600" s="197">
        <f t="shared" si="150"/>
        <v>1.04</v>
      </c>
      <c r="F600" s="995" t="str">
        <f>'7.15'!D578</f>
        <v>平层</v>
      </c>
      <c r="G600" s="197">
        <f t="shared" si="151"/>
        <v>1</v>
      </c>
      <c r="H600" s="995" t="str">
        <f>'7.15'!E578</f>
        <v>南北</v>
      </c>
      <c r="I600" s="197">
        <f t="shared" si="152"/>
        <v>1</v>
      </c>
      <c r="J600" s="995"/>
      <c r="K600" s="197">
        <f t="shared" si="153"/>
        <v>1</v>
      </c>
      <c r="L600" s="995"/>
      <c r="M600" s="197">
        <f t="shared" si="154"/>
        <v>1</v>
      </c>
      <c r="N600" s="995"/>
      <c r="O600" s="197">
        <f t="shared" si="155"/>
        <v>1</v>
      </c>
      <c r="P600" s="995"/>
      <c r="Q600" s="197">
        <f t="shared" si="156"/>
        <v>1</v>
      </c>
      <c r="R600" s="991">
        <f t="shared" ca="1" si="157"/>
        <v>16735</v>
      </c>
      <c r="S600" s="552">
        <f t="shared" ca="1" si="158"/>
        <v>1855744</v>
      </c>
      <c r="T600" s="2010">
        <f t="shared" ca="1" si="159"/>
        <v>186</v>
      </c>
      <c r="U600" s="2305">
        <f t="shared" si="160"/>
        <v>0</v>
      </c>
      <c r="V600" s="2305">
        <f t="shared" si="161"/>
        <v>0</v>
      </c>
      <c r="W600" s="2300"/>
      <c r="X600" s="2305">
        <f t="shared" si="162"/>
        <v>0</v>
      </c>
      <c r="Y600" s="2305">
        <f t="shared" si="163"/>
        <v>0</v>
      </c>
      <c r="Z600" s="2300"/>
    </row>
    <row r="601" spans="1:26">
      <c r="A601" s="292" t="str">
        <f>'7.15'!B579</f>
        <v>11幢2单元1201室</v>
      </c>
      <c r="B601" s="207">
        <f>'7.17'!G579</f>
        <v>110.89</v>
      </c>
      <c r="C601" s="197">
        <f t="shared" si="149"/>
        <v>1.01</v>
      </c>
      <c r="D601" s="995" t="s">
        <v>7609</v>
      </c>
      <c r="E601" s="197">
        <f t="shared" si="150"/>
        <v>1.04</v>
      </c>
      <c r="F601" s="995" t="str">
        <f>'7.15'!D579</f>
        <v>平层</v>
      </c>
      <c r="G601" s="197">
        <f t="shared" si="151"/>
        <v>1</v>
      </c>
      <c r="H601" s="995" t="str">
        <f>'7.15'!E579</f>
        <v>南北</v>
      </c>
      <c r="I601" s="197">
        <f t="shared" si="152"/>
        <v>1</v>
      </c>
      <c r="J601" s="995"/>
      <c r="K601" s="197">
        <f t="shared" si="153"/>
        <v>1</v>
      </c>
      <c r="L601" s="995"/>
      <c r="M601" s="197">
        <f t="shared" si="154"/>
        <v>1</v>
      </c>
      <c r="N601" s="995"/>
      <c r="O601" s="197">
        <f t="shared" si="155"/>
        <v>1</v>
      </c>
      <c r="P601" s="995"/>
      <c r="Q601" s="197">
        <f t="shared" si="156"/>
        <v>1</v>
      </c>
      <c r="R601" s="991">
        <f t="shared" ca="1" si="157"/>
        <v>16735</v>
      </c>
      <c r="S601" s="552">
        <f t="shared" ca="1" si="158"/>
        <v>1855744</v>
      </c>
      <c r="T601" s="2010">
        <f t="shared" ca="1" si="159"/>
        <v>186</v>
      </c>
      <c r="U601" s="2305">
        <f t="shared" si="160"/>
        <v>0</v>
      </c>
      <c r="V601" s="2305">
        <f t="shared" si="161"/>
        <v>0</v>
      </c>
      <c r="W601" s="2300"/>
      <c r="X601" s="2305">
        <f t="shared" si="162"/>
        <v>0</v>
      </c>
      <c r="Y601" s="2305">
        <f t="shared" si="163"/>
        <v>0</v>
      </c>
      <c r="Z601" s="2300"/>
    </row>
    <row r="602" spans="1:26">
      <c r="A602" s="292" t="str">
        <f>'7.15'!B580</f>
        <v>11幢2单元1301室</v>
      </c>
      <c r="B602" s="207">
        <f>'7.17'!G580</f>
        <v>110.89</v>
      </c>
      <c r="C602" s="197">
        <f t="shared" si="149"/>
        <v>1.01</v>
      </c>
      <c r="D602" s="995" t="s">
        <v>7609</v>
      </c>
      <c r="E602" s="197">
        <f t="shared" si="150"/>
        <v>1.04</v>
      </c>
      <c r="F602" s="995" t="str">
        <f>'7.15'!D580</f>
        <v>平层</v>
      </c>
      <c r="G602" s="197">
        <f t="shared" si="151"/>
        <v>1</v>
      </c>
      <c r="H602" s="995" t="str">
        <f>'7.15'!E580</f>
        <v>南北</v>
      </c>
      <c r="I602" s="197">
        <f t="shared" si="152"/>
        <v>1</v>
      </c>
      <c r="J602" s="995"/>
      <c r="K602" s="197">
        <f t="shared" si="153"/>
        <v>1</v>
      </c>
      <c r="L602" s="995"/>
      <c r="M602" s="197">
        <f t="shared" si="154"/>
        <v>1</v>
      </c>
      <c r="N602" s="995"/>
      <c r="O602" s="197">
        <f t="shared" si="155"/>
        <v>1</v>
      </c>
      <c r="P602" s="995"/>
      <c r="Q602" s="197">
        <f t="shared" si="156"/>
        <v>1</v>
      </c>
      <c r="R602" s="991">
        <f t="shared" ca="1" si="157"/>
        <v>16735</v>
      </c>
      <c r="S602" s="552">
        <f t="shared" ca="1" si="158"/>
        <v>1855744</v>
      </c>
      <c r="T602" s="2010">
        <f t="shared" ca="1" si="159"/>
        <v>186</v>
      </c>
      <c r="U602" s="2305">
        <f t="shared" si="160"/>
        <v>0</v>
      </c>
      <c r="V602" s="2305">
        <f t="shared" si="161"/>
        <v>0</v>
      </c>
      <c r="W602" s="2300"/>
      <c r="X602" s="2305">
        <f t="shared" si="162"/>
        <v>0</v>
      </c>
      <c r="Y602" s="2305">
        <f t="shared" si="163"/>
        <v>0</v>
      </c>
      <c r="Z602" s="2300"/>
    </row>
    <row r="603" spans="1:26">
      <c r="A603" s="292" t="str">
        <f>'7.15'!B581</f>
        <v>11幢2单元1401室</v>
      </c>
      <c r="B603" s="207">
        <f>'7.17'!G581</f>
        <v>110.89</v>
      </c>
      <c r="C603" s="197">
        <f t="shared" si="149"/>
        <v>1.01</v>
      </c>
      <c r="D603" s="995" t="s">
        <v>7609</v>
      </c>
      <c r="E603" s="197">
        <f t="shared" si="150"/>
        <v>1.04</v>
      </c>
      <c r="F603" s="995" t="str">
        <f>'7.15'!D581</f>
        <v>平层</v>
      </c>
      <c r="G603" s="197">
        <f t="shared" si="151"/>
        <v>1</v>
      </c>
      <c r="H603" s="995" t="str">
        <f>'7.15'!E581</f>
        <v>南北</v>
      </c>
      <c r="I603" s="197">
        <f t="shared" si="152"/>
        <v>1</v>
      </c>
      <c r="J603" s="995"/>
      <c r="K603" s="197">
        <f t="shared" si="153"/>
        <v>1</v>
      </c>
      <c r="L603" s="995"/>
      <c r="M603" s="197">
        <f t="shared" si="154"/>
        <v>1</v>
      </c>
      <c r="N603" s="995"/>
      <c r="O603" s="197">
        <f t="shared" si="155"/>
        <v>1</v>
      </c>
      <c r="P603" s="995"/>
      <c r="Q603" s="197">
        <f t="shared" si="156"/>
        <v>1</v>
      </c>
      <c r="R603" s="991">
        <f t="shared" ca="1" si="157"/>
        <v>16735</v>
      </c>
      <c r="S603" s="552">
        <f t="shared" ca="1" si="158"/>
        <v>1855744</v>
      </c>
      <c r="T603" s="2010">
        <f t="shared" ca="1" si="159"/>
        <v>186</v>
      </c>
      <c r="U603" s="2305">
        <f t="shared" si="160"/>
        <v>0</v>
      </c>
      <c r="V603" s="2305">
        <f t="shared" si="161"/>
        <v>0</v>
      </c>
      <c r="W603" s="2300"/>
      <c r="X603" s="2305">
        <f t="shared" si="162"/>
        <v>0</v>
      </c>
      <c r="Y603" s="2305">
        <f t="shared" si="163"/>
        <v>0</v>
      </c>
      <c r="Z603" s="2300"/>
    </row>
    <row r="604" spans="1:26">
      <c r="A604" s="292" t="str">
        <f>'7.15'!B582</f>
        <v>11幢2单元1501室</v>
      </c>
      <c r="B604" s="207">
        <f>'7.17'!G582</f>
        <v>110.89</v>
      </c>
      <c r="C604" s="197">
        <f t="shared" si="149"/>
        <v>1.01</v>
      </c>
      <c r="D604" s="995" t="s">
        <v>7609</v>
      </c>
      <c r="E604" s="197">
        <f t="shared" si="150"/>
        <v>1.04</v>
      </c>
      <c r="F604" s="995" t="str">
        <f>'7.15'!D582</f>
        <v>平层</v>
      </c>
      <c r="G604" s="197">
        <f t="shared" si="151"/>
        <v>1</v>
      </c>
      <c r="H604" s="995" t="str">
        <f>'7.15'!E582</f>
        <v>南北</v>
      </c>
      <c r="I604" s="197">
        <f t="shared" si="152"/>
        <v>1</v>
      </c>
      <c r="J604" s="995"/>
      <c r="K604" s="197">
        <f t="shared" si="153"/>
        <v>1</v>
      </c>
      <c r="L604" s="995"/>
      <c r="M604" s="197">
        <f t="shared" si="154"/>
        <v>1</v>
      </c>
      <c r="N604" s="995"/>
      <c r="O604" s="197">
        <f t="shared" si="155"/>
        <v>1</v>
      </c>
      <c r="P604" s="995"/>
      <c r="Q604" s="197">
        <f t="shared" si="156"/>
        <v>1</v>
      </c>
      <c r="R604" s="991">
        <f t="shared" ca="1" si="157"/>
        <v>16735</v>
      </c>
      <c r="S604" s="552">
        <f t="shared" ca="1" si="158"/>
        <v>1855744</v>
      </c>
      <c r="T604" s="2010">
        <f t="shared" ca="1" si="159"/>
        <v>186</v>
      </c>
      <c r="U604" s="2305">
        <f t="shared" si="160"/>
        <v>0</v>
      </c>
      <c r="V604" s="2305">
        <f t="shared" si="161"/>
        <v>0</v>
      </c>
      <c r="W604" s="2300"/>
      <c r="X604" s="2305">
        <f t="shared" si="162"/>
        <v>0</v>
      </c>
      <c r="Y604" s="2305">
        <f t="shared" si="163"/>
        <v>0</v>
      </c>
      <c r="Z604" s="2300"/>
    </row>
    <row r="605" spans="1:26">
      <c r="A605" s="292" t="str">
        <f>'7.15'!B583</f>
        <v>11幢2单元1601室</v>
      </c>
      <c r="B605" s="207">
        <f>'7.17'!G583</f>
        <v>110.89</v>
      </c>
      <c r="C605" s="197">
        <f t="shared" si="149"/>
        <v>1.01</v>
      </c>
      <c r="D605" s="995" t="s">
        <v>7609</v>
      </c>
      <c r="E605" s="197">
        <f t="shared" si="150"/>
        <v>1.04</v>
      </c>
      <c r="F605" s="995" t="str">
        <f>'7.15'!D583</f>
        <v>平层</v>
      </c>
      <c r="G605" s="197">
        <f t="shared" si="151"/>
        <v>1</v>
      </c>
      <c r="H605" s="995" t="str">
        <f>'7.15'!E583</f>
        <v>南北</v>
      </c>
      <c r="I605" s="197">
        <f t="shared" si="152"/>
        <v>1</v>
      </c>
      <c r="J605" s="995"/>
      <c r="K605" s="197">
        <f t="shared" si="153"/>
        <v>1</v>
      </c>
      <c r="L605" s="995"/>
      <c r="M605" s="197">
        <f t="shared" si="154"/>
        <v>1</v>
      </c>
      <c r="N605" s="995"/>
      <c r="O605" s="197">
        <f t="shared" si="155"/>
        <v>1</v>
      </c>
      <c r="P605" s="995"/>
      <c r="Q605" s="197">
        <f t="shared" si="156"/>
        <v>1</v>
      </c>
      <c r="R605" s="991">
        <f t="shared" ca="1" si="157"/>
        <v>16735</v>
      </c>
      <c r="S605" s="552">
        <f t="shared" ca="1" si="158"/>
        <v>1855744</v>
      </c>
      <c r="T605" s="2010">
        <f t="shared" ca="1" si="159"/>
        <v>186</v>
      </c>
      <c r="U605" s="2305">
        <f t="shared" si="160"/>
        <v>0</v>
      </c>
      <c r="V605" s="2305">
        <f t="shared" si="161"/>
        <v>0</v>
      </c>
      <c r="W605" s="2300"/>
      <c r="X605" s="2305">
        <f t="shared" si="162"/>
        <v>0</v>
      </c>
      <c r="Y605" s="2305">
        <f t="shared" si="163"/>
        <v>0</v>
      </c>
      <c r="Z605" s="2300"/>
    </row>
    <row r="606" spans="1:26">
      <c r="A606" s="292" t="str">
        <f>'7.15'!B584</f>
        <v>11幢2单元1701室</v>
      </c>
      <c r="B606" s="207">
        <f>'7.17'!G584</f>
        <v>110.89</v>
      </c>
      <c r="C606" s="197">
        <f t="shared" si="149"/>
        <v>1.01</v>
      </c>
      <c r="D606" s="995" t="s">
        <v>7609</v>
      </c>
      <c r="E606" s="197">
        <f t="shared" si="150"/>
        <v>1.04</v>
      </c>
      <c r="F606" s="995" t="str">
        <f>'7.15'!D584</f>
        <v>平层</v>
      </c>
      <c r="G606" s="197">
        <f t="shared" si="151"/>
        <v>1</v>
      </c>
      <c r="H606" s="995" t="str">
        <f>'7.15'!E584</f>
        <v>南北</v>
      </c>
      <c r="I606" s="197">
        <f t="shared" si="152"/>
        <v>1</v>
      </c>
      <c r="J606" s="995"/>
      <c r="K606" s="197">
        <f t="shared" si="153"/>
        <v>1</v>
      </c>
      <c r="L606" s="995"/>
      <c r="M606" s="197">
        <f t="shared" si="154"/>
        <v>1</v>
      </c>
      <c r="N606" s="995"/>
      <c r="O606" s="197">
        <f t="shared" si="155"/>
        <v>1</v>
      </c>
      <c r="P606" s="995"/>
      <c r="Q606" s="197">
        <f t="shared" si="156"/>
        <v>1</v>
      </c>
      <c r="R606" s="991">
        <f t="shared" ca="1" si="157"/>
        <v>16735</v>
      </c>
      <c r="S606" s="552">
        <f t="shared" ca="1" si="158"/>
        <v>1855744</v>
      </c>
      <c r="T606" s="2010">
        <f t="shared" ca="1" si="159"/>
        <v>186</v>
      </c>
      <c r="U606" s="2305">
        <f t="shared" si="160"/>
        <v>0</v>
      </c>
      <c r="V606" s="2305">
        <f t="shared" si="161"/>
        <v>0</v>
      </c>
      <c r="W606" s="2300"/>
      <c r="X606" s="2305">
        <f t="shared" si="162"/>
        <v>0</v>
      </c>
      <c r="Y606" s="2305">
        <f t="shared" si="163"/>
        <v>0</v>
      </c>
      <c r="Z606" s="2300"/>
    </row>
    <row r="607" spans="1:26">
      <c r="A607" s="292" t="str">
        <f>'7.15'!B585</f>
        <v>11幢2单元1801室</v>
      </c>
      <c r="B607" s="207">
        <f>'7.17'!G585</f>
        <v>110.89</v>
      </c>
      <c r="C607" s="197">
        <f t="shared" si="149"/>
        <v>1.01</v>
      </c>
      <c r="D607" s="995" t="s">
        <v>7609</v>
      </c>
      <c r="E607" s="197">
        <f t="shared" si="150"/>
        <v>1.04</v>
      </c>
      <c r="F607" s="995" t="str">
        <f>'7.15'!D585</f>
        <v>平层</v>
      </c>
      <c r="G607" s="197">
        <f t="shared" si="151"/>
        <v>1</v>
      </c>
      <c r="H607" s="995" t="str">
        <f>'7.15'!E585</f>
        <v>南北</v>
      </c>
      <c r="I607" s="197">
        <f t="shared" si="152"/>
        <v>1</v>
      </c>
      <c r="J607" s="995"/>
      <c r="K607" s="197">
        <f t="shared" si="153"/>
        <v>1</v>
      </c>
      <c r="L607" s="995"/>
      <c r="M607" s="197">
        <f t="shared" si="154"/>
        <v>1</v>
      </c>
      <c r="N607" s="995"/>
      <c r="O607" s="197">
        <f t="shared" si="155"/>
        <v>1</v>
      </c>
      <c r="P607" s="995"/>
      <c r="Q607" s="197">
        <f t="shared" si="156"/>
        <v>1</v>
      </c>
      <c r="R607" s="991">
        <f t="shared" ca="1" si="157"/>
        <v>16735</v>
      </c>
      <c r="S607" s="552">
        <f t="shared" ca="1" si="158"/>
        <v>1855744</v>
      </c>
      <c r="T607" s="2010">
        <f t="shared" ca="1" si="159"/>
        <v>186</v>
      </c>
      <c r="U607" s="2305">
        <f t="shared" si="160"/>
        <v>0</v>
      </c>
      <c r="V607" s="2305">
        <f t="shared" si="161"/>
        <v>0</v>
      </c>
      <c r="W607" s="2300"/>
      <c r="X607" s="2305">
        <f t="shared" si="162"/>
        <v>0</v>
      </c>
      <c r="Y607" s="2305">
        <f t="shared" si="163"/>
        <v>0</v>
      </c>
      <c r="Z607" s="2300"/>
    </row>
    <row r="608" spans="1:26">
      <c r="A608" s="292" t="str">
        <f>'7.15'!B586</f>
        <v>11幢2单元1901室</v>
      </c>
      <c r="B608" s="207">
        <f>'7.17'!G586</f>
        <v>110.89</v>
      </c>
      <c r="C608" s="197">
        <f t="shared" si="149"/>
        <v>1.01</v>
      </c>
      <c r="D608" s="995" t="s">
        <v>7609</v>
      </c>
      <c r="E608" s="197">
        <f t="shared" si="150"/>
        <v>1.04</v>
      </c>
      <c r="F608" s="995" t="str">
        <f>'7.15'!D586</f>
        <v>平层</v>
      </c>
      <c r="G608" s="197">
        <f t="shared" si="151"/>
        <v>1</v>
      </c>
      <c r="H608" s="995" t="str">
        <f>'7.15'!E586</f>
        <v>南北</v>
      </c>
      <c r="I608" s="197">
        <f t="shared" si="152"/>
        <v>1</v>
      </c>
      <c r="J608" s="995"/>
      <c r="K608" s="197">
        <f t="shared" si="153"/>
        <v>1</v>
      </c>
      <c r="L608" s="995"/>
      <c r="M608" s="197">
        <f t="shared" si="154"/>
        <v>1</v>
      </c>
      <c r="N608" s="995"/>
      <c r="O608" s="197">
        <f t="shared" si="155"/>
        <v>1</v>
      </c>
      <c r="P608" s="995"/>
      <c r="Q608" s="197">
        <f t="shared" si="156"/>
        <v>1</v>
      </c>
      <c r="R608" s="991">
        <f t="shared" ca="1" si="157"/>
        <v>16735</v>
      </c>
      <c r="S608" s="552">
        <f t="shared" ca="1" si="158"/>
        <v>1855744</v>
      </c>
      <c r="T608" s="2010">
        <f t="shared" ca="1" si="159"/>
        <v>186</v>
      </c>
      <c r="U608" s="2305">
        <f t="shared" si="160"/>
        <v>0</v>
      </c>
      <c r="V608" s="2305">
        <f t="shared" si="161"/>
        <v>0</v>
      </c>
      <c r="W608" s="2300"/>
      <c r="X608" s="2305">
        <f t="shared" si="162"/>
        <v>0</v>
      </c>
      <c r="Y608" s="2305">
        <f t="shared" si="163"/>
        <v>0</v>
      </c>
      <c r="Z608" s="2300"/>
    </row>
    <row r="609" spans="1:26">
      <c r="A609" s="292" t="str">
        <f>'7.15'!B587</f>
        <v>11幢2单元2001室</v>
      </c>
      <c r="B609" s="207">
        <f>'7.17'!G587</f>
        <v>110.89</v>
      </c>
      <c r="C609" s="197">
        <f t="shared" si="149"/>
        <v>1.01</v>
      </c>
      <c r="D609" s="995" t="s">
        <v>7609</v>
      </c>
      <c r="E609" s="197">
        <f t="shared" si="150"/>
        <v>1.04</v>
      </c>
      <c r="F609" s="995" t="str">
        <f>'7.15'!D587</f>
        <v>平层</v>
      </c>
      <c r="G609" s="197">
        <f t="shared" si="151"/>
        <v>1</v>
      </c>
      <c r="H609" s="995" t="str">
        <f>'7.15'!E587</f>
        <v>南北</v>
      </c>
      <c r="I609" s="197">
        <f t="shared" si="152"/>
        <v>1</v>
      </c>
      <c r="J609" s="995"/>
      <c r="K609" s="197">
        <f t="shared" si="153"/>
        <v>1</v>
      </c>
      <c r="L609" s="995"/>
      <c r="M609" s="197">
        <f t="shared" si="154"/>
        <v>1</v>
      </c>
      <c r="N609" s="995"/>
      <c r="O609" s="197">
        <f t="shared" si="155"/>
        <v>1</v>
      </c>
      <c r="P609" s="995"/>
      <c r="Q609" s="197">
        <f t="shared" si="156"/>
        <v>1</v>
      </c>
      <c r="R609" s="991">
        <f t="shared" ca="1" si="157"/>
        <v>16735</v>
      </c>
      <c r="S609" s="552">
        <f t="shared" ca="1" si="158"/>
        <v>1855744</v>
      </c>
      <c r="T609" s="2010">
        <f t="shared" ca="1" si="159"/>
        <v>186</v>
      </c>
      <c r="U609" s="2305">
        <f t="shared" si="160"/>
        <v>0</v>
      </c>
      <c r="V609" s="2305">
        <f t="shared" si="161"/>
        <v>0</v>
      </c>
      <c r="W609" s="2300"/>
      <c r="X609" s="2305">
        <f t="shared" si="162"/>
        <v>0</v>
      </c>
      <c r="Y609" s="2305">
        <f t="shared" si="163"/>
        <v>0</v>
      </c>
      <c r="Z609" s="2300"/>
    </row>
    <row r="610" spans="1:26">
      <c r="A610" s="292" t="str">
        <f>'7.15'!B588</f>
        <v>11幢2单元2101室</v>
      </c>
      <c r="B610" s="207">
        <f>'7.17'!G588</f>
        <v>110.89</v>
      </c>
      <c r="C610" s="197">
        <f t="shared" si="149"/>
        <v>1.01</v>
      </c>
      <c r="D610" s="995" t="s">
        <v>7608</v>
      </c>
      <c r="E610" s="197">
        <f t="shared" si="150"/>
        <v>1.02</v>
      </c>
      <c r="F610" s="995" t="str">
        <f>'7.15'!D588</f>
        <v>平层</v>
      </c>
      <c r="G610" s="197">
        <f t="shared" si="151"/>
        <v>1</v>
      </c>
      <c r="H610" s="995" t="str">
        <f>'7.15'!E588</f>
        <v>南北</v>
      </c>
      <c r="I610" s="197">
        <f t="shared" si="152"/>
        <v>1</v>
      </c>
      <c r="J610" s="995"/>
      <c r="K610" s="197">
        <f t="shared" si="153"/>
        <v>1</v>
      </c>
      <c r="L610" s="995"/>
      <c r="M610" s="197">
        <f t="shared" si="154"/>
        <v>1</v>
      </c>
      <c r="N610" s="995"/>
      <c r="O610" s="197">
        <f t="shared" si="155"/>
        <v>1</v>
      </c>
      <c r="P610" s="995"/>
      <c r="Q610" s="197">
        <f t="shared" si="156"/>
        <v>1</v>
      </c>
      <c r="R610" s="991">
        <f t="shared" ca="1" si="157"/>
        <v>16413</v>
      </c>
      <c r="S610" s="552">
        <f t="shared" ca="1" si="158"/>
        <v>1820038</v>
      </c>
      <c r="T610" s="2010">
        <f t="shared" ca="1" si="159"/>
        <v>182</v>
      </c>
      <c r="U610" s="2305">
        <f t="shared" si="160"/>
        <v>0</v>
      </c>
      <c r="V610" s="2305">
        <f t="shared" si="161"/>
        <v>0</v>
      </c>
      <c r="W610" s="2300"/>
      <c r="X610" s="2305">
        <f t="shared" si="162"/>
        <v>0</v>
      </c>
      <c r="Y610" s="2305">
        <f t="shared" si="163"/>
        <v>0</v>
      </c>
      <c r="Z610" s="2300"/>
    </row>
    <row r="611" spans="1:26">
      <c r="A611" s="292" t="str">
        <f>'7.15'!B589</f>
        <v>11幢2单元2201室</v>
      </c>
      <c r="B611" s="207">
        <f>'7.17'!G589</f>
        <v>110.89</v>
      </c>
      <c r="C611" s="197">
        <f t="shared" si="149"/>
        <v>1.01</v>
      </c>
      <c r="D611" s="995" t="s">
        <v>7608</v>
      </c>
      <c r="E611" s="197">
        <f t="shared" si="150"/>
        <v>1.02</v>
      </c>
      <c r="F611" s="995" t="str">
        <f>'7.15'!D589</f>
        <v>平层</v>
      </c>
      <c r="G611" s="197">
        <f t="shared" si="151"/>
        <v>1</v>
      </c>
      <c r="H611" s="995" t="str">
        <f>'7.15'!E589</f>
        <v>南北</v>
      </c>
      <c r="I611" s="197">
        <f t="shared" si="152"/>
        <v>1</v>
      </c>
      <c r="J611" s="995"/>
      <c r="K611" s="197">
        <f t="shared" si="153"/>
        <v>1</v>
      </c>
      <c r="L611" s="995"/>
      <c r="M611" s="197">
        <f t="shared" si="154"/>
        <v>1</v>
      </c>
      <c r="N611" s="995"/>
      <c r="O611" s="197">
        <f t="shared" si="155"/>
        <v>1</v>
      </c>
      <c r="P611" s="995"/>
      <c r="Q611" s="197">
        <f t="shared" si="156"/>
        <v>1</v>
      </c>
      <c r="R611" s="991">
        <f t="shared" ca="1" si="157"/>
        <v>16413</v>
      </c>
      <c r="S611" s="552">
        <f t="shared" ca="1" si="158"/>
        <v>1820038</v>
      </c>
      <c r="T611" s="2010">
        <f t="shared" ca="1" si="159"/>
        <v>182</v>
      </c>
      <c r="U611" s="2305">
        <f t="shared" si="160"/>
        <v>0</v>
      </c>
      <c r="V611" s="2305">
        <f t="shared" si="161"/>
        <v>0</v>
      </c>
      <c r="W611" s="2300"/>
      <c r="X611" s="2305">
        <f t="shared" si="162"/>
        <v>0</v>
      </c>
      <c r="Y611" s="2305">
        <f t="shared" si="163"/>
        <v>0</v>
      </c>
      <c r="Z611" s="2300"/>
    </row>
    <row r="612" spans="1:26">
      <c r="A612" s="292" t="str">
        <f>'7.15'!B590</f>
        <v>11幢2单元2301室</v>
      </c>
      <c r="B612" s="207">
        <f>'7.17'!G590</f>
        <v>110.89</v>
      </c>
      <c r="C612" s="197">
        <f t="shared" si="149"/>
        <v>1.01</v>
      </c>
      <c r="D612" s="995" t="s">
        <v>7608</v>
      </c>
      <c r="E612" s="197">
        <f t="shared" si="150"/>
        <v>1.02</v>
      </c>
      <c r="F612" s="995" t="str">
        <f>'7.15'!D590</f>
        <v>平层</v>
      </c>
      <c r="G612" s="197">
        <f t="shared" si="151"/>
        <v>1</v>
      </c>
      <c r="H612" s="995" t="str">
        <f>'7.15'!E590</f>
        <v>南北</v>
      </c>
      <c r="I612" s="197">
        <f t="shared" si="152"/>
        <v>1</v>
      </c>
      <c r="J612" s="995"/>
      <c r="K612" s="197">
        <f t="shared" si="153"/>
        <v>1</v>
      </c>
      <c r="L612" s="995"/>
      <c r="M612" s="197">
        <f t="shared" si="154"/>
        <v>1</v>
      </c>
      <c r="N612" s="995"/>
      <c r="O612" s="197">
        <f t="shared" si="155"/>
        <v>1</v>
      </c>
      <c r="P612" s="995"/>
      <c r="Q612" s="197">
        <f t="shared" si="156"/>
        <v>1</v>
      </c>
      <c r="R612" s="991">
        <f t="shared" ca="1" si="157"/>
        <v>16413</v>
      </c>
      <c r="S612" s="552">
        <f t="shared" ca="1" si="158"/>
        <v>1820038</v>
      </c>
      <c r="T612" s="2010">
        <f t="shared" ca="1" si="159"/>
        <v>182</v>
      </c>
      <c r="U612" s="2305">
        <f t="shared" si="160"/>
        <v>0</v>
      </c>
      <c r="V612" s="2305">
        <f t="shared" si="161"/>
        <v>0</v>
      </c>
      <c r="W612" s="2300"/>
      <c r="X612" s="2305">
        <f t="shared" si="162"/>
        <v>0</v>
      </c>
      <c r="Y612" s="2305">
        <f t="shared" si="163"/>
        <v>0</v>
      </c>
      <c r="Z612" s="2300"/>
    </row>
    <row r="613" spans="1:26">
      <c r="A613" s="292" t="str">
        <f>'7.15'!B591</f>
        <v>11幢2单元2401室</v>
      </c>
      <c r="B613" s="207">
        <f>'7.17'!G591</f>
        <v>110.89</v>
      </c>
      <c r="C613" s="197">
        <f t="shared" si="149"/>
        <v>1.01</v>
      </c>
      <c r="D613" s="995" t="s">
        <v>7608</v>
      </c>
      <c r="E613" s="197">
        <f t="shared" si="150"/>
        <v>1.02</v>
      </c>
      <c r="F613" s="995" t="str">
        <f>'7.15'!D591</f>
        <v>平层</v>
      </c>
      <c r="G613" s="197">
        <f t="shared" si="151"/>
        <v>1</v>
      </c>
      <c r="H613" s="995" t="str">
        <f>'7.15'!E591</f>
        <v>南北</v>
      </c>
      <c r="I613" s="197">
        <f t="shared" si="152"/>
        <v>1</v>
      </c>
      <c r="J613" s="995"/>
      <c r="K613" s="197">
        <f t="shared" si="153"/>
        <v>1</v>
      </c>
      <c r="L613" s="995"/>
      <c r="M613" s="197">
        <f t="shared" si="154"/>
        <v>1</v>
      </c>
      <c r="N613" s="995"/>
      <c r="O613" s="197">
        <f t="shared" si="155"/>
        <v>1</v>
      </c>
      <c r="P613" s="995"/>
      <c r="Q613" s="197">
        <f t="shared" si="156"/>
        <v>1</v>
      </c>
      <c r="R613" s="991">
        <f t="shared" ca="1" si="157"/>
        <v>16413</v>
      </c>
      <c r="S613" s="552">
        <f t="shared" ca="1" si="158"/>
        <v>1820038</v>
      </c>
      <c r="T613" s="2010">
        <f t="shared" ca="1" si="159"/>
        <v>182</v>
      </c>
      <c r="U613" s="2305">
        <f t="shared" si="160"/>
        <v>0</v>
      </c>
      <c r="V613" s="2305">
        <f t="shared" si="161"/>
        <v>0</v>
      </c>
      <c r="W613" s="2300"/>
      <c r="X613" s="2305">
        <f t="shared" si="162"/>
        <v>0</v>
      </c>
      <c r="Y613" s="2305">
        <f t="shared" si="163"/>
        <v>0</v>
      </c>
      <c r="Z613" s="2300"/>
    </row>
    <row r="614" spans="1:26">
      <c r="A614" s="292" t="str">
        <f>'7.15'!B592</f>
        <v>11幢2单元2501室</v>
      </c>
      <c r="B614" s="207">
        <f>'7.17'!G592</f>
        <v>110.89</v>
      </c>
      <c r="C614" s="197">
        <f t="shared" si="149"/>
        <v>1.01</v>
      </c>
      <c r="D614" s="995" t="s">
        <v>7608</v>
      </c>
      <c r="E614" s="197">
        <f t="shared" si="150"/>
        <v>1.02</v>
      </c>
      <c r="F614" s="995" t="str">
        <f>'7.15'!D592</f>
        <v>平层</v>
      </c>
      <c r="G614" s="197">
        <f t="shared" si="151"/>
        <v>1</v>
      </c>
      <c r="H614" s="995" t="str">
        <f>'7.15'!E592</f>
        <v>南北</v>
      </c>
      <c r="I614" s="197">
        <f t="shared" si="152"/>
        <v>1</v>
      </c>
      <c r="J614" s="995"/>
      <c r="K614" s="197">
        <f t="shared" si="153"/>
        <v>1</v>
      </c>
      <c r="L614" s="995"/>
      <c r="M614" s="197">
        <f t="shared" si="154"/>
        <v>1</v>
      </c>
      <c r="N614" s="995"/>
      <c r="O614" s="197">
        <f t="shared" si="155"/>
        <v>1</v>
      </c>
      <c r="P614" s="995"/>
      <c r="Q614" s="197">
        <f t="shared" si="156"/>
        <v>1</v>
      </c>
      <c r="R614" s="991">
        <f t="shared" ca="1" si="157"/>
        <v>16413</v>
      </c>
      <c r="S614" s="552">
        <f t="shared" ca="1" si="158"/>
        <v>1820038</v>
      </c>
      <c r="T614" s="2010">
        <f t="shared" ca="1" si="159"/>
        <v>182</v>
      </c>
      <c r="U614" s="2305">
        <f t="shared" si="160"/>
        <v>0</v>
      </c>
      <c r="V614" s="2305">
        <f t="shared" si="161"/>
        <v>0</v>
      </c>
      <c r="W614" s="2300"/>
      <c r="X614" s="2305">
        <f t="shared" si="162"/>
        <v>0</v>
      </c>
      <c r="Y614" s="2305">
        <f t="shared" si="163"/>
        <v>0</v>
      </c>
      <c r="Z614" s="2300"/>
    </row>
    <row r="615" spans="1:26">
      <c r="A615" s="292" t="str">
        <f>'7.15'!B593</f>
        <v>11幢2单元2601室</v>
      </c>
      <c r="B615" s="207">
        <f>'7.17'!G593</f>
        <v>110.89</v>
      </c>
      <c r="C615" s="197">
        <f t="shared" si="149"/>
        <v>1.01</v>
      </c>
      <c r="D615" s="995" t="s">
        <v>7608</v>
      </c>
      <c r="E615" s="197">
        <f t="shared" si="150"/>
        <v>1.02</v>
      </c>
      <c r="F615" s="995" t="str">
        <f>'7.15'!D593</f>
        <v>平层</v>
      </c>
      <c r="G615" s="197">
        <f t="shared" si="151"/>
        <v>1</v>
      </c>
      <c r="H615" s="995" t="str">
        <f>'7.15'!E593</f>
        <v>南北</v>
      </c>
      <c r="I615" s="197">
        <f t="shared" si="152"/>
        <v>1</v>
      </c>
      <c r="J615" s="995"/>
      <c r="K615" s="197">
        <f t="shared" si="153"/>
        <v>1</v>
      </c>
      <c r="L615" s="995"/>
      <c r="M615" s="197">
        <f t="shared" si="154"/>
        <v>1</v>
      </c>
      <c r="N615" s="995"/>
      <c r="O615" s="197">
        <f t="shared" si="155"/>
        <v>1</v>
      </c>
      <c r="P615" s="995"/>
      <c r="Q615" s="197">
        <f t="shared" si="156"/>
        <v>1</v>
      </c>
      <c r="R615" s="991">
        <f t="shared" ca="1" si="157"/>
        <v>16413</v>
      </c>
      <c r="S615" s="552">
        <f t="shared" ca="1" si="158"/>
        <v>1820038</v>
      </c>
      <c r="T615" s="2010">
        <f t="shared" ca="1" si="159"/>
        <v>182</v>
      </c>
      <c r="U615" s="2305">
        <f t="shared" si="160"/>
        <v>0</v>
      </c>
      <c r="V615" s="2305">
        <f t="shared" si="161"/>
        <v>0</v>
      </c>
      <c r="W615" s="2300"/>
      <c r="X615" s="2305">
        <f t="shared" si="162"/>
        <v>0</v>
      </c>
      <c r="Y615" s="2305">
        <f t="shared" si="163"/>
        <v>0</v>
      </c>
      <c r="Z615" s="2300"/>
    </row>
    <row r="616" spans="1:26">
      <c r="A616" s="292" t="str">
        <f>'7.15'!B594</f>
        <v>11幢2单元2701室</v>
      </c>
      <c r="B616" s="207">
        <f>'7.17'!G594</f>
        <v>110.89</v>
      </c>
      <c r="C616" s="197">
        <f t="shared" si="149"/>
        <v>1.01</v>
      </c>
      <c r="D616" s="995" t="s">
        <v>7608</v>
      </c>
      <c r="E616" s="197">
        <f t="shared" si="150"/>
        <v>1.02</v>
      </c>
      <c r="F616" s="995" t="str">
        <f>'7.15'!D594</f>
        <v>平层</v>
      </c>
      <c r="G616" s="197">
        <f t="shared" si="151"/>
        <v>1</v>
      </c>
      <c r="H616" s="995" t="str">
        <f>'7.15'!E594</f>
        <v>南北</v>
      </c>
      <c r="I616" s="197">
        <f t="shared" si="152"/>
        <v>1</v>
      </c>
      <c r="J616" s="995"/>
      <c r="K616" s="197">
        <f t="shared" si="153"/>
        <v>1</v>
      </c>
      <c r="L616" s="995"/>
      <c r="M616" s="197">
        <f t="shared" si="154"/>
        <v>1</v>
      </c>
      <c r="N616" s="995"/>
      <c r="O616" s="197">
        <f t="shared" si="155"/>
        <v>1</v>
      </c>
      <c r="P616" s="995"/>
      <c r="Q616" s="197">
        <f t="shared" si="156"/>
        <v>1</v>
      </c>
      <c r="R616" s="991">
        <f t="shared" ca="1" si="157"/>
        <v>16413</v>
      </c>
      <c r="S616" s="552">
        <f t="shared" ca="1" si="158"/>
        <v>1820038</v>
      </c>
      <c r="T616" s="2010">
        <f t="shared" ca="1" si="159"/>
        <v>182</v>
      </c>
      <c r="U616" s="2305">
        <f t="shared" si="160"/>
        <v>0</v>
      </c>
      <c r="V616" s="2305">
        <f t="shared" si="161"/>
        <v>0</v>
      </c>
      <c r="W616" s="2300"/>
      <c r="X616" s="2305">
        <f t="shared" si="162"/>
        <v>0</v>
      </c>
      <c r="Y616" s="2305">
        <f t="shared" si="163"/>
        <v>0</v>
      </c>
      <c r="Z616" s="2300"/>
    </row>
    <row r="617" spans="1:26">
      <c r="A617" s="292" t="str">
        <f>'7.15'!B595</f>
        <v>11幢2单元2801室</v>
      </c>
      <c r="B617" s="207">
        <f>'7.17'!G595</f>
        <v>110.89</v>
      </c>
      <c r="C617" s="197">
        <f t="shared" si="149"/>
        <v>1.01</v>
      </c>
      <c r="D617" s="995" t="s">
        <v>7608</v>
      </c>
      <c r="E617" s="197">
        <f t="shared" si="150"/>
        <v>1.02</v>
      </c>
      <c r="F617" s="995" t="str">
        <f>'7.15'!D595</f>
        <v>平层</v>
      </c>
      <c r="G617" s="197">
        <f t="shared" si="151"/>
        <v>1</v>
      </c>
      <c r="H617" s="995" t="str">
        <f>'7.15'!E595</f>
        <v>南北</v>
      </c>
      <c r="I617" s="197">
        <f t="shared" si="152"/>
        <v>1</v>
      </c>
      <c r="J617" s="995"/>
      <c r="K617" s="197">
        <f t="shared" si="153"/>
        <v>1</v>
      </c>
      <c r="L617" s="995"/>
      <c r="M617" s="197">
        <f t="shared" si="154"/>
        <v>1</v>
      </c>
      <c r="N617" s="995"/>
      <c r="O617" s="197">
        <f t="shared" si="155"/>
        <v>1</v>
      </c>
      <c r="P617" s="995"/>
      <c r="Q617" s="197">
        <f t="shared" si="156"/>
        <v>1</v>
      </c>
      <c r="R617" s="991">
        <f t="shared" ca="1" si="157"/>
        <v>16413</v>
      </c>
      <c r="S617" s="552">
        <f t="shared" ca="1" si="158"/>
        <v>1820038</v>
      </c>
      <c r="T617" s="2010">
        <f t="shared" ca="1" si="159"/>
        <v>182</v>
      </c>
      <c r="U617" s="2305">
        <f t="shared" si="160"/>
        <v>0</v>
      </c>
      <c r="V617" s="2305">
        <f t="shared" si="161"/>
        <v>0</v>
      </c>
      <c r="W617" s="2300"/>
      <c r="X617" s="2305">
        <f t="shared" si="162"/>
        <v>0</v>
      </c>
      <c r="Y617" s="2305">
        <f t="shared" si="163"/>
        <v>0</v>
      </c>
      <c r="Z617" s="2300"/>
    </row>
    <row r="618" spans="1:26">
      <c r="A618" s="292" t="str">
        <f>'7.15'!B596</f>
        <v>11幢2单元2901室</v>
      </c>
      <c r="B618" s="207">
        <f>'7.17'!G596</f>
        <v>110.89</v>
      </c>
      <c r="C618" s="197">
        <f t="shared" si="149"/>
        <v>1.01</v>
      </c>
      <c r="D618" s="995" t="s">
        <v>7608</v>
      </c>
      <c r="E618" s="197">
        <f t="shared" si="150"/>
        <v>1.02</v>
      </c>
      <c r="F618" s="995" t="str">
        <f>'7.15'!D596</f>
        <v>平层</v>
      </c>
      <c r="G618" s="197">
        <f t="shared" si="151"/>
        <v>1</v>
      </c>
      <c r="H618" s="995" t="str">
        <f>'7.15'!E596</f>
        <v>南北</v>
      </c>
      <c r="I618" s="197">
        <f t="shared" si="152"/>
        <v>1</v>
      </c>
      <c r="J618" s="995"/>
      <c r="K618" s="197">
        <f t="shared" si="153"/>
        <v>1</v>
      </c>
      <c r="L618" s="995"/>
      <c r="M618" s="197">
        <f t="shared" si="154"/>
        <v>1</v>
      </c>
      <c r="N618" s="995"/>
      <c r="O618" s="197">
        <f t="shared" si="155"/>
        <v>1</v>
      </c>
      <c r="P618" s="995"/>
      <c r="Q618" s="197">
        <f t="shared" si="156"/>
        <v>1</v>
      </c>
      <c r="R618" s="991">
        <f t="shared" ca="1" si="157"/>
        <v>16413</v>
      </c>
      <c r="S618" s="552">
        <f t="shared" ca="1" si="158"/>
        <v>1820038</v>
      </c>
      <c r="T618" s="2010">
        <f t="shared" ca="1" si="159"/>
        <v>182</v>
      </c>
      <c r="U618" s="2305">
        <f t="shared" si="160"/>
        <v>0</v>
      </c>
      <c r="V618" s="2305">
        <f t="shared" si="161"/>
        <v>0</v>
      </c>
      <c r="W618" s="2300"/>
      <c r="X618" s="2305">
        <f t="shared" si="162"/>
        <v>0</v>
      </c>
      <c r="Y618" s="2305">
        <f t="shared" si="163"/>
        <v>0</v>
      </c>
      <c r="Z618" s="2300"/>
    </row>
    <row r="619" spans="1:26">
      <c r="A619" s="292" t="str">
        <f>'7.15'!B597</f>
        <v>11幢2单元204室</v>
      </c>
      <c r="B619" s="207">
        <f>'7.17'!G597</f>
        <v>110.89</v>
      </c>
      <c r="C619" s="197">
        <f t="shared" si="149"/>
        <v>1.01</v>
      </c>
      <c r="D619" s="995" t="s">
        <v>7606</v>
      </c>
      <c r="E619" s="197">
        <f t="shared" si="150"/>
        <v>1</v>
      </c>
      <c r="F619" s="995" t="str">
        <f>'7.15'!D597</f>
        <v>平层</v>
      </c>
      <c r="G619" s="197">
        <f t="shared" si="151"/>
        <v>1</v>
      </c>
      <c r="H619" s="995" t="str">
        <f>'7.15'!E597</f>
        <v>南北</v>
      </c>
      <c r="I619" s="197">
        <f t="shared" si="152"/>
        <v>1</v>
      </c>
      <c r="J619" s="995"/>
      <c r="K619" s="197">
        <f t="shared" si="153"/>
        <v>1</v>
      </c>
      <c r="L619" s="995"/>
      <c r="M619" s="197">
        <f t="shared" si="154"/>
        <v>1</v>
      </c>
      <c r="N619" s="995"/>
      <c r="O619" s="197">
        <f t="shared" si="155"/>
        <v>1</v>
      </c>
      <c r="P619" s="995"/>
      <c r="Q619" s="197">
        <f t="shared" si="156"/>
        <v>1</v>
      </c>
      <c r="R619" s="991">
        <f t="shared" ca="1" si="157"/>
        <v>16091</v>
      </c>
      <c r="S619" s="552">
        <f t="shared" ca="1" si="158"/>
        <v>1784331</v>
      </c>
      <c r="T619" s="2010">
        <f t="shared" ca="1" si="159"/>
        <v>178</v>
      </c>
      <c r="U619" s="2305">
        <f t="shared" si="160"/>
        <v>0</v>
      </c>
      <c r="V619" s="2305">
        <f t="shared" si="161"/>
        <v>0</v>
      </c>
      <c r="W619" s="2300"/>
      <c r="X619" s="2305">
        <f t="shared" si="162"/>
        <v>0</v>
      </c>
      <c r="Y619" s="2305">
        <f t="shared" si="163"/>
        <v>0</v>
      </c>
      <c r="Z619" s="2300"/>
    </row>
    <row r="620" spans="1:26">
      <c r="A620" s="292" t="str">
        <f>'7.15'!B598</f>
        <v>11幢2单元304室</v>
      </c>
      <c r="B620" s="207">
        <f>'7.17'!G598</f>
        <v>110.89</v>
      </c>
      <c r="C620" s="197">
        <f t="shared" si="149"/>
        <v>1.01</v>
      </c>
      <c r="D620" s="995" t="s">
        <v>7606</v>
      </c>
      <c r="E620" s="197">
        <f t="shared" si="150"/>
        <v>1</v>
      </c>
      <c r="F620" s="995" t="str">
        <f>'7.15'!D598</f>
        <v>平层</v>
      </c>
      <c r="G620" s="197">
        <f t="shared" si="151"/>
        <v>1</v>
      </c>
      <c r="H620" s="995" t="str">
        <f>'7.15'!E598</f>
        <v>南北</v>
      </c>
      <c r="I620" s="197">
        <f t="shared" si="152"/>
        <v>1</v>
      </c>
      <c r="J620" s="995"/>
      <c r="K620" s="197">
        <f t="shared" si="153"/>
        <v>1</v>
      </c>
      <c r="L620" s="995"/>
      <c r="M620" s="197">
        <f t="shared" si="154"/>
        <v>1</v>
      </c>
      <c r="N620" s="995"/>
      <c r="O620" s="197">
        <f t="shared" si="155"/>
        <v>1</v>
      </c>
      <c r="P620" s="995"/>
      <c r="Q620" s="197">
        <f t="shared" si="156"/>
        <v>1</v>
      </c>
      <c r="R620" s="991">
        <f t="shared" ca="1" si="157"/>
        <v>16091</v>
      </c>
      <c r="S620" s="552">
        <f t="shared" ca="1" si="158"/>
        <v>1784331</v>
      </c>
      <c r="T620" s="2010">
        <f t="shared" ca="1" si="159"/>
        <v>178</v>
      </c>
      <c r="U620" s="2305">
        <f t="shared" si="160"/>
        <v>0</v>
      </c>
      <c r="V620" s="2305">
        <f t="shared" si="161"/>
        <v>0</v>
      </c>
      <c r="W620" s="2300"/>
      <c r="X620" s="2305">
        <f t="shared" si="162"/>
        <v>0</v>
      </c>
      <c r="Y620" s="2305">
        <f t="shared" si="163"/>
        <v>0</v>
      </c>
      <c r="Z620" s="2300"/>
    </row>
    <row r="621" spans="1:26">
      <c r="A621" s="292" t="str">
        <f>'7.15'!B599</f>
        <v>11幢2单元404室</v>
      </c>
      <c r="B621" s="207">
        <f>'7.17'!G599</f>
        <v>110.89</v>
      </c>
      <c r="C621" s="197">
        <f t="shared" si="149"/>
        <v>1.01</v>
      </c>
      <c r="D621" s="995" t="s">
        <v>7606</v>
      </c>
      <c r="E621" s="197">
        <f t="shared" si="150"/>
        <v>1</v>
      </c>
      <c r="F621" s="995" t="str">
        <f>'7.15'!D599</f>
        <v>平层</v>
      </c>
      <c r="G621" s="197">
        <f t="shared" si="151"/>
        <v>1</v>
      </c>
      <c r="H621" s="995" t="str">
        <f>'7.15'!E599</f>
        <v>南北</v>
      </c>
      <c r="I621" s="197">
        <f t="shared" si="152"/>
        <v>1</v>
      </c>
      <c r="J621" s="995"/>
      <c r="K621" s="197">
        <f t="shared" si="153"/>
        <v>1</v>
      </c>
      <c r="L621" s="995"/>
      <c r="M621" s="197">
        <f t="shared" si="154"/>
        <v>1</v>
      </c>
      <c r="N621" s="995"/>
      <c r="O621" s="197">
        <f t="shared" si="155"/>
        <v>1</v>
      </c>
      <c r="P621" s="995"/>
      <c r="Q621" s="197">
        <f t="shared" si="156"/>
        <v>1</v>
      </c>
      <c r="R621" s="991">
        <f t="shared" ca="1" si="157"/>
        <v>16091</v>
      </c>
      <c r="S621" s="552">
        <f t="shared" ca="1" si="158"/>
        <v>1784331</v>
      </c>
      <c r="T621" s="2010">
        <f t="shared" ca="1" si="159"/>
        <v>178</v>
      </c>
      <c r="U621" s="2305">
        <f t="shared" si="160"/>
        <v>0</v>
      </c>
      <c r="V621" s="2305">
        <f t="shared" si="161"/>
        <v>0</v>
      </c>
      <c r="W621" s="2300"/>
      <c r="X621" s="2305">
        <f t="shared" si="162"/>
        <v>0</v>
      </c>
      <c r="Y621" s="2305">
        <f t="shared" si="163"/>
        <v>0</v>
      </c>
      <c r="Z621" s="2300"/>
    </row>
    <row r="622" spans="1:26">
      <c r="A622" s="292" t="str">
        <f>'7.15'!B600</f>
        <v>11幢2单元504室</v>
      </c>
      <c r="B622" s="207">
        <f>'7.17'!G600</f>
        <v>110.89</v>
      </c>
      <c r="C622" s="197">
        <f t="shared" si="149"/>
        <v>1.01</v>
      </c>
      <c r="D622" s="995" t="s">
        <v>7606</v>
      </c>
      <c r="E622" s="197">
        <f t="shared" si="150"/>
        <v>1</v>
      </c>
      <c r="F622" s="995" t="str">
        <f>'7.15'!D600</f>
        <v>平层</v>
      </c>
      <c r="G622" s="197">
        <f t="shared" si="151"/>
        <v>1</v>
      </c>
      <c r="H622" s="995" t="str">
        <f>'7.15'!E600</f>
        <v>南北</v>
      </c>
      <c r="I622" s="197">
        <f t="shared" si="152"/>
        <v>1</v>
      </c>
      <c r="J622" s="995"/>
      <c r="K622" s="197">
        <f t="shared" si="153"/>
        <v>1</v>
      </c>
      <c r="L622" s="995"/>
      <c r="M622" s="197">
        <f t="shared" si="154"/>
        <v>1</v>
      </c>
      <c r="N622" s="995"/>
      <c r="O622" s="197">
        <f t="shared" si="155"/>
        <v>1</v>
      </c>
      <c r="P622" s="995"/>
      <c r="Q622" s="197">
        <f t="shared" si="156"/>
        <v>1</v>
      </c>
      <c r="R622" s="991">
        <f t="shared" ca="1" si="157"/>
        <v>16091</v>
      </c>
      <c r="S622" s="552">
        <f t="shared" ca="1" si="158"/>
        <v>1784331</v>
      </c>
      <c r="T622" s="2010">
        <f t="shared" ca="1" si="159"/>
        <v>178</v>
      </c>
      <c r="U622" s="2305">
        <f t="shared" si="160"/>
        <v>0</v>
      </c>
      <c r="V622" s="2305">
        <f t="shared" si="161"/>
        <v>0</v>
      </c>
      <c r="W622" s="2300"/>
      <c r="X622" s="2305">
        <f t="shared" si="162"/>
        <v>0</v>
      </c>
      <c r="Y622" s="2305">
        <f t="shared" si="163"/>
        <v>0</v>
      </c>
      <c r="Z622" s="2300"/>
    </row>
    <row r="623" spans="1:26">
      <c r="A623" s="292" t="str">
        <f>'7.15'!B601</f>
        <v>11幢2单元604室</v>
      </c>
      <c r="B623" s="207">
        <f>'7.17'!G601</f>
        <v>110.89</v>
      </c>
      <c r="C623" s="197">
        <f t="shared" si="149"/>
        <v>1.01</v>
      </c>
      <c r="D623" s="995" t="s">
        <v>7606</v>
      </c>
      <c r="E623" s="197">
        <f t="shared" si="150"/>
        <v>1</v>
      </c>
      <c r="F623" s="995" t="str">
        <f>'7.15'!D601</f>
        <v>平层</v>
      </c>
      <c r="G623" s="197">
        <f t="shared" si="151"/>
        <v>1</v>
      </c>
      <c r="H623" s="995" t="str">
        <f>'7.15'!E601</f>
        <v>南北</v>
      </c>
      <c r="I623" s="197">
        <f t="shared" si="152"/>
        <v>1</v>
      </c>
      <c r="J623" s="995"/>
      <c r="K623" s="197">
        <f t="shared" si="153"/>
        <v>1</v>
      </c>
      <c r="L623" s="995"/>
      <c r="M623" s="197">
        <f t="shared" si="154"/>
        <v>1</v>
      </c>
      <c r="N623" s="995"/>
      <c r="O623" s="197">
        <f t="shared" si="155"/>
        <v>1</v>
      </c>
      <c r="P623" s="995"/>
      <c r="Q623" s="197">
        <f t="shared" si="156"/>
        <v>1</v>
      </c>
      <c r="R623" s="991">
        <f t="shared" ca="1" si="157"/>
        <v>16091</v>
      </c>
      <c r="S623" s="552">
        <f t="shared" ca="1" si="158"/>
        <v>1784331</v>
      </c>
      <c r="T623" s="2010">
        <f t="shared" ca="1" si="159"/>
        <v>178</v>
      </c>
      <c r="U623" s="2305">
        <f t="shared" si="160"/>
        <v>0</v>
      </c>
      <c r="V623" s="2305">
        <f t="shared" si="161"/>
        <v>0</v>
      </c>
      <c r="W623" s="2300"/>
      <c r="X623" s="2305">
        <f t="shared" si="162"/>
        <v>0</v>
      </c>
      <c r="Y623" s="2305">
        <f t="shared" si="163"/>
        <v>0</v>
      </c>
      <c r="Z623" s="2300"/>
    </row>
    <row r="624" spans="1:26">
      <c r="A624" s="292" t="str">
        <f>'7.15'!B602</f>
        <v>11幢2单元704室</v>
      </c>
      <c r="B624" s="207">
        <f>'7.17'!G602</f>
        <v>110.89</v>
      </c>
      <c r="C624" s="197">
        <f t="shared" si="149"/>
        <v>1.01</v>
      </c>
      <c r="D624" s="995" t="s">
        <v>7606</v>
      </c>
      <c r="E624" s="197">
        <f t="shared" si="150"/>
        <v>1</v>
      </c>
      <c r="F624" s="995" t="str">
        <f>'7.15'!D602</f>
        <v>平层</v>
      </c>
      <c r="G624" s="197">
        <f t="shared" si="151"/>
        <v>1</v>
      </c>
      <c r="H624" s="995" t="str">
        <f>'7.15'!E602</f>
        <v>南北</v>
      </c>
      <c r="I624" s="197">
        <f t="shared" si="152"/>
        <v>1</v>
      </c>
      <c r="J624" s="995"/>
      <c r="K624" s="197">
        <f t="shared" si="153"/>
        <v>1</v>
      </c>
      <c r="L624" s="995"/>
      <c r="M624" s="197">
        <f t="shared" si="154"/>
        <v>1</v>
      </c>
      <c r="N624" s="995"/>
      <c r="O624" s="197">
        <f t="shared" si="155"/>
        <v>1</v>
      </c>
      <c r="P624" s="995"/>
      <c r="Q624" s="197">
        <f t="shared" si="156"/>
        <v>1</v>
      </c>
      <c r="R624" s="991">
        <f t="shared" ca="1" si="157"/>
        <v>16091</v>
      </c>
      <c r="S624" s="552">
        <f t="shared" ca="1" si="158"/>
        <v>1784331</v>
      </c>
      <c r="T624" s="2010">
        <f t="shared" ca="1" si="159"/>
        <v>178</v>
      </c>
      <c r="U624" s="2305">
        <f t="shared" si="160"/>
        <v>0</v>
      </c>
      <c r="V624" s="2305">
        <f t="shared" si="161"/>
        <v>0</v>
      </c>
      <c r="W624" s="2300"/>
      <c r="X624" s="2305">
        <f t="shared" si="162"/>
        <v>0</v>
      </c>
      <c r="Y624" s="2305">
        <f t="shared" si="163"/>
        <v>0</v>
      </c>
      <c r="Z624" s="2300"/>
    </row>
    <row r="625" spans="1:26">
      <c r="A625" s="292" t="str">
        <f>'7.15'!B603</f>
        <v>11幢2单元804室</v>
      </c>
      <c r="B625" s="207">
        <f>'7.17'!G603</f>
        <v>110.89</v>
      </c>
      <c r="C625" s="197">
        <f t="shared" si="149"/>
        <v>1.01</v>
      </c>
      <c r="D625" s="995" t="s">
        <v>7606</v>
      </c>
      <c r="E625" s="197">
        <f t="shared" si="150"/>
        <v>1</v>
      </c>
      <c r="F625" s="995" t="str">
        <f>'7.15'!D603</f>
        <v>平层</v>
      </c>
      <c r="G625" s="197">
        <f t="shared" si="151"/>
        <v>1</v>
      </c>
      <c r="H625" s="995" t="str">
        <f>'7.15'!E603</f>
        <v>南北</v>
      </c>
      <c r="I625" s="197">
        <f t="shared" si="152"/>
        <v>1</v>
      </c>
      <c r="J625" s="995"/>
      <c r="K625" s="197">
        <f t="shared" si="153"/>
        <v>1</v>
      </c>
      <c r="L625" s="995"/>
      <c r="M625" s="197">
        <f t="shared" si="154"/>
        <v>1</v>
      </c>
      <c r="N625" s="995"/>
      <c r="O625" s="197">
        <f t="shared" si="155"/>
        <v>1</v>
      </c>
      <c r="P625" s="995"/>
      <c r="Q625" s="197">
        <f t="shared" si="156"/>
        <v>1</v>
      </c>
      <c r="R625" s="991">
        <f t="shared" ca="1" si="157"/>
        <v>16091</v>
      </c>
      <c r="S625" s="552">
        <f t="shared" ca="1" si="158"/>
        <v>1784331</v>
      </c>
      <c r="T625" s="2010">
        <f t="shared" ca="1" si="159"/>
        <v>178</v>
      </c>
      <c r="U625" s="2305">
        <f t="shared" si="160"/>
        <v>0</v>
      </c>
      <c r="V625" s="2305">
        <f t="shared" si="161"/>
        <v>0</v>
      </c>
      <c r="W625" s="2300"/>
      <c r="X625" s="2305">
        <f t="shared" si="162"/>
        <v>0</v>
      </c>
      <c r="Y625" s="2305">
        <f t="shared" si="163"/>
        <v>0</v>
      </c>
      <c r="Z625" s="2300"/>
    </row>
    <row r="626" spans="1:26">
      <c r="A626" s="292" t="str">
        <f>'7.15'!B604</f>
        <v>11幢2单元904室</v>
      </c>
      <c r="B626" s="207">
        <f>'7.17'!G604</f>
        <v>110.89</v>
      </c>
      <c r="C626" s="197">
        <f t="shared" si="149"/>
        <v>1.01</v>
      </c>
      <c r="D626" s="995" t="s">
        <v>7606</v>
      </c>
      <c r="E626" s="197">
        <f t="shared" si="150"/>
        <v>1</v>
      </c>
      <c r="F626" s="995" t="str">
        <f>'7.15'!D604</f>
        <v>平层</v>
      </c>
      <c r="G626" s="197">
        <f t="shared" si="151"/>
        <v>1</v>
      </c>
      <c r="H626" s="995" t="str">
        <f>'7.15'!E604</f>
        <v>南北</v>
      </c>
      <c r="I626" s="197">
        <f t="shared" si="152"/>
        <v>1</v>
      </c>
      <c r="J626" s="995"/>
      <c r="K626" s="197">
        <f t="shared" si="153"/>
        <v>1</v>
      </c>
      <c r="L626" s="995"/>
      <c r="M626" s="197">
        <f t="shared" si="154"/>
        <v>1</v>
      </c>
      <c r="N626" s="995"/>
      <c r="O626" s="197">
        <f t="shared" si="155"/>
        <v>1</v>
      </c>
      <c r="P626" s="995"/>
      <c r="Q626" s="197">
        <f t="shared" si="156"/>
        <v>1</v>
      </c>
      <c r="R626" s="991">
        <f t="shared" ca="1" si="157"/>
        <v>16091</v>
      </c>
      <c r="S626" s="552">
        <f t="shared" ca="1" si="158"/>
        <v>1784331</v>
      </c>
      <c r="T626" s="2010">
        <f t="shared" ca="1" si="159"/>
        <v>178</v>
      </c>
      <c r="U626" s="2305">
        <f t="shared" si="160"/>
        <v>0</v>
      </c>
      <c r="V626" s="2305">
        <f t="shared" si="161"/>
        <v>0</v>
      </c>
      <c r="W626" s="2300"/>
      <c r="X626" s="2305">
        <f t="shared" si="162"/>
        <v>0</v>
      </c>
      <c r="Y626" s="2305">
        <f t="shared" si="163"/>
        <v>0</v>
      </c>
      <c r="Z626" s="2300"/>
    </row>
    <row r="627" spans="1:26">
      <c r="A627" s="292" t="str">
        <f>'7.15'!B605</f>
        <v>11幢2单元1004室</v>
      </c>
      <c r="B627" s="207">
        <f>'7.17'!G605</f>
        <v>110.89</v>
      </c>
      <c r="C627" s="197">
        <f t="shared" si="149"/>
        <v>1.01</v>
      </c>
      <c r="D627" s="995" t="s">
        <v>7606</v>
      </c>
      <c r="E627" s="197">
        <f t="shared" si="150"/>
        <v>1</v>
      </c>
      <c r="F627" s="995" t="str">
        <f>'7.15'!D605</f>
        <v>平层</v>
      </c>
      <c r="G627" s="197">
        <f t="shared" si="151"/>
        <v>1</v>
      </c>
      <c r="H627" s="995" t="str">
        <f>'7.15'!E605</f>
        <v>南北</v>
      </c>
      <c r="I627" s="197">
        <f t="shared" si="152"/>
        <v>1</v>
      </c>
      <c r="J627" s="995"/>
      <c r="K627" s="197">
        <f t="shared" si="153"/>
        <v>1</v>
      </c>
      <c r="L627" s="995"/>
      <c r="M627" s="197">
        <f t="shared" si="154"/>
        <v>1</v>
      </c>
      <c r="N627" s="995"/>
      <c r="O627" s="197">
        <f t="shared" si="155"/>
        <v>1</v>
      </c>
      <c r="P627" s="995"/>
      <c r="Q627" s="197">
        <f t="shared" si="156"/>
        <v>1</v>
      </c>
      <c r="R627" s="991">
        <f t="shared" ca="1" si="157"/>
        <v>16091</v>
      </c>
      <c r="S627" s="552">
        <f t="shared" ca="1" si="158"/>
        <v>1784331</v>
      </c>
      <c r="T627" s="2010">
        <f t="shared" ca="1" si="159"/>
        <v>178</v>
      </c>
      <c r="U627" s="2305">
        <f t="shared" si="160"/>
        <v>0</v>
      </c>
      <c r="V627" s="2305">
        <f t="shared" si="161"/>
        <v>0</v>
      </c>
      <c r="W627" s="2300"/>
      <c r="X627" s="2305">
        <f t="shared" si="162"/>
        <v>0</v>
      </c>
      <c r="Y627" s="2305">
        <f t="shared" si="163"/>
        <v>0</v>
      </c>
      <c r="Z627" s="2300"/>
    </row>
    <row r="628" spans="1:26">
      <c r="A628" s="292" t="str">
        <f>'7.15'!B606</f>
        <v>11幢2单元1104室</v>
      </c>
      <c r="B628" s="207">
        <f>'7.17'!G606</f>
        <v>110.89</v>
      </c>
      <c r="C628" s="197">
        <f t="shared" si="149"/>
        <v>1.01</v>
      </c>
      <c r="D628" s="995" t="s">
        <v>7609</v>
      </c>
      <c r="E628" s="197">
        <f t="shared" si="150"/>
        <v>1.04</v>
      </c>
      <c r="F628" s="995" t="str">
        <f>'7.15'!D606</f>
        <v>平层</v>
      </c>
      <c r="G628" s="197">
        <f t="shared" si="151"/>
        <v>1</v>
      </c>
      <c r="H628" s="995" t="str">
        <f>'7.15'!E606</f>
        <v>南北</v>
      </c>
      <c r="I628" s="197">
        <f t="shared" si="152"/>
        <v>1</v>
      </c>
      <c r="J628" s="995"/>
      <c r="K628" s="197">
        <f t="shared" si="153"/>
        <v>1</v>
      </c>
      <c r="L628" s="995"/>
      <c r="M628" s="197">
        <f t="shared" si="154"/>
        <v>1</v>
      </c>
      <c r="N628" s="995"/>
      <c r="O628" s="197">
        <f t="shared" si="155"/>
        <v>1</v>
      </c>
      <c r="P628" s="995"/>
      <c r="Q628" s="197">
        <f t="shared" si="156"/>
        <v>1</v>
      </c>
      <c r="R628" s="991">
        <f t="shared" ca="1" si="157"/>
        <v>16735</v>
      </c>
      <c r="S628" s="552">
        <f t="shared" ca="1" si="158"/>
        <v>1855744</v>
      </c>
      <c r="T628" s="2010">
        <f t="shared" ca="1" si="159"/>
        <v>186</v>
      </c>
      <c r="U628" s="2305">
        <f t="shared" si="160"/>
        <v>0</v>
      </c>
      <c r="V628" s="2305">
        <f t="shared" si="161"/>
        <v>0</v>
      </c>
      <c r="W628" s="2300"/>
      <c r="X628" s="2305">
        <f t="shared" si="162"/>
        <v>0</v>
      </c>
      <c r="Y628" s="2305">
        <f t="shared" si="163"/>
        <v>0</v>
      </c>
      <c r="Z628" s="2300"/>
    </row>
    <row r="629" spans="1:26">
      <c r="A629" s="292" t="str">
        <f>'7.15'!B607</f>
        <v>11幢2单元1204室</v>
      </c>
      <c r="B629" s="207">
        <f>'7.17'!G607</f>
        <v>110.89</v>
      </c>
      <c r="C629" s="197">
        <f t="shared" si="149"/>
        <v>1.01</v>
      </c>
      <c r="D629" s="995" t="s">
        <v>7609</v>
      </c>
      <c r="E629" s="197">
        <f t="shared" si="150"/>
        <v>1.04</v>
      </c>
      <c r="F629" s="995" t="str">
        <f>'7.15'!D607</f>
        <v>平层</v>
      </c>
      <c r="G629" s="197">
        <f t="shared" si="151"/>
        <v>1</v>
      </c>
      <c r="H629" s="995" t="str">
        <f>'7.15'!E607</f>
        <v>南北</v>
      </c>
      <c r="I629" s="197">
        <f t="shared" si="152"/>
        <v>1</v>
      </c>
      <c r="J629" s="995"/>
      <c r="K629" s="197">
        <f t="shared" si="153"/>
        <v>1</v>
      </c>
      <c r="L629" s="995"/>
      <c r="M629" s="197">
        <f t="shared" si="154"/>
        <v>1</v>
      </c>
      <c r="N629" s="995"/>
      <c r="O629" s="197">
        <f t="shared" si="155"/>
        <v>1</v>
      </c>
      <c r="P629" s="995"/>
      <c r="Q629" s="197">
        <f t="shared" si="156"/>
        <v>1</v>
      </c>
      <c r="R629" s="991">
        <f t="shared" ca="1" si="157"/>
        <v>16735</v>
      </c>
      <c r="S629" s="552">
        <f t="shared" ca="1" si="158"/>
        <v>1855744</v>
      </c>
      <c r="T629" s="2010">
        <f t="shared" ca="1" si="159"/>
        <v>186</v>
      </c>
      <c r="U629" s="2305">
        <f t="shared" si="160"/>
        <v>0</v>
      </c>
      <c r="V629" s="2305">
        <f t="shared" si="161"/>
        <v>0</v>
      </c>
      <c r="W629" s="2300"/>
      <c r="X629" s="2305">
        <f t="shared" si="162"/>
        <v>0</v>
      </c>
      <c r="Y629" s="2305">
        <f t="shared" si="163"/>
        <v>0</v>
      </c>
      <c r="Z629" s="2300"/>
    </row>
    <row r="630" spans="1:26">
      <c r="A630" s="292" t="str">
        <f>'7.15'!B608</f>
        <v>11幢2单元1404室</v>
      </c>
      <c r="B630" s="207">
        <f>'7.17'!G608</f>
        <v>110.89</v>
      </c>
      <c r="C630" s="197">
        <f t="shared" si="149"/>
        <v>1.01</v>
      </c>
      <c r="D630" s="995" t="s">
        <v>7609</v>
      </c>
      <c r="E630" s="197">
        <f t="shared" si="150"/>
        <v>1.04</v>
      </c>
      <c r="F630" s="995" t="str">
        <f>'7.15'!D608</f>
        <v>平层</v>
      </c>
      <c r="G630" s="197">
        <f t="shared" si="151"/>
        <v>1</v>
      </c>
      <c r="H630" s="995" t="str">
        <f>'7.15'!E608</f>
        <v>南北</v>
      </c>
      <c r="I630" s="197">
        <f t="shared" si="152"/>
        <v>1</v>
      </c>
      <c r="J630" s="995"/>
      <c r="K630" s="197">
        <f t="shared" si="153"/>
        <v>1</v>
      </c>
      <c r="L630" s="995"/>
      <c r="M630" s="197">
        <f t="shared" si="154"/>
        <v>1</v>
      </c>
      <c r="N630" s="995"/>
      <c r="O630" s="197">
        <f t="shared" si="155"/>
        <v>1</v>
      </c>
      <c r="P630" s="995"/>
      <c r="Q630" s="197">
        <f t="shared" si="156"/>
        <v>1</v>
      </c>
      <c r="R630" s="991">
        <f t="shared" ca="1" si="157"/>
        <v>16735</v>
      </c>
      <c r="S630" s="552">
        <f t="shared" ca="1" si="158"/>
        <v>1855744</v>
      </c>
      <c r="T630" s="2010">
        <f t="shared" ca="1" si="159"/>
        <v>186</v>
      </c>
      <c r="U630" s="2305">
        <f t="shared" si="160"/>
        <v>0</v>
      </c>
      <c r="V630" s="2305">
        <f t="shared" si="161"/>
        <v>0</v>
      </c>
      <c r="W630" s="2300"/>
      <c r="X630" s="2305">
        <f t="shared" si="162"/>
        <v>0</v>
      </c>
      <c r="Y630" s="2305">
        <f t="shared" si="163"/>
        <v>0</v>
      </c>
      <c r="Z630" s="2300"/>
    </row>
    <row r="631" spans="1:26">
      <c r="A631" s="292" t="str">
        <f>'7.15'!B609</f>
        <v>11幢2单元1704室</v>
      </c>
      <c r="B631" s="207">
        <f>'7.17'!G609</f>
        <v>110.89</v>
      </c>
      <c r="C631" s="197">
        <f t="shared" si="149"/>
        <v>1.01</v>
      </c>
      <c r="D631" s="995" t="s">
        <v>7609</v>
      </c>
      <c r="E631" s="197">
        <f t="shared" si="150"/>
        <v>1.04</v>
      </c>
      <c r="F631" s="995" t="str">
        <f>'7.15'!D609</f>
        <v>平层</v>
      </c>
      <c r="G631" s="197">
        <f t="shared" si="151"/>
        <v>1</v>
      </c>
      <c r="H631" s="995" t="str">
        <f>'7.15'!E609</f>
        <v>南北</v>
      </c>
      <c r="I631" s="197">
        <f t="shared" si="152"/>
        <v>1</v>
      </c>
      <c r="J631" s="995"/>
      <c r="K631" s="197">
        <f t="shared" si="153"/>
        <v>1</v>
      </c>
      <c r="L631" s="995"/>
      <c r="M631" s="197">
        <f t="shared" si="154"/>
        <v>1</v>
      </c>
      <c r="N631" s="995"/>
      <c r="O631" s="197">
        <f t="shared" si="155"/>
        <v>1</v>
      </c>
      <c r="P631" s="995"/>
      <c r="Q631" s="197">
        <f t="shared" si="156"/>
        <v>1</v>
      </c>
      <c r="R631" s="991">
        <f t="shared" ca="1" si="157"/>
        <v>16735</v>
      </c>
      <c r="S631" s="552">
        <f t="shared" ca="1" si="158"/>
        <v>1855744</v>
      </c>
      <c r="T631" s="2010">
        <f t="shared" ca="1" si="159"/>
        <v>186</v>
      </c>
      <c r="U631" s="2305">
        <f t="shared" si="160"/>
        <v>0</v>
      </c>
      <c r="V631" s="2305">
        <f t="shared" si="161"/>
        <v>0</v>
      </c>
      <c r="W631" s="2300"/>
      <c r="X631" s="2305">
        <f t="shared" si="162"/>
        <v>0</v>
      </c>
      <c r="Y631" s="2305">
        <f t="shared" si="163"/>
        <v>0</v>
      </c>
      <c r="Z631" s="2300"/>
    </row>
    <row r="632" spans="1:26">
      <c r="A632" s="292" t="str">
        <f>'7.15'!B610</f>
        <v>11幢2单元1904室</v>
      </c>
      <c r="B632" s="207">
        <f>'7.17'!G610</f>
        <v>110.89</v>
      </c>
      <c r="C632" s="197">
        <f t="shared" si="149"/>
        <v>1.01</v>
      </c>
      <c r="D632" s="995" t="s">
        <v>7609</v>
      </c>
      <c r="E632" s="197">
        <f t="shared" si="150"/>
        <v>1.04</v>
      </c>
      <c r="F632" s="995" t="str">
        <f>'7.15'!D610</f>
        <v>平层</v>
      </c>
      <c r="G632" s="197">
        <f t="shared" si="151"/>
        <v>1</v>
      </c>
      <c r="H632" s="995" t="str">
        <f>'7.15'!E610</f>
        <v>南北</v>
      </c>
      <c r="I632" s="197">
        <f t="shared" si="152"/>
        <v>1</v>
      </c>
      <c r="J632" s="995"/>
      <c r="K632" s="197">
        <f t="shared" si="153"/>
        <v>1</v>
      </c>
      <c r="L632" s="995"/>
      <c r="M632" s="197">
        <f t="shared" si="154"/>
        <v>1</v>
      </c>
      <c r="N632" s="995"/>
      <c r="O632" s="197">
        <f t="shared" si="155"/>
        <v>1</v>
      </c>
      <c r="P632" s="995"/>
      <c r="Q632" s="197">
        <f t="shared" si="156"/>
        <v>1</v>
      </c>
      <c r="R632" s="991">
        <f t="shared" ca="1" si="157"/>
        <v>16735</v>
      </c>
      <c r="S632" s="552">
        <f t="shared" ca="1" si="158"/>
        <v>1855744</v>
      </c>
      <c r="T632" s="2010">
        <f t="shared" ca="1" si="159"/>
        <v>186</v>
      </c>
      <c r="U632" s="2305">
        <f t="shared" si="160"/>
        <v>0</v>
      </c>
      <c r="V632" s="2305">
        <f t="shared" si="161"/>
        <v>0</v>
      </c>
      <c r="W632" s="2300"/>
      <c r="X632" s="2305">
        <f t="shared" si="162"/>
        <v>0</v>
      </c>
      <c r="Y632" s="2305">
        <f t="shared" si="163"/>
        <v>0</v>
      </c>
      <c r="Z632" s="2300"/>
    </row>
    <row r="633" spans="1:26">
      <c r="A633" s="292" t="str">
        <f>'7.15'!B611</f>
        <v>11幢2单元2104室</v>
      </c>
      <c r="B633" s="207">
        <f>'7.17'!G611</f>
        <v>110.89</v>
      </c>
      <c r="C633" s="197">
        <f t="shared" si="149"/>
        <v>1.01</v>
      </c>
      <c r="D633" s="995" t="s">
        <v>7608</v>
      </c>
      <c r="E633" s="197">
        <f t="shared" si="150"/>
        <v>1.02</v>
      </c>
      <c r="F633" s="995" t="str">
        <f>'7.15'!D611</f>
        <v>平层</v>
      </c>
      <c r="G633" s="197">
        <f t="shared" si="151"/>
        <v>1</v>
      </c>
      <c r="H633" s="995" t="str">
        <f>'7.15'!E611</f>
        <v>南北</v>
      </c>
      <c r="I633" s="197">
        <f t="shared" si="152"/>
        <v>1</v>
      </c>
      <c r="J633" s="995"/>
      <c r="K633" s="197">
        <f t="shared" si="153"/>
        <v>1</v>
      </c>
      <c r="L633" s="995"/>
      <c r="M633" s="197">
        <f t="shared" si="154"/>
        <v>1</v>
      </c>
      <c r="N633" s="995"/>
      <c r="O633" s="197">
        <f t="shared" si="155"/>
        <v>1</v>
      </c>
      <c r="P633" s="995"/>
      <c r="Q633" s="197">
        <f t="shared" si="156"/>
        <v>1</v>
      </c>
      <c r="R633" s="991">
        <f t="shared" ca="1" si="157"/>
        <v>16413</v>
      </c>
      <c r="S633" s="552">
        <f t="shared" ca="1" si="158"/>
        <v>1820038</v>
      </c>
      <c r="T633" s="2010">
        <f t="shared" ca="1" si="159"/>
        <v>182</v>
      </c>
      <c r="U633" s="2305">
        <f t="shared" si="160"/>
        <v>0</v>
      </c>
      <c r="V633" s="2305">
        <f t="shared" si="161"/>
        <v>0</v>
      </c>
      <c r="W633" s="2300"/>
      <c r="X633" s="2305">
        <f t="shared" si="162"/>
        <v>0</v>
      </c>
      <c r="Y633" s="2305">
        <f t="shared" si="163"/>
        <v>0</v>
      </c>
      <c r="Z633" s="2300"/>
    </row>
    <row r="634" spans="1:26">
      <c r="A634" s="292" t="str">
        <f>'7.15'!B612</f>
        <v>11幢2单元2204室</v>
      </c>
      <c r="B634" s="207">
        <f>'7.17'!G612</f>
        <v>110.89</v>
      </c>
      <c r="C634" s="197">
        <f t="shared" si="149"/>
        <v>1.01</v>
      </c>
      <c r="D634" s="995" t="s">
        <v>7608</v>
      </c>
      <c r="E634" s="197">
        <f t="shared" si="150"/>
        <v>1.02</v>
      </c>
      <c r="F634" s="995" t="str">
        <f>'7.15'!D612</f>
        <v>平层</v>
      </c>
      <c r="G634" s="197">
        <f t="shared" si="151"/>
        <v>1</v>
      </c>
      <c r="H634" s="995" t="str">
        <f>'7.15'!E612</f>
        <v>南北</v>
      </c>
      <c r="I634" s="197">
        <f t="shared" si="152"/>
        <v>1</v>
      </c>
      <c r="J634" s="995"/>
      <c r="K634" s="197">
        <f t="shared" si="153"/>
        <v>1</v>
      </c>
      <c r="L634" s="995"/>
      <c r="M634" s="197">
        <f t="shared" si="154"/>
        <v>1</v>
      </c>
      <c r="N634" s="995"/>
      <c r="O634" s="197">
        <f t="shared" si="155"/>
        <v>1</v>
      </c>
      <c r="P634" s="995"/>
      <c r="Q634" s="197">
        <f t="shared" si="156"/>
        <v>1</v>
      </c>
      <c r="R634" s="991">
        <f t="shared" ca="1" si="157"/>
        <v>16413</v>
      </c>
      <c r="S634" s="552">
        <f t="shared" ca="1" si="158"/>
        <v>1820038</v>
      </c>
      <c r="T634" s="2010">
        <f t="shared" ca="1" si="159"/>
        <v>182</v>
      </c>
      <c r="U634" s="2305">
        <f t="shared" si="160"/>
        <v>0</v>
      </c>
      <c r="V634" s="2305">
        <f t="shared" si="161"/>
        <v>0</v>
      </c>
      <c r="W634" s="2300"/>
      <c r="X634" s="2305">
        <f t="shared" si="162"/>
        <v>0</v>
      </c>
      <c r="Y634" s="2305">
        <f t="shared" si="163"/>
        <v>0</v>
      </c>
      <c r="Z634" s="2300"/>
    </row>
    <row r="635" spans="1:26">
      <c r="A635" s="292" t="str">
        <f>'7.15'!B613</f>
        <v>11幢2单元2404室</v>
      </c>
      <c r="B635" s="207">
        <f>'7.17'!G613</f>
        <v>110.89</v>
      </c>
      <c r="C635" s="197">
        <f t="shared" si="149"/>
        <v>1.01</v>
      </c>
      <c r="D635" s="995" t="s">
        <v>7608</v>
      </c>
      <c r="E635" s="197">
        <f t="shared" si="150"/>
        <v>1.02</v>
      </c>
      <c r="F635" s="995" t="str">
        <f>'7.15'!D613</f>
        <v>平层</v>
      </c>
      <c r="G635" s="197">
        <f t="shared" si="151"/>
        <v>1</v>
      </c>
      <c r="H635" s="995" t="str">
        <f>'7.15'!E613</f>
        <v>南北</v>
      </c>
      <c r="I635" s="197">
        <f t="shared" si="152"/>
        <v>1</v>
      </c>
      <c r="J635" s="995"/>
      <c r="K635" s="197">
        <f t="shared" si="153"/>
        <v>1</v>
      </c>
      <c r="L635" s="995"/>
      <c r="M635" s="197">
        <f t="shared" si="154"/>
        <v>1</v>
      </c>
      <c r="N635" s="995"/>
      <c r="O635" s="197">
        <f t="shared" si="155"/>
        <v>1</v>
      </c>
      <c r="P635" s="995"/>
      <c r="Q635" s="197">
        <f t="shared" si="156"/>
        <v>1</v>
      </c>
      <c r="R635" s="991">
        <f t="shared" ca="1" si="157"/>
        <v>16413</v>
      </c>
      <c r="S635" s="552">
        <f t="shared" ca="1" si="158"/>
        <v>1820038</v>
      </c>
      <c r="T635" s="2010">
        <f t="shared" ca="1" si="159"/>
        <v>182</v>
      </c>
      <c r="U635" s="2305">
        <f t="shared" si="160"/>
        <v>0</v>
      </c>
      <c r="V635" s="2305">
        <f t="shared" si="161"/>
        <v>0</v>
      </c>
      <c r="W635" s="2300"/>
      <c r="X635" s="2305">
        <f t="shared" si="162"/>
        <v>0</v>
      </c>
      <c r="Y635" s="2305">
        <f t="shared" si="163"/>
        <v>0</v>
      </c>
      <c r="Z635" s="2300"/>
    </row>
    <row r="636" spans="1:26">
      <c r="A636" s="292" t="str">
        <f>'7.15'!B614</f>
        <v>11幢2单元2604室</v>
      </c>
      <c r="B636" s="207">
        <f>'7.17'!G614</f>
        <v>110.89</v>
      </c>
      <c r="C636" s="197">
        <f t="shared" si="149"/>
        <v>1.01</v>
      </c>
      <c r="D636" s="995" t="s">
        <v>7608</v>
      </c>
      <c r="E636" s="197">
        <f t="shared" si="150"/>
        <v>1.02</v>
      </c>
      <c r="F636" s="995" t="str">
        <f>'7.15'!D614</f>
        <v>平层</v>
      </c>
      <c r="G636" s="197">
        <f t="shared" si="151"/>
        <v>1</v>
      </c>
      <c r="H636" s="995" t="str">
        <f>'7.15'!E614</f>
        <v>南北</v>
      </c>
      <c r="I636" s="197">
        <f t="shared" si="152"/>
        <v>1</v>
      </c>
      <c r="J636" s="995"/>
      <c r="K636" s="197">
        <f t="shared" si="153"/>
        <v>1</v>
      </c>
      <c r="L636" s="995"/>
      <c r="M636" s="197">
        <f t="shared" si="154"/>
        <v>1</v>
      </c>
      <c r="N636" s="995"/>
      <c r="O636" s="197">
        <f t="shared" si="155"/>
        <v>1</v>
      </c>
      <c r="P636" s="995"/>
      <c r="Q636" s="197">
        <f t="shared" si="156"/>
        <v>1</v>
      </c>
      <c r="R636" s="991">
        <f t="shared" ca="1" si="157"/>
        <v>16413</v>
      </c>
      <c r="S636" s="552">
        <f t="shared" ca="1" si="158"/>
        <v>1820038</v>
      </c>
      <c r="T636" s="2010">
        <f t="shared" ca="1" si="159"/>
        <v>182</v>
      </c>
      <c r="U636" s="2305">
        <f t="shared" si="160"/>
        <v>0</v>
      </c>
      <c r="V636" s="2305">
        <f t="shared" si="161"/>
        <v>0</v>
      </c>
      <c r="W636" s="2300"/>
      <c r="X636" s="2305">
        <f t="shared" si="162"/>
        <v>0</v>
      </c>
      <c r="Y636" s="2305">
        <f t="shared" si="163"/>
        <v>0</v>
      </c>
      <c r="Z636" s="2300"/>
    </row>
    <row r="637" spans="1:26">
      <c r="A637" s="292" t="str">
        <f>'7.15'!B615</f>
        <v>11幢2单元2704室</v>
      </c>
      <c r="B637" s="207">
        <f>'7.17'!G615</f>
        <v>110.89</v>
      </c>
      <c r="C637" s="197">
        <f t="shared" si="149"/>
        <v>1.01</v>
      </c>
      <c r="D637" s="995" t="s">
        <v>7608</v>
      </c>
      <c r="E637" s="197">
        <f t="shared" si="150"/>
        <v>1.02</v>
      </c>
      <c r="F637" s="995" t="str">
        <f>'7.15'!D615</f>
        <v>平层</v>
      </c>
      <c r="G637" s="197">
        <f t="shared" si="151"/>
        <v>1</v>
      </c>
      <c r="H637" s="995" t="str">
        <f>'7.15'!E615</f>
        <v>南北</v>
      </c>
      <c r="I637" s="197">
        <f t="shared" si="152"/>
        <v>1</v>
      </c>
      <c r="J637" s="995"/>
      <c r="K637" s="197">
        <f t="shared" si="153"/>
        <v>1</v>
      </c>
      <c r="L637" s="995"/>
      <c r="M637" s="197">
        <f t="shared" si="154"/>
        <v>1</v>
      </c>
      <c r="N637" s="995"/>
      <c r="O637" s="197">
        <f t="shared" si="155"/>
        <v>1</v>
      </c>
      <c r="P637" s="995"/>
      <c r="Q637" s="197">
        <f t="shared" si="156"/>
        <v>1</v>
      </c>
      <c r="R637" s="991">
        <f t="shared" ca="1" si="157"/>
        <v>16413</v>
      </c>
      <c r="S637" s="552">
        <f t="shared" ca="1" si="158"/>
        <v>1820038</v>
      </c>
      <c r="T637" s="2010">
        <f t="shared" ca="1" si="159"/>
        <v>182</v>
      </c>
      <c r="U637" s="2305">
        <f t="shared" si="160"/>
        <v>0</v>
      </c>
      <c r="V637" s="2305">
        <f t="shared" si="161"/>
        <v>0</v>
      </c>
      <c r="W637" s="2300"/>
      <c r="X637" s="2305">
        <f t="shared" si="162"/>
        <v>0</v>
      </c>
      <c r="Y637" s="2305">
        <f t="shared" si="163"/>
        <v>0</v>
      </c>
      <c r="Z637" s="2300"/>
    </row>
    <row r="638" spans="1:26">
      <c r="A638" s="292" t="str">
        <f>'7.15'!B616</f>
        <v>11幢2单元2804室</v>
      </c>
      <c r="B638" s="207">
        <f>'7.17'!G616</f>
        <v>110.89</v>
      </c>
      <c r="C638" s="197">
        <f t="shared" si="149"/>
        <v>1.01</v>
      </c>
      <c r="D638" s="995" t="s">
        <v>7608</v>
      </c>
      <c r="E638" s="197">
        <f t="shared" si="150"/>
        <v>1.02</v>
      </c>
      <c r="F638" s="995" t="str">
        <f>'7.15'!D616</f>
        <v>平层</v>
      </c>
      <c r="G638" s="197">
        <f t="shared" si="151"/>
        <v>1</v>
      </c>
      <c r="H638" s="995" t="str">
        <f>'7.15'!E616</f>
        <v>南北</v>
      </c>
      <c r="I638" s="197">
        <f t="shared" si="152"/>
        <v>1</v>
      </c>
      <c r="J638" s="995"/>
      <c r="K638" s="197">
        <f t="shared" si="153"/>
        <v>1</v>
      </c>
      <c r="L638" s="995"/>
      <c r="M638" s="197">
        <f t="shared" si="154"/>
        <v>1</v>
      </c>
      <c r="N638" s="995"/>
      <c r="O638" s="197">
        <f t="shared" si="155"/>
        <v>1</v>
      </c>
      <c r="P638" s="995"/>
      <c r="Q638" s="197">
        <f t="shared" si="156"/>
        <v>1</v>
      </c>
      <c r="R638" s="991">
        <f t="shared" ca="1" si="157"/>
        <v>16413</v>
      </c>
      <c r="S638" s="552">
        <f t="shared" ca="1" si="158"/>
        <v>1820038</v>
      </c>
      <c r="T638" s="2010">
        <f t="shared" ca="1" si="159"/>
        <v>182</v>
      </c>
      <c r="U638" s="2305">
        <f t="shared" si="160"/>
        <v>0</v>
      </c>
      <c r="V638" s="2305">
        <f t="shared" si="161"/>
        <v>0</v>
      </c>
      <c r="W638" s="2300"/>
      <c r="X638" s="2305">
        <f t="shared" si="162"/>
        <v>0</v>
      </c>
      <c r="Y638" s="2305">
        <f t="shared" si="163"/>
        <v>0</v>
      </c>
      <c r="Z638" s="2300"/>
    </row>
    <row r="639" spans="1:26">
      <c r="A639" s="292" t="str">
        <f>'7.15'!B617</f>
        <v>11幢2单元2904室</v>
      </c>
      <c r="B639" s="207">
        <f>'7.17'!G617</f>
        <v>110.89</v>
      </c>
      <c r="C639" s="197">
        <f t="shared" si="149"/>
        <v>1.01</v>
      </c>
      <c r="D639" s="995" t="s">
        <v>7608</v>
      </c>
      <c r="E639" s="197">
        <f t="shared" si="150"/>
        <v>1.02</v>
      </c>
      <c r="F639" s="995" t="str">
        <f>'7.15'!D617</f>
        <v>平层</v>
      </c>
      <c r="G639" s="197">
        <f t="shared" si="151"/>
        <v>1</v>
      </c>
      <c r="H639" s="995" t="str">
        <f>'7.15'!E617</f>
        <v>南北</v>
      </c>
      <c r="I639" s="197">
        <f t="shared" si="152"/>
        <v>1</v>
      </c>
      <c r="J639" s="995"/>
      <c r="K639" s="197">
        <f t="shared" si="153"/>
        <v>1</v>
      </c>
      <c r="L639" s="995"/>
      <c r="M639" s="197">
        <f t="shared" si="154"/>
        <v>1</v>
      </c>
      <c r="N639" s="995"/>
      <c r="O639" s="197">
        <f t="shared" si="155"/>
        <v>1</v>
      </c>
      <c r="P639" s="995"/>
      <c r="Q639" s="197">
        <f t="shared" si="156"/>
        <v>1</v>
      </c>
      <c r="R639" s="991">
        <f t="shared" ca="1" si="157"/>
        <v>16413</v>
      </c>
      <c r="S639" s="552">
        <f t="shared" ca="1" si="158"/>
        <v>1820038</v>
      </c>
      <c r="T639" s="2010">
        <f t="shared" ca="1" si="159"/>
        <v>182</v>
      </c>
      <c r="U639" s="2305">
        <f t="shared" si="160"/>
        <v>0</v>
      </c>
      <c r="V639" s="2305">
        <f t="shared" si="161"/>
        <v>0</v>
      </c>
      <c r="W639" s="2300"/>
      <c r="X639" s="2305">
        <f t="shared" si="162"/>
        <v>0</v>
      </c>
      <c r="Y639" s="2305">
        <f t="shared" si="163"/>
        <v>0</v>
      </c>
      <c r="Z639" s="2300"/>
    </row>
    <row r="640" spans="1:26">
      <c r="A640" s="292" t="str">
        <f>'7.15'!B618</f>
        <v>11幢3单元201室</v>
      </c>
      <c r="B640" s="207">
        <f>'7.17'!G618</f>
        <v>110.76</v>
      </c>
      <c r="C640" s="197">
        <f t="shared" si="149"/>
        <v>1.01</v>
      </c>
      <c r="D640" s="995" t="s">
        <v>7606</v>
      </c>
      <c r="E640" s="197">
        <f t="shared" si="150"/>
        <v>1</v>
      </c>
      <c r="F640" s="995" t="str">
        <f>'7.15'!D618</f>
        <v>平层</v>
      </c>
      <c r="G640" s="197">
        <f t="shared" si="151"/>
        <v>1</v>
      </c>
      <c r="H640" s="995" t="str">
        <f>'7.15'!E618</f>
        <v>南北</v>
      </c>
      <c r="I640" s="197">
        <f t="shared" si="152"/>
        <v>1</v>
      </c>
      <c r="J640" s="995"/>
      <c r="K640" s="197">
        <f t="shared" si="153"/>
        <v>1</v>
      </c>
      <c r="L640" s="995"/>
      <c r="M640" s="197">
        <f t="shared" si="154"/>
        <v>1</v>
      </c>
      <c r="N640" s="995"/>
      <c r="O640" s="197">
        <f t="shared" si="155"/>
        <v>1</v>
      </c>
      <c r="P640" s="995"/>
      <c r="Q640" s="197">
        <f t="shared" si="156"/>
        <v>1</v>
      </c>
      <c r="R640" s="991">
        <f t="shared" ca="1" si="157"/>
        <v>16091</v>
      </c>
      <c r="S640" s="552">
        <f t="shared" ca="1" si="158"/>
        <v>1782239</v>
      </c>
      <c r="T640" s="2010">
        <f t="shared" ca="1" si="159"/>
        <v>178</v>
      </c>
      <c r="U640" s="2305">
        <f t="shared" si="160"/>
        <v>0</v>
      </c>
      <c r="V640" s="2305">
        <f t="shared" si="161"/>
        <v>0</v>
      </c>
      <c r="W640" s="2300"/>
      <c r="X640" s="2305">
        <f t="shared" si="162"/>
        <v>0</v>
      </c>
      <c r="Y640" s="2305">
        <f t="shared" si="163"/>
        <v>0</v>
      </c>
      <c r="Z640" s="2300"/>
    </row>
    <row r="641" spans="1:26">
      <c r="A641" s="292" t="str">
        <f>'7.15'!B619</f>
        <v>12幢1单元201室</v>
      </c>
      <c r="B641" s="207">
        <f>'7.17'!G619</f>
        <v>138.16999999999999</v>
      </c>
      <c r="C641" s="197">
        <f t="shared" si="149"/>
        <v>0.98</v>
      </c>
      <c r="D641" s="995" t="s">
        <v>7606</v>
      </c>
      <c r="E641" s="197">
        <f t="shared" si="150"/>
        <v>1</v>
      </c>
      <c r="F641" s="995" t="str">
        <f>'7.15'!D619</f>
        <v>平层</v>
      </c>
      <c r="G641" s="197">
        <f t="shared" si="151"/>
        <v>1</v>
      </c>
      <c r="H641" s="995" t="str">
        <f>'7.15'!E619</f>
        <v>南北东</v>
      </c>
      <c r="I641" s="197">
        <f t="shared" si="152"/>
        <v>1.02</v>
      </c>
      <c r="J641" s="995"/>
      <c r="K641" s="197">
        <f t="shared" si="153"/>
        <v>1</v>
      </c>
      <c r="L641" s="995"/>
      <c r="M641" s="197">
        <f t="shared" si="154"/>
        <v>1</v>
      </c>
      <c r="N641" s="995"/>
      <c r="O641" s="197">
        <f t="shared" si="155"/>
        <v>1</v>
      </c>
      <c r="P641" s="995"/>
      <c r="Q641" s="197">
        <f t="shared" si="156"/>
        <v>1</v>
      </c>
      <c r="R641" s="991">
        <f t="shared" ca="1" si="157"/>
        <v>15926</v>
      </c>
      <c r="S641" s="552">
        <f t="shared" ca="1" si="158"/>
        <v>2200495</v>
      </c>
      <c r="T641" s="2010">
        <f t="shared" ca="1" si="159"/>
        <v>220</v>
      </c>
      <c r="U641" s="2305">
        <f t="shared" si="160"/>
        <v>0</v>
      </c>
      <c r="V641" s="2305">
        <f t="shared" si="161"/>
        <v>0</v>
      </c>
      <c r="W641" s="2300"/>
      <c r="X641" s="2305">
        <f t="shared" si="162"/>
        <v>0</v>
      </c>
      <c r="Y641" s="2305">
        <f t="shared" si="163"/>
        <v>0</v>
      </c>
      <c r="Z641" s="2300"/>
    </row>
    <row r="642" spans="1:26">
      <c r="A642" s="292" t="str">
        <f>'7.15'!B620</f>
        <v>12幢1单元301室</v>
      </c>
      <c r="B642" s="207">
        <f>'7.17'!G620</f>
        <v>138.16999999999999</v>
      </c>
      <c r="C642" s="197">
        <f t="shared" si="149"/>
        <v>0.98</v>
      </c>
      <c r="D642" s="995" t="s">
        <v>7606</v>
      </c>
      <c r="E642" s="197">
        <f t="shared" si="150"/>
        <v>1</v>
      </c>
      <c r="F642" s="995" t="str">
        <f>'7.15'!D620</f>
        <v>平层</v>
      </c>
      <c r="G642" s="197">
        <f t="shared" si="151"/>
        <v>1</v>
      </c>
      <c r="H642" s="995" t="str">
        <f>'7.15'!E620</f>
        <v>南北东</v>
      </c>
      <c r="I642" s="197">
        <f t="shared" si="152"/>
        <v>1.02</v>
      </c>
      <c r="J642" s="995"/>
      <c r="K642" s="197">
        <f t="shared" si="153"/>
        <v>1</v>
      </c>
      <c r="L642" s="995"/>
      <c r="M642" s="197">
        <f t="shared" si="154"/>
        <v>1</v>
      </c>
      <c r="N642" s="995"/>
      <c r="O642" s="197">
        <f t="shared" si="155"/>
        <v>1</v>
      </c>
      <c r="P642" s="995"/>
      <c r="Q642" s="197">
        <f t="shared" si="156"/>
        <v>1</v>
      </c>
      <c r="R642" s="991">
        <f t="shared" ca="1" si="157"/>
        <v>15926</v>
      </c>
      <c r="S642" s="552">
        <f t="shared" ca="1" si="158"/>
        <v>2200495</v>
      </c>
      <c r="T642" s="2010">
        <f t="shared" ca="1" si="159"/>
        <v>220</v>
      </c>
      <c r="U642" s="2305">
        <f t="shared" si="160"/>
        <v>0</v>
      </c>
      <c r="V642" s="2305">
        <f t="shared" si="161"/>
        <v>0</v>
      </c>
      <c r="W642" s="2300"/>
      <c r="X642" s="2305">
        <f t="shared" si="162"/>
        <v>0</v>
      </c>
      <c r="Y642" s="2305">
        <f t="shared" si="163"/>
        <v>0</v>
      </c>
      <c r="Z642" s="2300"/>
    </row>
    <row r="643" spans="1:26">
      <c r="A643" s="292" t="str">
        <f>'7.15'!B621</f>
        <v>12幢1单元401室</v>
      </c>
      <c r="B643" s="207">
        <f>'7.17'!G621</f>
        <v>138.16999999999999</v>
      </c>
      <c r="C643" s="197">
        <f t="shared" si="149"/>
        <v>0.98</v>
      </c>
      <c r="D643" s="995" t="s">
        <v>7606</v>
      </c>
      <c r="E643" s="197">
        <f t="shared" si="150"/>
        <v>1</v>
      </c>
      <c r="F643" s="995" t="str">
        <f>'7.15'!D621</f>
        <v>平层</v>
      </c>
      <c r="G643" s="197">
        <f t="shared" si="151"/>
        <v>1</v>
      </c>
      <c r="H643" s="995" t="str">
        <f>'7.15'!E621</f>
        <v>南北东</v>
      </c>
      <c r="I643" s="197">
        <f t="shared" si="152"/>
        <v>1.02</v>
      </c>
      <c r="J643" s="995"/>
      <c r="K643" s="197">
        <f t="shared" si="153"/>
        <v>1</v>
      </c>
      <c r="L643" s="995"/>
      <c r="M643" s="197">
        <f t="shared" si="154"/>
        <v>1</v>
      </c>
      <c r="N643" s="995"/>
      <c r="O643" s="197">
        <f t="shared" si="155"/>
        <v>1</v>
      </c>
      <c r="P643" s="995"/>
      <c r="Q643" s="197">
        <f t="shared" si="156"/>
        <v>1</v>
      </c>
      <c r="R643" s="991">
        <f t="shared" ca="1" si="157"/>
        <v>15926</v>
      </c>
      <c r="S643" s="552">
        <f t="shared" ca="1" si="158"/>
        <v>2200495</v>
      </c>
      <c r="T643" s="2010">
        <f t="shared" ca="1" si="159"/>
        <v>220</v>
      </c>
      <c r="U643" s="2305">
        <f t="shared" si="160"/>
        <v>0</v>
      </c>
      <c r="V643" s="2305">
        <f t="shared" si="161"/>
        <v>0</v>
      </c>
      <c r="W643" s="2300"/>
      <c r="X643" s="2305">
        <f t="shared" si="162"/>
        <v>0</v>
      </c>
      <c r="Y643" s="2305">
        <f t="shared" si="163"/>
        <v>0</v>
      </c>
      <c r="Z643" s="2300"/>
    </row>
    <row r="644" spans="1:26">
      <c r="A644" s="292" t="str">
        <f>'7.15'!B622</f>
        <v>12幢1单元501室</v>
      </c>
      <c r="B644" s="207">
        <f>'7.17'!G622</f>
        <v>138.16999999999999</v>
      </c>
      <c r="C644" s="197">
        <f t="shared" si="149"/>
        <v>0.98</v>
      </c>
      <c r="D644" s="995" t="s">
        <v>7606</v>
      </c>
      <c r="E644" s="197">
        <f t="shared" si="150"/>
        <v>1</v>
      </c>
      <c r="F644" s="995" t="str">
        <f>'7.15'!D622</f>
        <v>平层</v>
      </c>
      <c r="G644" s="197">
        <f t="shared" si="151"/>
        <v>1</v>
      </c>
      <c r="H644" s="995" t="str">
        <f>'7.15'!E622</f>
        <v>南北东</v>
      </c>
      <c r="I644" s="197">
        <f t="shared" si="152"/>
        <v>1.02</v>
      </c>
      <c r="J644" s="995"/>
      <c r="K644" s="197">
        <f t="shared" si="153"/>
        <v>1</v>
      </c>
      <c r="L644" s="995"/>
      <c r="M644" s="197">
        <f t="shared" si="154"/>
        <v>1</v>
      </c>
      <c r="N644" s="995"/>
      <c r="O644" s="197">
        <f t="shared" si="155"/>
        <v>1</v>
      </c>
      <c r="P644" s="995"/>
      <c r="Q644" s="197">
        <f t="shared" si="156"/>
        <v>1</v>
      </c>
      <c r="R644" s="991">
        <f t="shared" ca="1" si="157"/>
        <v>15926</v>
      </c>
      <c r="S644" s="552">
        <f t="shared" ca="1" si="158"/>
        <v>2200495</v>
      </c>
      <c r="T644" s="2010">
        <f t="shared" ca="1" si="159"/>
        <v>220</v>
      </c>
      <c r="U644" s="2305">
        <f t="shared" si="160"/>
        <v>0</v>
      </c>
      <c r="V644" s="2305">
        <f t="shared" si="161"/>
        <v>0</v>
      </c>
      <c r="W644" s="2300"/>
      <c r="X644" s="2305">
        <f t="shared" si="162"/>
        <v>0</v>
      </c>
      <c r="Y644" s="2305">
        <f t="shared" si="163"/>
        <v>0</v>
      </c>
      <c r="Z644" s="2300"/>
    </row>
    <row r="645" spans="1:26">
      <c r="A645" s="292" t="str">
        <f>'7.15'!B623</f>
        <v>12幢1单元601室</v>
      </c>
      <c r="B645" s="207">
        <f>'7.17'!G623</f>
        <v>138.16999999999999</v>
      </c>
      <c r="C645" s="197">
        <f t="shared" si="149"/>
        <v>0.98</v>
      </c>
      <c r="D645" s="995" t="s">
        <v>7606</v>
      </c>
      <c r="E645" s="197">
        <f t="shared" si="150"/>
        <v>1</v>
      </c>
      <c r="F645" s="995" t="str">
        <f>'7.15'!D623</f>
        <v>平层</v>
      </c>
      <c r="G645" s="197">
        <f t="shared" si="151"/>
        <v>1</v>
      </c>
      <c r="H645" s="995" t="str">
        <f>'7.15'!E623</f>
        <v>南北东</v>
      </c>
      <c r="I645" s="197">
        <f t="shared" si="152"/>
        <v>1.02</v>
      </c>
      <c r="J645" s="995"/>
      <c r="K645" s="197">
        <f t="shared" si="153"/>
        <v>1</v>
      </c>
      <c r="L645" s="995"/>
      <c r="M645" s="197">
        <f t="shared" si="154"/>
        <v>1</v>
      </c>
      <c r="N645" s="995"/>
      <c r="O645" s="197">
        <f t="shared" si="155"/>
        <v>1</v>
      </c>
      <c r="P645" s="995"/>
      <c r="Q645" s="197">
        <f t="shared" si="156"/>
        <v>1</v>
      </c>
      <c r="R645" s="991">
        <f t="shared" ca="1" si="157"/>
        <v>15926</v>
      </c>
      <c r="S645" s="552">
        <f t="shared" ca="1" si="158"/>
        <v>2200495</v>
      </c>
      <c r="T645" s="2010">
        <f t="shared" ca="1" si="159"/>
        <v>220</v>
      </c>
      <c r="U645" s="2305">
        <f t="shared" si="160"/>
        <v>0</v>
      </c>
      <c r="V645" s="2305">
        <f t="shared" si="161"/>
        <v>0</v>
      </c>
      <c r="W645" s="2300"/>
      <c r="X645" s="2305">
        <f t="shared" si="162"/>
        <v>0</v>
      </c>
      <c r="Y645" s="2305">
        <f t="shared" si="163"/>
        <v>0</v>
      </c>
      <c r="Z645" s="2300"/>
    </row>
    <row r="646" spans="1:26">
      <c r="A646" s="292" t="str">
        <f>'7.15'!B624</f>
        <v>12幢1单元701室</v>
      </c>
      <c r="B646" s="207">
        <f>'7.17'!G624</f>
        <v>138.16999999999999</v>
      </c>
      <c r="C646" s="197">
        <f t="shared" si="149"/>
        <v>0.98</v>
      </c>
      <c r="D646" s="995" t="s">
        <v>7606</v>
      </c>
      <c r="E646" s="197">
        <f t="shared" si="150"/>
        <v>1</v>
      </c>
      <c r="F646" s="995" t="str">
        <f>'7.15'!D624</f>
        <v>平层</v>
      </c>
      <c r="G646" s="197">
        <f t="shared" si="151"/>
        <v>1</v>
      </c>
      <c r="H646" s="995" t="str">
        <f>'7.15'!E624</f>
        <v>南北东</v>
      </c>
      <c r="I646" s="197">
        <f t="shared" si="152"/>
        <v>1.02</v>
      </c>
      <c r="J646" s="995"/>
      <c r="K646" s="197">
        <f t="shared" si="153"/>
        <v>1</v>
      </c>
      <c r="L646" s="995"/>
      <c r="M646" s="197">
        <f t="shared" si="154"/>
        <v>1</v>
      </c>
      <c r="N646" s="995"/>
      <c r="O646" s="197">
        <f t="shared" si="155"/>
        <v>1</v>
      </c>
      <c r="P646" s="995"/>
      <c r="Q646" s="197">
        <f t="shared" si="156"/>
        <v>1</v>
      </c>
      <c r="R646" s="991">
        <f t="shared" ca="1" si="157"/>
        <v>15926</v>
      </c>
      <c r="S646" s="552">
        <f t="shared" ca="1" si="158"/>
        <v>2200495</v>
      </c>
      <c r="T646" s="2010">
        <f t="shared" ca="1" si="159"/>
        <v>220</v>
      </c>
      <c r="U646" s="2305">
        <f t="shared" si="160"/>
        <v>0</v>
      </c>
      <c r="V646" s="2305">
        <f t="shared" si="161"/>
        <v>0</v>
      </c>
      <c r="W646" s="2300"/>
      <c r="X646" s="2305">
        <f t="shared" si="162"/>
        <v>0</v>
      </c>
      <c r="Y646" s="2305">
        <f t="shared" si="163"/>
        <v>0</v>
      </c>
      <c r="Z646" s="2300"/>
    </row>
    <row r="647" spans="1:26">
      <c r="A647" s="292" t="str">
        <f>'7.15'!B625</f>
        <v>12幢1单元801室</v>
      </c>
      <c r="B647" s="207">
        <f>'7.17'!G625</f>
        <v>138.16999999999999</v>
      </c>
      <c r="C647" s="197">
        <f t="shared" si="149"/>
        <v>0.98</v>
      </c>
      <c r="D647" s="995" t="s">
        <v>7606</v>
      </c>
      <c r="E647" s="197">
        <f t="shared" si="150"/>
        <v>1</v>
      </c>
      <c r="F647" s="995" t="str">
        <f>'7.15'!D625</f>
        <v>平层</v>
      </c>
      <c r="G647" s="197">
        <f t="shared" si="151"/>
        <v>1</v>
      </c>
      <c r="H647" s="995" t="str">
        <f>'7.15'!E625</f>
        <v>南北东</v>
      </c>
      <c r="I647" s="197">
        <f t="shared" si="152"/>
        <v>1.02</v>
      </c>
      <c r="J647" s="995"/>
      <c r="K647" s="197">
        <f t="shared" si="153"/>
        <v>1</v>
      </c>
      <c r="L647" s="995"/>
      <c r="M647" s="197">
        <f t="shared" si="154"/>
        <v>1</v>
      </c>
      <c r="N647" s="995"/>
      <c r="O647" s="197">
        <f t="shared" si="155"/>
        <v>1</v>
      </c>
      <c r="P647" s="995"/>
      <c r="Q647" s="197">
        <f t="shared" si="156"/>
        <v>1</v>
      </c>
      <c r="R647" s="991">
        <f t="shared" ca="1" si="157"/>
        <v>15926</v>
      </c>
      <c r="S647" s="552">
        <f t="shared" ca="1" si="158"/>
        <v>2200495</v>
      </c>
      <c r="T647" s="2010">
        <f t="shared" ca="1" si="159"/>
        <v>220</v>
      </c>
      <c r="U647" s="2305">
        <f t="shared" si="160"/>
        <v>0</v>
      </c>
      <c r="V647" s="2305">
        <f t="shared" si="161"/>
        <v>0</v>
      </c>
      <c r="W647" s="2300"/>
      <c r="X647" s="2305">
        <f t="shared" si="162"/>
        <v>0</v>
      </c>
      <c r="Y647" s="2305">
        <f t="shared" si="163"/>
        <v>0</v>
      </c>
      <c r="Z647" s="2300"/>
    </row>
    <row r="648" spans="1:26">
      <c r="A648" s="292" t="str">
        <f>'7.15'!B626</f>
        <v>12幢1单元901室</v>
      </c>
      <c r="B648" s="207">
        <f>'7.17'!G626</f>
        <v>138.16999999999999</v>
      </c>
      <c r="C648" s="197">
        <f t="shared" si="149"/>
        <v>0.98</v>
      </c>
      <c r="D648" s="995" t="s">
        <v>7606</v>
      </c>
      <c r="E648" s="197">
        <f t="shared" si="150"/>
        <v>1</v>
      </c>
      <c r="F648" s="995" t="str">
        <f>'7.15'!D626</f>
        <v>平层</v>
      </c>
      <c r="G648" s="197">
        <f t="shared" si="151"/>
        <v>1</v>
      </c>
      <c r="H648" s="995" t="str">
        <f>'7.15'!E626</f>
        <v>南北东</v>
      </c>
      <c r="I648" s="197">
        <f t="shared" si="152"/>
        <v>1.02</v>
      </c>
      <c r="J648" s="995"/>
      <c r="K648" s="197">
        <f t="shared" si="153"/>
        <v>1</v>
      </c>
      <c r="L648" s="995"/>
      <c r="M648" s="197">
        <f t="shared" si="154"/>
        <v>1</v>
      </c>
      <c r="N648" s="995"/>
      <c r="O648" s="197">
        <f t="shared" si="155"/>
        <v>1</v>
      </c>
      <c r="P648" s="995"/>
      <c r="Q648" s="197">
        <f t="shared" si="156"/>
        <v>1</v>
      </c>
      <c r="R648" s="991">
        <f t="shared" ca="1" si="157"/>
        <v>15926</v>
      </c>
      <c r="S648" s="552">
        <f t="shared" ca="1" si="158"/>
        <v>2200495</v>
      </c>
      <c r="T648" s="2010">
        <f t="shared" ca="1" si="159"/>
        <v>220</v>
      </c>
      <c r="U648" s="2305">
        <f t="shared" si="160"/>
        <v>0</v>
      </c>
      <c r="V648" s="2305">
        <f t="shared" si="161"/>
        <v>0</v>
      </c>
      <c r="W648" s="2300"/>
      <c r="X648" s="2305">
        <f t="shared" si="162"/>
        <v>0</v>
      </c>
      <c r="Y648" s="2305">
        <f t="shared" si="163"/>
        <v>0</v>
      </c>
      <c r="Z648" s="2300"/>
    </row>
    <row r="649" spans="1:26">
      <c r="A649" s="292" t="str">
        <f>'7.15'!B627</f>
        <v>12幢1单元1001室</v>
      </c>
      <c r="B649" s="207">
        <f>'7.17'!G627</f>
        <v>138.16999999999999</v>
      </c>
      <c r="C649" s="197">
        <f t="shared" si="149"/>
        <v>0.98</v>
      </c>
      <c r="D649" s="995" t="s">
        <v>7606</v>
      </c>
      <c r="E649" s="197">
        <f t="shared" si="150"/>
        <v>1</v>
      </c>
      <c r="F649" s="995" t="str">
        <f>'7.15'!D627</f>
        <v>平层</v>
      </c>
      <c r="G649" s="197">
        <f t="shared" si="151"/>
        <v>1</v>
      </c>
      <c r="H649" s="995" t="str">
        <f>'7.15'!E627</f>
        <v>南北东</v>
      </c>
      <c r="I649" s="197">
        <f t="shared" si="152"/>
        <v>1.02</v>
      </c>
      <c r="J649" s="995"/>
      <c r="K649" s="197">
        <f t="shared" si="153"/>
        <v>1</v>
      </c>
      <c r="L649" s="995"/>
      <c r="M649" s="197">
        <f t="shared" si="154"/>
        <v>1</v>
      </c>
      <c r="N649" s="995"/>
      <c r="O649" s="197">
        <f t="shared" si="155"/>
        <v>1</v>
      </c>
      <c r="P649" s="995"/>
      <c r="Q649" s="197">
        <f t="shared" si="156"/>
        <v>1</v>
      </c>
      <c r="R649" s="991">
        <f t="shared" ca="1" si="157"/>
        <v>15926</v>
      </c>
      <c r="S649" s="552">
        <f t="shared" ca="1" si="158"/>
        <v>2200495</v>
      </c>
      <c r="T649" s="2010">
        <f t="shared" ca="1" si="159"/>
        <v>220</v>
      </c>
      <c r="U649" s="2305">
        <f t="shared" si="160"/>
        <v>0</v>
      </c>
      <c r="V649" s="2305">
        <f t="shared" si="161"/>
        <v>0</v>
      </c>
      <c r="W649" s="2300"/>
      <c r="X649" s="2305">
        <f t="shared" si="162"/>
        <v>0</v>
      </c>
      <c r="Y649" s="2305">
        <f t="shared" si="163"/>
        <v>0</v>
      </c>
      <c r="Z649" s="2300"/>
    </row>
    <row r="650" spans="1:26">
      <c r="A650" s="292" t="str">
        <f>'7.15'!B628</f>
        <v>12幢1单元1101室</v>
      </c>
      <c r="B650" s="207">
        <f>'7.17'!G628</f>
        <v>138.16999999999999</v>
      </c>
      <c r="C650" s="197">
        <f t="shared" si="149"/>
        <v>0.98</v>
      </c>
      <c r="D650" s="995" t="s">
        <v>7609</v>
      </c>
      <c r="E650" s="197">
        <f t="shared" si="150"/>
        <v>1.04</v>
      </c>
      <c r="F650" s="995" t="str">
        <f>'7.15'!D628</f>
        <v>平层</v>
      </c>
      <c r="G650" s="197">
        <f t="shared" si="151"/>
        <v>1</v>
      </c>
      <c r="H650" s="995" t="str">
        <f>'7.15'!E628</f>
        <v>南北东</v>
      </c>
      <c r="I650" s="197">
        <f t="shared" si="152"/>
        <v>1.02</v>
      </c>
      <c r="J650" s="995"/>
      <c r="K650" s="197">
        <f t="shared" si="153"/>
        <v>1</v>
      </c>
      <c r="L650" s="995"/>
      <c r="M650" s="197">
        <f t="shared" si="154"/>
        <v>1</v>
      </c>
      <c r="N650" s="995"/>
      <c r="O650" s="197">
        <f t="shared" si="155"/>
        <v>1</v>
      </c>
      <c r="P650" s="995"/>
      <c r="Q650" s="197">
        <f t="shared" si="156"/>
        <v>1</v>
      </c>
      <c r="R650" s="991">
        <f t="shared" ca="1" si="157"/>
        <v>16563</v>
      </c>
      <c r="S650" s="552">
        <f t="shared" ca="1" si="158"/>
        <v>2288510</v>
      </c>
      <c r="T650" s="2010">
        <f t="shared" ca="1" si="159"/>
        <v>229</v>
      </c>
      <c r="U650" s="2305">
        <f t="shared" si="160"/>
        <v>0</v>
      </c>
      <c r="V650" s="2305">
        <f t="shared" si="161"/>
        <v>0</v>
      </c>
      <c r="W650" s="2300"/>
      <c r="X650" s="2305">
        <f t="shared" si="162"/>
        <v>0</v>
      </c>
      <c r="Y650" s="2305">
        <f t="shared" si="163"/>
        <v>0</v>
      </c>
      <c r="Z650" s="2300"/>
    </row>
    <row r="651" spans="1:26">
      <c r="A651" s="292" t="str">
        <f>'7.15'!B629</f>
        <v>12幢1单元1201室</v>
      </c>
      <c r="B651" s="207">
        <f>'7.17'!G629</f>
        <v>138.16999999999999</v>
      </c>
      <c r="C651" s="197">
        <f t="shared" si="149"/>
        <v>0.98</v>
      </c>
      <c r="D651" s="995" t="s">
        <v>7609</v>
      </c>
      <c r="E651" s="197">
        <f t="shared" si="150"/>
        <v>1.04</v>
      </c>
      <c r="F651" s="995" t="str">
        <f>'7.15'!D629</f>
        <v>平层</v>
      </c>
      <c r="G651" s="197">
        <f t="shared" si="151"/>
        <v>1</v>
      </c>
      <c r="H651" s="995" t="str">
        <f>'7.15'!E629</f>
        <v>南北东</v>
      </c>
      <c r="I651" s="197">
        <f t="shared" si="152"/>
        <v>1.02</v>
      </c>
      <c r="J651" s="995"/>
      <c r="K651" s="197">
        <f t="shared" si="153"/>
        <v>1</v>
      </c>
      <c r="L651" s="995"/>
      <c r="M651" s="197">
        <f t="shared" si="154"/>
        <v>1</v>
      </c>
      <c r="N651" s="995"/>
      <c r="O651" s="197">
        <f t="shared" si="155"/>
        <v>1</v>
      </c>
      <c r="P651" s="995"/>
      <c r="Q651" s="197">
        <f t="shared" si="156"/>
        <v>1</v>
      </c>
      <c r="R651" s="991">
        <f t="shared" ca="1" si="157"/>
        <v>16563</v>
      </c>
      <c r="S651" s="552">
        <f t="shared" ca="1" si="158"/>
        <v>2288510</v>
      </c>
      <c r="T651" s="2010">
        <f t="shared" ca="1" si="159"/>
        <v>229</v>
      </c>
      <c r="U651" s="2305">
        <f t="shared" si="160"/>
        <v>0</v>
      </c>
      <c r="V651" s="2305">
        <f t="shared" si="161"/>
        <v>0</v>
      </c>
      <c r="W651" s="2300"/>
      <c r="X651" s="2305">
        <f t="shared" si="162"/>
        <v>0</v>
      </c>
      <c r="Y651" s="2305">
        <f t="shared" si="163"/>
        <v>0</v>
      </c>
      <c r="Z651" s="2300"/>
    </row>
    <row r="652" spans="1:26">
      <c r="A652" s="292" t="str">
        <f>'7.15'!B630</f>
        <v>12幢1单元1301室</v>
      </c>
      <c r="B652" s="207">
        <f>'7.17'!G630</f>
        <v>138.16999999999999</v>
      </c>
      <c r="C652" s="197">
        <f t="shared" si="149"/>
        <v>0.98</v>
      </c>
      <c r="D652" s="995" t="s">
        <v>7609</v>
      </c>
      <c r="E652" s="197">
        <f t="shared" si="150"/>
        <v>1.04</v>
      </c>
      <c r="F652" s="995" t="str">
        <f>'7.15'!D630</f>
        <v>平层</v>
      </c>
      <c r="G652" s="197">
        <f t="shared" si="151"/>
        <v>1</v>
      </c>
      <c r="H652" s="995" t="str">
        <f>'7.15'!E630</f>
        <v>南北东</v>
      </c>
      <c r="I652" s="197">
        <f t="shared" si="152"/>
        <v>1.02</v>
      </c>
      <c r="J652" s="995"/>
      <c r="K652" s="197">
        <f t="shared" si="153"/>
        <v>1</v>
      </c>
      <c r="L652" s="995"/>
      <c r="M652" s="197">
        <f t="shared" si="154"/>
        <v>1</v>
      </c>
      <c r="N652" s="995"/>
      <c r="O652" s="197">
        <f t="shared" si="155"/>
        <v>1</v>
      </c>
      <c r="P652" s="995"/>
      <c r="Q652" s="197">
        <f t="shared" si="156"/>
        <v>1</v>
      </c>
      <c r="R652" s="991">
        <f t="shared" ca="1" si="157"/>
        <v>16563</v>
      </c>
      <c r="S652" s="552">
        <f t="shared" ca="1" si="158"/>
        <v>2288510</v>
      </c>
      <c r="T652" s="2010">
        <f t="shared" ca="1" si="159"/>
        <v>229</v>
      </c>
      <c r="U652" s="2305">
        <f t="shared" si="160"/>
        <v>0</v>
      </c>
      <c r="V652" s="2305">
        <f t="shared" si="161"/>
        <v>0</v>
      </c>
      <c r="W652" s="2300"/>
      <c r="X652" s="2305">
        <f t="shared" si="162"/>
        <v>0</v>
      </c>
      <c r="Y652" s="2305">
        <f t="shared" si="163"/>
        <v>0</v>
      </c>
      <c r="Z652" s="2300"/>
    </row>
    <row r="653" spans="1:26">
      <c r="A653" s="292" t="str">
        <f>'7.15'!B631</f>
        <v>12幢1单元1401室</v>
      </c>
      <c r="B653" s="207">
        <f>'7.17'!G631</f>
        <v>138.16999999999999</v>
      </c>
      <c r="C653" s="197">
        <f t="shared" si="149"/>
        <v>0.98</v>
      </c>
      <c r="D653" s="995" t="s">
        <v>7609</v>
      </c>
      <c r="E653" s="197">
        <f t="shared" si="150"/>
        <v>1.04</v>
      </c>
      <c r="F653" s="995" t="str">
        <f>'7.15'!D631</f>
        <v>平层</v>
      </c>
      <c r="G653" s="197">
        <f t="shared" si="151"/>
        <v>1</v>
      </c>
      <c r="H653" s="995" t="str">
        <f>'7.15'!E631</f>
        <v>南北东</v>
      </c>
      <c r="I653" s="197">
        <f t="shared" si="152"/>
        <v>1.02</v>
      </c>
      <c r="J653" s="995"/>
      <c r="K653" s="197">
        <f t="shared" si="153"/>
        <v>1</v>
      </c>
      <c r="L653" s="995"/>
      <c r="M653" s="197">
        <f t="shared" si="154"/>
        <v>1</v>
      </c>
      <c r="N653" s="995"/>
      <c r="O653" s="197">
        <f t="shared" si="155"/>
        <v>1</v>
      </c>
      <c r="P653" s="995"/>
      <c r="Q653" s="197">
        <f t="shared" si="156"/>
        <v>1</v>
      </c>
      <c r="R653" s="991">
        <f t="shared" ca="1" si="157"/>
        <v>16563</v>
      </c>
      <c r="S653" s="552">
        <f t="shared" ca="1" si="158"/>
        <v>2288510</v>
      </c>
      <c r="T653" s="2010">
        <f t="shared" ca="1" si="159"/>
        <v>229</v>
      </c>
      <c r="U653" s="2305">
        <f t="shared" si="160"/>
        <v>0</v>
      </c>
      <c r="V653" s="2305">
        <f t="shared" si="161"/>
        <v>0</v>
      </c>
      <c r="W653" s="2300"/>
      <c r="X653" s="2305">
        <f t="shared" si="162"/>
        <v>0</v>
      </c>
      <c r="Y653" s="2305">
        <f t="shared" si="163"/>
        <v>0</v>
      </c>
      <c r="Z653" s="2300"/>
    </row>
    <row r="654" spans="1:26">
      <c r="A654" s="292" t="str">
        <f>'7.15'!B632</f>
        <v>12幢1单元1501室</v>
      </c>
      <c r="B654" s="207">
        <f>'7.17'!G632</f>
        <v>138.16999999999999</v>
      </c>
      <c r="C654" s="197">
        <f t="shared" si="149"/>
        <v>0.98</v>
      </c>
      <c r="D654" s="995" t="s">
        <v>7609</v>
      </c>
      <c r="E654" s="197">
        <f t="shared" si="150"/>
        <v>1.04</v>
      </c>
      <c r="F654" s="995" t="str">
        <f>'7.15'!D632</f>
        <v>平层</v>
      </c>
      <c r="G654" s="197">
        <f t="shared" si="151"/>
        <v>1</v>
      </c>
      <c r="H654" s="995" t="str">
        <f>'7.15'!E632</f>
        <v>南北东</v>
      </c>
      <c r="I654" s="197">
        <f t="shared" si="152"/>
        <v>1.02</v>
      </c>
      <c r="J654" s="995"/>
      <c r="K654" s="197">
        <f t="shared" si="153"/>
        <v>1</v>
      </c>
      <c r="L654" s="995"/>
      <c r="M654" s="197">
        <f t="shared" si="154"/>
        <v>1</v>
      </c>
      <c r="N654" s="995"/>
      <c r="O654" s="197">
        <f t="shared" si="155"/>
        <v>1</v>
      </c>
      <c r="P654" s="995"/>
      <c r="Q654" s="197">
        <f t="shared" si="156"/>
        <v>1</v>
      </c>
      <c r="R654" s="991">
        <f t="shared" ca="1" si="157"/>
        <v>16563</v>
      </c>
      <c r="S654" s="552">
        <f t="shared" ca="1" si="158"/>
        <v>2288510</v>
      </c>
      <c r="T654" s="2010">
        <f t="shared" ca="1" si="159"/>
        <v>229</v>
      </c>
      <c r="U654" s="2305">
        <f t="shared" si="160"/>
        <v>0</v>
      </c>
      <c r="V654" s="2305">
        <f t="shared" si="161"/>
        <v>0</v>
      </c>
      <c r="W654" s="2300"/>
      <c r="X654" s="2305">
        <f t="shared" si="162"/>
        <v>0</v>
      </c>
      <c r="Y654" s="2305">
        <f t="shared" si="163"/>
        <v>0</v>
      </c>
      <c r="Z654" s="2300"/>
    </row>
    <row r="655" spans="1:26">
      <c r="A655" s="292" t="str">
        <f>'7.15'!B633</f>
        <v>12幢1单元1601室</v>
      </c>
      <c r="B655" s="207">
        <f>'7.17'!G633</f>
        <v>138.16999999999999</v>
      </c>
      <c r="C655" s="197">
        <f t="shared" si="149"/>
        <v>0.98</v>
      </c>
      <c r="D655" s="995" t="s">
        <v>7609</v>
      </c>
      <c r="E655" s="197">
        <f t="shared" si="150"/>
        <v>1.04</v>
      </c>
      <c r="F655" s="995" t="str">
        <f>'7.15'!D633</f>
        <v>平层</v>
      </c>
      <c r="G655" s="197">
        <f t="shared" si="151"/>
        <v>1</v>
      </c>
      <c r="H655" s="995" t="str">
        <f>'7.15'!E633</f>
        <v>南北东</v>
      </c>
      <c r="I655" s="197">
        <f t="shared" si="152"/>
        <v>1.02</v>
      </c>
      <c r="J655" s="995"/>
      <c r="K655" s="197">
        <f t="shared" si="153"/>
        <v>1</v>
      </c>
      <c r="L655" s="995"/>
      <c r="M655" s="197">
        <f t="shared" si="154"/>
        <v>1</v>
      </c>
      <c r="N655" s="995"/>
      <c r="O655" s="197">
        <f t="shared" si="155"/>
        <v>1</v>
      </c>
      <c r="P655" s="995"/>
      <c r="Q655" s="197">
        <f t="shared" si="156"/>
        <v>1</v>
      </c>
      <c r="R655" s="991">
        <f t="shared" ca="1" si="157"/>
        <v>16563</v>
      </c>
      <c r="S655" s="552">
        <f t="shared" ca="1" si="158"/>
        <v>2288510</v>
      </c>
      <c r="T655" s="2010">
        <f t="shared" ca="1" si="159"/>
        <v>229</v>
      </c>
      <c r="U655" s="2305">
        <f t="shared" si="160"/>
        <v>0</v>
      </c>
      <c r="V655" s="2305">
        <f t="shared" si="161"/>
        <v>0</v>
      </c>
      <c r="W655" s="2300"/>
      <c r="X655" s="2305">
        <f t="shared" si="162"/>
        <v>0</v>
      </c>
      <c r="Y655" s="2305">
        <f t="shared" si="163"/>
        <v>0</v>
      </c>
      <c r="Z655" s="2300"/>
    </row>
    <row r="656" spans="1:26">
      <c r="A656" s="292" t="str">
        <f>'7.15'!B634</f>
        <v>12幢1单元1701室</v>
      </c>
      <c r="B656" s="207">
        <f>'7.17'!G634</f>
        <v>138.16999999999999</v>
      </c>
      <c r="C656" s="197">
        <f t="shared" ref="C656:C719" si="164">IF(B656="",1,(LOOKUP(B656,$6:$6,$7:$7)-LOOKUP($B$27,$6:$6,$7:$7)+100)/100)</f>
        <v>0.98</v>
      </c>
      <c r="D656" s="995" t="s">
        <v>7609</v>
      </c>
      <c r="E656" s="197">
        <f t="shared" ref="E656:E719" si="165">(SUMIF($8:$8,D656,$9:$9)-SUMIF($8:$8,$D$27,$9:$9)+100)/100</f>
        <v>1.04</v>
      </c>
      <c r="F656" s="995" t="str">
        <f>'7.15'!D634</f>
        <v>平层</v>
      </c>
      <c r="G656" s="197">
        <f t="shared" ref="G656:G719" si="166">(SUMIF($10:$10,F656,$11:$11)-SUMIF($10:$10,$F$27,$11:$11)+100)/100</f>
        <v>1</v>
      </c>
      <c r="H656" s="995" t="str">
        <f>'7.15'!E634</f>
        <v>南北东</v>
      </c>
      <c r="I656" s="197">
        <f t="shared" ref="I656:I719" si="167">(SUMIF($12:$12,H656,$13:$13)-SUMIF($12:$12,$H$27,$13:$13)+100)/100</f>
        <v>1.02</v>
      </c>
      <c r="J656" s="995"/>
      <c r="K656" s="197">
        <f t="shared" ref="K656:K719" si="168">(SUMIF($14:$14,J656,$15:$15)-SUMIF($14:$14,$J$27,$15:$15)+100)/100</f>
        <v>1</v>
      </c>
      <c r="L656" s="995"/>
      <c r="M656" s="197">
        <f t="shared" ref="M656:M719" si="169">(SUMIF($16:$16,L656,$17:$17)-SUMIF($16:$16,$L$27,$17:$17)+100)/100</f>
        <v>1</v>
      </c>
      <c r="N656" s="995"/>
      <c r="O656" s="197">
        <f t="shared" ref="O656:O719" si="170">(SUMIF($18:$18,N656,$19:$19)-SUMIF($18:$18,$N$27,$19:$19)+100)/100</f>
        <v>1</v>
      </c>
      <c r="P656" s="995"/>
      <c r="Q656" s="197">
        <f t="shared" ref="Q656:Q719" si="171">(SUMIF($20:$20,P656,$21:$21)-SUMIF($20:$20,$P$27,$21:$21)+100)/100</f>
        <v>1</v>
      </c>
      <c r="R656" s="991">
        <f t="shared" ref="R656:R719" ca="1" si="172">IF(B656="",0,ROUND($R$27*C656*E656*G656*I656*K656*M656*O656*Q656,0))</f>
        <v>16563</v>
      </c>
      <c r="S656" s="552">
        <f t="shared" ref="S656:S719" ca="1" si="173">ROUND(R656*B656,0)</f>
        <v>2288510</v>
      </c>
      <c r="T656" s="2010">
        <f t="shared" ref="T656:T719" ca="1" si="174">ROUND(R656*B656/10000,0)</f>
        <v>229</v>
      </c>
      <c r="U656" s="2305">
        <f t="shared" ref="U656:U719" si="175">ROUND(W656*B656,0)</f>
        <v>0</v>
      </c>
      <c r="V656" s="2305">
        <f t="shared" ref="V656:V719" si="176">ROUND(W656*B656/10000,0)</f>
        <v>0</v>
      </c>
      <c r="W656" s="2300"/>
      <c r="X656" s="2305">
        <f t="shared" ref="X656:X719" si="177">ROUND(Z656*B656,0)</f>
        <v>0</v>
      </c>
      <c r="Y656" s="2305">
        <f t="shared" ref="Y656:Y719" si="178">ROUND(Z656*B656/10000,0)</f>
        <v>0</v>
      </c>
      <c r="Z656" s="2300"/>
    </row>
    <row r="657" spans="1:26">
      <c r="A657" s="292" t="str">
        <f>'7.15'!B635</f>
        <v>12幢1单元1801室</v>
      </c>
      <c r="B657" s="207">
        <f>'7.17'!G635</f>
        <v>138.16999999999999</v>
      </c>
      <c r="C657" s="197">
        <f t="shared" si="164"/>
        <v>0.98</v>
      </c>
      <c r="D657" s="995" t="s">
        <v>7609</v>
      </c>
      <c r="E657" s="197">
        <f t="shared" si="165"/>
        <v>1.04</v>
      </c>
      <c r="F657" s="995" t="str">
        <f>'7.15'!D635</f>
        <v>平层</v>
      </c>
      <c r="G657" s="197">
        <f t="shared" si="166"/>
        <v>1</v>
      </c>
      <c r="H657" s="995" t="str">
        <f>'7.15'!E635</f>
        <v>南北东</v>
      </c>
      <c r="I657" s="197">
        <f t="shared" si="167"/>
        <v>1.02</v>
      </c>
      <c r="J657" s="995"/>
      <c r="K657" s="197">
        <f t="shared" si="168"/>
        <v>1</v>
      </c>
      <c r="L657" s="995"/>
      <c r="M657" s="197">
        <f t="shared" si="169"/>
        <v>1</v>
      </c>
      <c r="N657" s="995"/>
      <c r="O657" s="197">
        <f t="shared" si="170"/>
        <v>1</v>
      </c>
      <c r="P657" s="995"/>
      <c r="Q657" s="197">
        <f t="shared" si="171"/>
        <v>1</v>
      </c>
      <c r="R657" s="991">
        <f t="shared" ca="1" si="172"/>
        <v>16563</v>
      </c>
      <c r="S657" s="552">
        <f t="shared" ca="1" si="173"/>
        <v>2288510</v>
      </c>
      <c r="T657" s="2010">
        <f t="shared" ca="1" si="174"/>
        <v>229</v>
      </c>
      <c r="U657" s="2305">
        <f t="shared" si="175"/>
        <v>0</v>
      </c>
      <c r="V657" s="2305">
        <f t="shared" si="176"/>
        <v>0</v>
      </c>
      <c r="W657" s="2300"/>
      <c r="X657" s="2305">
        <f t="shared" si="177"/>
        <v>0</v>
      </c>
      <c r="Y657" s="2305">
        <f t="shared" si="178"/>
        <v>0</v>
      </c>
      <c r="Z657" s="2300"/>
    </row>
    <row r="658" spans="1:26">
      <c r="A658" s="292" t="str">
        <f>'7.15'!B636</f>
        <v>12幢1单元1901室</v>
      </c>
      <c r="B658" s="207">
        <f>'7.17'!G636</f>
        <v>138.16999999999999</v>
      </c>
      <c r="C658" s="197">
        <f t="shared" si="164"/>
        <v>0.98</v>
      </c>
      <c r="D658" s="995" t="s">
        <v>7609</v>
      </c>
      <c r="E658" s="197">
        <f t="shared" si="165"/>
        <v>1.04</v>
      </c>
      <c r="F658" s="995" t="str">
        <f>'7.15'!D636</f>
        <v>平层</v>
      </c>
      <c r="G658" s="197">
        <f t="shared" si="166"/>
        <v>1</v>
      </c>
      <c r="H658" s="995" t="str">
        <f>'7.15'!E636</f>
        <v>南北东</v>
      </c>
      <c r="I658" s="197">
        <f t="shared" si="167"/>
        <v>1.02</v>
      </c>
      <c r="J658" s="995"/>
      <c r="K658" s="197">
        <f t="shared" si="168"/>
        <v>1</v>
      </c>
      <c r="L658" s="995"/>
      <c r="M658" s="197">
        <f t="shared" si="169"/>
        <v>1</v>
      </c>
      <c r="N658" s="995"/>
      <c r="O658" s="197">
        <f t="shared" si="170"/>
        <v>1</v>
      </c>
      <c r="P658" s="995"/>
      <c r="Q658" s="197">
        <f t="shared" si="171"/>
        <v>1</v>
      </c>
      <c r="R658" s="991">
        <f t="shared" ca="1" si="172"/>
        <v>16563</v>
      </c>
      <c r="S658" s="552">
        <f t="shared" ca="1" si="173"/>
        <v>2288510</v>
      </c>
      <c r="T658" s="2010">
        <f t="shared" ca="1" si="174"/>
        <v>229</v>
      </c>
      <c r="U658" s="2305">
        <f t="shared" si="175"/>
        <v>0</v>
      </c>
      <c r="V658" s="2305">
        <f t="shared" si="176"/>
        <v>0</v>
      </c>
      <c r="W658" s="2300"/>
      <c r="X658" s="2305">
        <f t="shared" si="177"/>
        <v>0</v>
      </c>
      <c r="Y658" s="2305">
        <f t="shared" si="178"/>
        <v>0</v>
      </c>
      <c r="Z658" s="2300"/>
    </row>
    <row r="659" spans="1:26">
      <c r="A659" s="292" t="str">
        <f>'7.15'!B637</f>
        <v>12幢1单元2001室</v>
      </c>
      <c r="B659" s="207">
        <f>'7.17'!G637</f>
        <v>138.16999999999999</v>
      </c>
      <c r="C659" s="197">
        <f t="shared" si="164"/>
        <v>0.98</v>
      </c>
      <c r="D659" s="995" t="s">
        <v>7609</v>
      </c>
      <c r="E659" s="197">
        <f t="shared" si="165"/>
        <v>1.04</v>
      </c>
      <c r="F659" s="995" t="str">
        <f>'7.15'!D637</f>
        <v>平层</v>
      </c>
      <c r="G659" s="197">
        <f t="shared" si="166"/>
        <v>1</v>
      </c>
      <c r="H659" s="995" t="str">
        <f>'7.15'!E637</f>
        <v>南北东</v>
      </c>
      <c r="I659" s="197">
        <f t="shared" si="167"/>
        <v>1.02</v>
      </c>
      <c r="J659" s="995"/>
      <c r="K659" s="197">
        <f t="shared" si="168"/>
        <v>1</v>
      </c>
      <c r="L659" s="995"/>
      <c r="M659" s="197">
        <f t="shared" si="169"/>
        <v>1</v>
      </c>
      <c r="N659" s="995"/>
      <c r="O659" s="197">
        <f t="shared" si="170"/>
        <v>1</v>
      </c>
      <c r="P659" s="995"/>
      <c r="Q659" s="197">
        <f t="shared" si="171"/>
        <v>1</v>
      </c>
      <c r="R659" s="991">
        <f t="shared" ca="1" si="172"/>
        <v>16563</v>
      </c>
      <c r="S659" s="552">
        <f t="shared" ca="1" si="173"/>
        <v>2288510</v>
      </c>
      <c r="T659" s="2010">
        <f t="shared" ca="1" si="174"/>
        <v>229</v>
      </c>
      <c r="U659" s="2305">
        <f t="shared" si="175"/>
        <v>0</v>
      </c>
      <c r="V659" s="2305">
        <f t="shared" si="176"/>
        <v>0</v>
      </c>
      <c r="W659" s="2300"/>
      <c r="X659" s="2305">
        <f t="shared" si="177"/>
        <v>0</v>
      </c>
      <c r="Y659" s="2305">
        <f t="shared" si="178"/>
        <v>0</v>
      </c>
      <c r="Z659" s="2300"/>
    </row>
    <row r="660" spans="1:26">
      <c r="A660" s="292" t="str">
        <f>'7.15'!B638</f>
        <v>12幢1单元2101室</v>
      </c>
      <c r="B660" s="207">
        <f>'7.17'!G638</f>
        <v>138.16999999999999</v>
      </c>
      <c r="C660" s="197">
        <f t="shared" si="164"/>
        <v>0.98</v>
      </c>
      <c r="D660" s="995" t="s">
        <v>7608</v>
      </c>
      <c r="E660" s="197">
        <f t="shared" si="165"/>
        <v>1.02</v>
      </c>
      <c r="F660" s="995" t="str">
        <f>'7.15'!D638</f>
        <v>平层</v>
      </c>
      <c r="G660" s="197">
        <f t="shared" si="166"/>
        <v>1</v>
      </c>
      <c r="H660" s="995" t="str">
        <f>'7.15'!E638</f>
        <v>南北东</v>
      </c>
      <c r="I660" s="197">
        <f t="shared" si="167"/>
        <v>1.02</v>
      </c>
      <c r="J660" s="995"/>
      <c r="K660" s="197">
        <f t="shared" si="168"/>
        <v>1</v>
      </c>
      <c r="L660" s="995"/>
      <c r="M660" s="197">
        <f t="shared" si="169"/>
        <v>1</v>
      </c>
      <c r="N660" s="995"/>
      <c r="O660" s="197">
        <f t="shared" si="170"/>
        <v>1</v>
      </c>
      <c r="P660" s="995"/>
      <c r="Q660" s="197">
        <f t="shared" si="171"/>
        <v>1</v>
      </c>
      <c r="R660" s="991">
        <f t="shared" ca="1" si="172"/>
        <v>16244</v>
      </c>
      <c r="S660" s="552">
        <f t="shared" ca="1" si="173"/>
        <v>2244433</v>
      </c>
      <c r="T660" s="2010">
        <f t="shared" ca="1" si="174"/>
        <v>224</v>
      </c>
      <c r="U660" s="2305">
        <f t="shared" si="175"/>
        <v>0</v>
      </c>
      <c r="V660" s="2305">
        <f t="shared" si="176"/>
        <v>0</v>
      </c>
      <c r="W660" s="2300"/>
      <c r="X660" s="2305">
        <f t="shared" si="177"/>
        <v>0</v>
      </c>
      <c r="Y660" s="2305">
        <f t="shared" si="178"/>
        <v>0</v>
      </c>
      <c r="Z660" s="2300"/>
    </row>
    <row r="661" spans="1:26">
      <c r="A661" s="292" t="str">
        <f>'7.15'!B639</f>
        <v>12幢1单元2201室</v>
      </c>
      <c r="B661" s="207">
        <f>'7.17'!G639</f>
        <v>138.16999999999999</v>
      </c>
      <c r="C661" s="197">
        <f t="shared" si="164"/>
        <v>0.98</v>
      </c>
      <c r="D661" s="995" t="s">
        <v>7608</v>
      </c>
      <c r="E661" s="197">
        <f t="shared" si="165"/>
        <v>1.02</v>
      </c>
      <c r="F661" s="995" t="str">
        <f>'7.15'!D639</f>
        <v>平层</v>
      </c>
      <c r="G661" s="197">
        <f t="shared" si="166"/>
        <v>1</v>
      </c>
      <c r="H661" s="995" t="str">
        <f>'7.15'!E639</f>
        <v>南北东</v>
      </c>
      <c r="I661" s="197">
        <f t="shared" si="167"/>
        <v>1.02</v>
      </c>
      <c r="J661" s="995"/>
      <c r="K661" s="197">
        <f t="shared" si="168"/>
        <v>1</v>
      </c>
      <c r="L661" s="995"/>
      <c r="M661" s="197">
        <f t="shared" si="169"/>
        <v>1</v>
      </c>
      <c r="N661" s="995"/>
      <c r="O661" s="197">
        <f t="shared" si="170"/>
        <v>1</v>
      </c>
      <c r="P661" s="995"/>
      <c r="Q661" s="197">
        <f t="shared" si="171"/>
        <v>1</v>
      </c>
      <c r="R661" s="991">
        <f t="shared" ca="1" si="172"/>
        <v>16244</v>
      </c>
      <c r="S661" s="552">
        <f t="shared" ca="1" si="173"/>
        <v>2244433</v>
      </c>
      <c r="T661" s="2010">
        <f t="shared" ca="1" si="174"/>
        <v>224</v>
      </c>
      <c r="U661" s="2305">
        <f t="shared" si="175"/>
        <v>0</v>
      </c>
      <c r="V661" s="2305">
        <f t="shared" si="176"/>
        <v>0</v>
      </c>
      <c r="W661" s="2300"/>
      <c r="X661" s="2305">
        <f t="shared" si="177"/>
        <v>0</v>
      </c>
      <c r="Y661" s="2305">
        <f t="shared" si="178"/>
        <v>0</v>
      </c>
      <c r="Z661" s="2300"/>
    </row>
    <row r="662" spans="1:26">
      <c r="A662" s="292" t="str">
        <f>'7.15'!B640</f>
        <v>12幢1单元2301室</v>
      </c>
      <c r="B662" s="207">
        <f>'7.17'!G640</f>
        <v>138.16999999999999</v>
      </c>
      <c r="C662" s="197">
        <f t="shared" si="164"/>
        <v>0.98</v>
      </c>
      <c r="D662" s="995" t="s">
        <v>7608</v>
      </c>
      <c r="E662" s="197">
        <f t="shared" si="165"/>
        <v>1.02</v>
      </c>
      <c r="F662" s="995" t="str">
        <f>'7.15'!D640</f>
        <v>平层</v>
      </c>
      <c r="G662" s="197">
        <f t="shared" si="166"/>
        <v>1</v>
      </c>
      <c r="H662" s="995" t="str">
        <f>'7.15'!E640</f>
        <v>南北东</v>
      </c>
      <c r="I662" s="197">
        <f t="shared" si="167"/>
        <v>1.02</v>
      </c>
      <c r="J662" s="995"/>
      <c r="K662" s="197">
        <f t="shared" si="168"/>
        <v>1</v>
      </c>
      <c r="L662" s="995"/>
      <c r="M662" s="197">
        <f t="shared" si="169"/>
        <v>1</v>
      </c>
      <c r="N662" s="995"/>
      <c r="O662" s="197">
        <f t="shared" si="170"/>
        <v>1</v>
      </c>
      <c r="P662" s="995"/>
      <c r="Q662" s="197">
        <f t="shared" si="171"/>
        <v>1</v>
      </c>
      <c r="R662" s="991">
        <f t="shared" ca="1" si="172"/>
        <v>16244</v>
      </c>
      <c r="S662" s="552">
        <f t="shared" ca="1" si="173"/>
        <v>2244433</v>
      </c>
      <c r="T662" s="2010">
        <f t="shared" ca="1" si="174"/>
        <v>224</v>
      </c>
      <c r="U662" s="2305">
        <f t="shared" si="175"/>
        <v>0</v>
      </c>
      <c r="V662" s="2305">
        <f t="shared" si="176"/>
        <v>0</v>
      </c>
      <c r="W662" s="2300"/>
      <c r="X662" s="2305">
        <f t="shared" si="177"/>
        <v>0</v>
      </c>
      <c r="Y662" s="2305">
        <f t="shared" si="178"/>
        <v>0</v>
      </c>
      <c r="Z662" s="2300"/>
    </row>
    <row r="663" spans="1:26">
      <c r="A663" s="292" t="str">
        <f>'7.15'!B641</f>
        <v>12幢1单元2401室</v>
      </c>
      <c r="B663" s="207">
        <f>'7.17'!G641</f>
        <v>138.16999999999999</v>
      </c>
      <c r="C663" s="197">
        <f t="shared" si="164"/>
        <v>0.98</v>
      </c>
      <c r="D663" s="995" t="s">
        <v>7608</v>
      </c>
      <c r="E663" s="197">
        <f t="shared" si="165"/>
        <v>1.02</v>
      </c>
      <c r="F663" s="995" t="str">
        <f>'7.15'!D641</f>
        <v>平层</v>
      </c>
      <c r="G663" s="197">
        <f t="shared" si="166"/>
        <v>1</v>
      </c>
      <c r="H663" s="995" t="str">
        <f>'7.15'!E641</f>
        <v>南北东</v>
      </c>
      <c r="I663" s="197">
        <f t="shared" si="167"/>
        <v>1.02</v>
      </c>
      <c r="J663" s="995"/>
      <c r="K663" s="197">
        <f t="shared" si="168"/>
        <v>1</v>
      </c>
      <c r="L663" s="995"/>
      <c r="M663" s="197">
        <f t="shared" si="169"/>
        <v>1</v>
      </c>
      <c r="N663" s="995"/>
      <c r="O663" s="197">
        <f t="shared" si="170"/>
        <v>1</v>
      </c>
      <c r="P663" s="995"/>
      <c r="Q663" s="197">
        <f t="shared" si="171"/>
        <v>1</v>
      </c>
      <c r="R663" s="991">
        <f t="shared" ca="1" si="172"/>
        <v>16244</v>
      </c>
      <c r="S663" s="552">
        <f t="shared" ca="1" si="173"/>
        <v>2244433</v>
      </c>
      <c r="T663" s="2010">
        <f t="shared" ca="1" si="174"/>
        <v>224</v>
      </c>
      <c r="U663" s="2305">
        <f t="shared" si="175"/>
        <v>0</v>
      </c>
      <c r="V663" s="2305">
        <f t="shared" si="176"/>
        <v>0</v>
      </c>
      <c r="W663" s="2300"/>
      <c r="X663" s="2305">
        <f t="shared" si="177"/>
        <v>0</v>
      </c>
      <c r="Y663" s="2305">
        <f t="shared" si="178"/>
        <v>0</v>
      </c>
      <c r="Z663" s="2300"/>
    </row>
    <row r="664" spans="1:26">
      <c r="A664" s="292" t="str">
        <f>'7.15'!B642</f>
        <v>12幢1单元2501室</v>
      </c>
      <c r="B664" s="207">
        <f>'7.17'!G642</f>
        <v>138.16999999999999</v>
      </c>
      <c r="C664" s="197">
        <f t="shared" si="164"/>
        <v>0.98</v>
      </c>
      <c r="D664" s="995" t="s">
        <v>7608</v>
      </c>
      <c r="E664" s="197">
        <f t="shared" si="165"/>
        <v>1.02</v>
      </c>
      <c r="F664" s="995" t="str">
        <f>'7.15'!D642</f>
        <v>平层</v>
      </c>
      <c r="G664" s="197">
        <f t="shared" si="166"/>
        <v>1</v>
      </c>
      <c r="H664" s="995" t="str">
        <f>'7.15'!E642</f>
        <v>南北东</v>
      </c>
      <c r="I664" s="197">
        <f t="shared" si="167"/>
        <v>1.02</v>
      </c>
      <c r="J664" s="995"/>
      <c r="K664" s="197">
        <f t="shared" si="168"/>
        <v>1</v>
      </c>
      <c r="L664" s="995"/>
      <c r="M664" s="197">
        <f t="shared" si="169"/>
        <v>1</v>
      </c>
      <c r="N664" s="995"/>
      <c r="O664" s="197">
        <f t="shared" si="170"/>
        <v>1</v>
      </c>
      <c r="P664" s="995"/>
      <c r="Q664" s="197">
        <f t="shared" si="171"/>
        <v>1</v>
      </c>
      <c r="R664" s="991">
        <f t="shared" ca="1" si="172"/>
        <v>16244</v>
      </c>
      <c r="S664" s="552">
        <f t="shared" ca="1" si="173"/>
        <v>2244433</v>
      </c>
      <c r="T664" s="2010">
        <f t="shared" ca="1" si="174"/>
        <v>224</v>
      </c>
      <c r="U664" s="2305">
        <f t="shared" si="175"/>
        <v>0</v>
      </c>
      <c r="V664" s="2305">
        <f t="shared" si="176"/>
        <v>0</v>
      </c>
      <c r="W664" s="2300"/>
      <c r="X664" s="2305">
        <f t="shared" si="177"/>
        <v>0</v>
      </c>
      <c r="Y664" s="2305">
        <f t="shared" si="178"/>
        <v>0</v>
      </c>
      <c r="Z664" s="2300"/>
    </row>
    <row r="665" spans="1:26">
      <c r="A665" s="292" t="str">
        <f>'7.15'!B643</f>
        <v>12幢1单元2601室</v>
      </c>
      <c r="B665" s="207">
        <f>'7.17'!G643</f>
        <v>138.16999999999999</v>
      </c>
      <c r="C665" s="197">
        <f t="shared" si="164"/>
        <v>0.98</v>
      </c>
      <c r="D665" s="995" t="s">
        <v>7608</v>
      </c>
      <c r="E665" s="197">
        <f t="shared" si="165"/>
        <v>1.02</v>
      </c>
      <c r="F665" s="995" t="str">
        <f>'7.15'!D643</f>
        <v>平层</v>
      </c>
      <c r="G665" s="197">
        <f t="shared" si="166"/>
        <v>1</v>
      </c>
      <c r="H665" s="995" t="str">
        <f>'7.15'!E643</f>
        <v>南北东</v>
      </c>
      <c r="I665" s="197">
        <f t="shared" si="167"/>
        <v>1.02</v>
      </c>
      <c r="J665" s="995"/>
      <c r="K665" s="197">
        <f t="shared" si="168"/>
        <v>1</v>
      </c>
      <c r="L665" s="995"/>
      <c r="M665" s="197">
        <f t="shared" si="169"/>
        <v>1</v>
      </c>
      <c r="N665" s="995"/>
      <c r="O665" s="197">
        <f t="shared" si="170"/>
        <v>1</v>
      </c>
      <c r="P665" s="995"/>
      <c r="Q665" s="197">
        <f t="shared" si="171"/>
        <v>1</v>
      </c>
      <c r="R665" s="991">
        <f t="shared" ca="1" si="172"/>
        <v>16244</v>
      </c>
      <c r="S665" s="552">
        <f t="shared" ca="1" si="173"/>
        <v>2244433</v>
      </c>
      <c r="T665" s="2010">
        <f t="shared" ca="1" si="174"/>
        <v>224</v>
      </c>
      <c r="U665" s="2305">
        <f t="shared" si="175"/>
        <v>0</v>
      </c>
      <c r="V665" s="2305">
        <f t="shared" si="176"/>
        <v>0</v>
      </c>
      <c r="W665" s="2300"/>
      <c r="X665" s="2305">
        <f t="shared" si="177"/>
        <v>0</v>
      </c>
      <c r="Y665" s="2305">
        <f t="shared" si="178"/>
        <v>0</v>
      </c>
      <c r="Z665" s="2300"/>
    </row>
    <row r="666" spans="1:26">
      <c r="A666" s="292" t="str">
        <f>'7.15'!B644</f>
        <v>12幢1单元2701室</v>
      </c>
      <c r="B666" s="207">
        <f>'7.17'!G644</f>
        <v>138.16999999999999</v>
      </c>
      <c r="C666" s="197">
        <f t="shared" si="164"/>
        <v>0.98</v>
      </c>
      <c r="D666" s="995" t="s">
        <v>7608</v>
      </c>
      <c r="E666" s="197">
        <f t="shared" si="165"/>
        <v>1.02</v>
      </c>
      <c r="F666" s="995" t="str">
        <f>'7.15'!D644</f>
        <v>平层</v>
      </c>
      <c r="G666" s="197">
        <f t="shared" si="166"/>
        <v>1</v>
      </c>
      <c r="H666" s="995" t="str">
        <f>'7.15'!E644</f>
        <v>南北东</v>
      </c>
      <c r="I666" s="197">
        <f t="shared" si="167"/>
        <v>1.02</v>
      </c>
      <c r="J666" s="995"/>
      <c r="K666" s="197">
        <f t="shared" si="168"/>
        <v>1</v>
      </c>
      <c r="L666" s="995"/>
      <c r="M666" s="197">
        <f t="shared" si="169"/>
        <v>1</v>
      </c>
      <c r="N666" s="995"/>
      <c r="O666" s="197">
        <f t="shared" si="170"/>
        <v>1</v>
      </c>
      <c r="P666" s="995"/>
      <c r="Q666" s="197">
        <f t="shared" si="171"/>
        <v>1</v>
      </c>
      <c r="R666" s="991">
        <f t="shared" ca="1" si="172"/>
        <v>16244</v>
      </c>
      <c r="S666" s="552">
        <f t="shared" ca="1" si="173"/>
        <v>2244433</v>
      </c>
      <c r="T666" s="2010">
        <f t="shared" ca="1" si="174"/>
        <v>224</v>
      </c>
      <c r="U666" s="2305">
        <f t="shared" si="175"/>
        <v>0</v>
      </c>
      <c r="V666" s="2305">
        <f t="shared" si="176"/>
        <v>0</v>
      </c>
      <c r="W666" s="2300"/>
      <c r="X666" s="2305">
        <f t="shared" si="177"/>
        <v>0</v>
      </c>
      <c r="Y666" s="2305">
        <f t="shared" si="178"/>
        <v>0</v>
      </c>
      <c r="Z666" s="2300"/>
    </row>
    <row r="667" spans="1:26">
      <c r="A667" s="292" t="str">
        <f>'7.15'!B645</f>
        <v>12幢1单元2801室</v>
      </c>
      <c r="B667" s="207">
        <f>'7.17'!G645</f>
        <v>138.16999999999999</v>
      </c>
      <c r="C667" s="197">
        <f t="shared" si="164"/>
        <v>0.98</v>
      </c>
      <c r="D667" s="995" t="s">
        <v>7608</v>
      </c>
      <c r="E667" s="197">
        <f t="shared" si="165"/>
        <v>1.02</v>
      </c>
      <c r="F667" s="995" t="str">
        <f>'7.15'!D645</f>
        <v>平层</v>
      </c>
      <c r="G667" s="197">
        <f t="shared" si="166"/>
        <v>1</v>
      </c>
      <c r="H667" s="995" t="str">
        <f>'7.15'!E645</f>
        <v>南北东</v>
      </c>
      <c r="I667" s="197">
        <f t="shared" si="167"/>
        <v>1.02</v>
      </c>
      <c r="J667" s="995"/>
      <c r="K667" s="197">
        <f t="shared" si="168"/>
        <v>1</v>
      </c>
      <c r="L667" s="995"/>
      <c r="M667" s="197">
        <f t="shared" si="169"/>
        <v>1</v>
      </c>
      <c r="N667" s="995"/>
      <c r="O667" s="197">
        <f t="shared" si="170"/>
        <v>1</v>
      </c>
      <c r="P667" s="995"/>
      <c r="Q667" s="197">
        <f t="shared" si="171"/>
        <v>1</v>
      </c>
      <c r="R667" s="991">
        <f t="shared" ca="1" si="172"/>
        <v>16244</v>
      </c>
      <c r="S667" s="552">
        <f t="shared" ca="1" si="173"/>
        <v>2244433</v>
      </c>
      <c r="T667" s="2010">
        <f t="shared" ca="1" si="174"/>
        <v>224</v>
      </c>
      <c r="U667" s="2305">
        <f t="shared" si="175"/>
        <v>0</v>
      </c>
      <c r="V667" s="2305">
        <f t="shared" si="176"/>
        <v>0</v>
      </c>
      <c r="W667" s="2300"/>
      <c r="X667" s="2305">
        <f t="shared" si="177"/>
        <v>0</v>
      </c>
      <c r="Y667" s="2305">
        <f t="shared" si="178"/>
        <v>0</v>
      </c>
      <c r="Z667" s="2300"/>
    </row>
    <row r="668" spans="1:26">
      <c r="A668" s="292" t="str">
        <f>'7.15'!B646</f>
        <v>12幢1单元2901室</v>
      </c>
      <c r="B668" s="207">
        <f>'7.17'!G646</f>
        <v>138.16999999999999</v>
      </c>
      <c r="C668" s="197">
        <f t="shared" si="164"/>
        <v>0.98</v>
      </c>
      <c r="D668" s="995" t="s">
        <v>7608</v>
      </c>
      <c r="E668" s="197">
        <f t="shared" si="165"/>
        <v>1.02</v>
      </c>
      <c r="F668" s="995" t="str">
        <f>'7.15'!D646</f>
        <v>平层</v>
      </c>
      <c r="G668" s="197">
        <f t="shared" si="166"/>
        <v>1</v>
      </c>
      <c r="H668" s="995" t="str">
        <f>'7.15'!E646</f>
        <v>南北东</v>
      </c>
      <c r="I668" s="197">
        <f t="shared" si="167"/>
        <v>1.02</v>
      </c>
      <c r="J668" s="995"/>
      <c r="K668" s="197">
        <f t="shared" si="168"/>
        <v>1</v>
      </c>
      <c r="L668" s="995"/>
      <c r="M668" s="197">
        <f t="shared" si="169"/>
        <v>1</v>
      </c>
      <c r="N668" s="995"/>
      <c r="O668" s="197">
        <f t="shared" si="170"/>
        <v>1</v>
      </c>
      <c r="P668" s="995"/>
      <c r="Q668" s="197">
        <f t="shared" si="171"/>
        <v>1</v>
      </c>
      <c r="R668" s="991">
        <f t="shared" ca="1" si="172"/>
        <v>16244</v>
      </c>
      <c r="S668" s="552">
        <f t="shared" ca="1" si="173"/>
        <v>2244433</v>
      </c>
      <c r="T668" s="2010">
        <f t="shared" ca="1" si="174"/>
        <v>224</v>
      </c>
      <c r="U668" s="2305">
        <f t="shared" si="175"/>
        <v>0</v>
      </c>
      <c r="V668" s="2305">
        <f t="shared" si="176"/>
        <v>0</v>
      </c>
      <c r="W668" s="2300"/>
      <c r="X668" s="2305">
        <f t="shared" si="177"/>
        <v>0</v>
      </c>
      <c r="Y668" s="2305">
        <f t="shared" si="178"/>
        <v>0</v>
      </c>
      <c r="Z668" s="2300"/>
    </row>
    <row r="669" spans="1:26">
      <c r="A669" s="292" t="str">
        <f>'7.15'!B647</f>
        <v>12幢1单元3001室</v>
      </c>
      <c r="B669" s="207">
        <f>'7.17'!G647</f>
        <v>123.9</v>
      </c>
      <c r="C669" s="197">
        <f t="shared" si="164"/>
        <v>0.98</v>
      </c>
      <c r="D669" s="995" t="s">
        <v>7608</v>
      </c>
      <c r="E669" s="197">
        <f t="shared" si="165"/>
        <v>1.02</v>
      </c>
      <c r="F669" s="995" t="str">
        <f>'7.15'!D647</f>
        <v>平层</v>
      </c>
      <c r="G669" s="197">
        <f t="shared" si="166"/>
        <v>1</v>
      </c>
      <c r="H669" s="995" t="str">
        <f>'7.15'!E647</f>
        <v>南北东</v>
      </c>
      <c r="I669" s="197">
        <f t="shared" si="167"/>
        <v>1.02</v>
      </c>
      <c r="J669" s="995"/>
      <c r="K669" s="197">
        <f t="shared" si="168"/>
        <v>1</v>
      </c>
      <c r="L669" s="995"/>
      <c r="M669" s="197">
        <f t="shared" si="169"/>
        <v>1</v>
      </c>
      <c r="N669" s="995"/>
      <c r="O669" s="197">
        <f t="shared" si="170"/>
        <v>1</v>
      </c>
      <c r="P669" s="995"/>
      <c r="Q669" s="197">
        <f t="shared" si="171"/>
        <v>1</v>
      </c>
      <c r="R669" s="991">
        <f t="shared" ca="1" si="172"/>
        <v>16244</v>
      </c>
      <c r="S669" s="552">
        <f t="shared" ca="1" si="173"/>
        <v>2012632</v>
      </c>
      <c r="T669" s="2010">
        <f t="shared" ca="1" si="174"/>
        <v>201</v>
      </c>
      <c r="U669" s="2305">
        <f t="shared" si="175"/>
        <v>0</v>
      </c>
      <c r="V669" s="2305">
        <f t="shared" si="176"/>
        <v>0</v>
      </c>
      <c r="W669" s="2300"/>
      <c r="X669" s="2305">
        <f t="shared" si="177"/>
        <v>0</v>
      </c>
      <c r="Y669" s="2305">
        <f t="shared" si="178"/>
        <v>0</v>
      </c>
      <c r="Z669" s="2300"/>
    </row>
    <row r="670" spans="1:26">
      <c r="A670" s="292" t="str">
        <f>'7.15'!B648</f>
        <v>12幢1单元202室</v>
      </c>
      <c r="B670" s="207">
        <f>'7.17'!G648</f>
        <v>88.18</v>
      </c>
      <c r="C670" s="197">
        <f t="shared" si="164"/>
        <v>1</v>
      </c>
      <c r="D670" s="995" t="s">
        <v>7606</v>
      </c>
      <c r="E670" s="197">
        <f t="shared" si="165"/>
        <v>1</v>
      </c>
      <c r="F670" s="995" t="str">
        <f>'7.15'!D648</f>
        <v>平层</v>
      </c>
      <c r="G670" s="197">
        <f t="shared" si="166"/>
        <v>1</v>
      </c>
      <c r="H670" s="995" t="str">
        <f>'7.15'!E648</f>
        <v>南北</v>
      </c>
      <c r="I670" s="197">
        <f t="shared" si="167"/>
        <v>1</v>
      </c>
      <c r="J670" s="995"/>
      <c r="K670" s="197">
        <f t="shared" si="168"/>
        <v>1</v>
      </c>
      <c r="L670" s="995"/>
      <c r="M670" s="197">
        <f t="shared" si="169"/>
        <v>1</v>
      </c>
      <c r="N670" s="995"/>
      <c r="O670" s="197">
        <f t="shared" si="170"/>
        <v>1</v>
      </c>
      <c r="P670" s="995"/>
      <c r="Q670" s="197">
        <f t="shared" si="171"/>
        <v>1</v>
      </c>
      <c r="R670" s="991">
        <f t="shared" ca="1" si="172"/>
        <v>15932</v>
      </c>
      <c r="S670" s="552">
        <f t="shared" ca="1" si="173"/>
        <v>1404884</v>
      </c>
      <c r="T670" s="2010">
        <f t="shared" ca="1" si="174"/>
        <v>140</v>
      </c>
      <c r="U670" s="2305">
        <f t="shared" si="175"/>
        <v>0</v>
      </c>
      <c r="V670" s="2305">
        <f t="shared" si="176"/>
        <v>0</v>
      </c>
      <c r="W670" s="2300"/>
      <c r="X670" s="2305">
        <f t="shared" si="177"/>
        <v>0</v>
      </c>
      <c r="Y670" s="2305">
        <f t="shared" si="178"/>
        <v>0</v>
      </c>
      <c r="Z670" s="2300"/>
    </row>
    <row r="671" spans="1:26">
      <c r="A671" s="292" t="str">
        <f>'7.15'!B649</f>
        <v>12幢1单元302室</v>
      </c>
      <c r="B671" s="207">
        <f>'7.17'!G649</f>
        <v>88.18</v>
      </c>
      <c r="C671" s="197">
        <f t="shared" si="164"/>
        <v>1</v>
      </c>
      <c r="D671" s="995" t="s">
        <v>7606</v>
      </c>
      <c r="E671" s="197">
        <f t="shared" si="165"/>
        <v>1</v>
      </c>
      <c r="F671" s="995" t="str">
        <f>'7.15'!D649</f>
        <v>平层</v>
      </c>
      <c r="G671" s="197">
        <f t="shared" si="166"/>
        <v>1</v>
      </c>
      <c r="H671" s="995" t="str">
        <f>'7.15'!E649</f>
        <v>南北</v>
      </c>
      <c r="I671" s="197">
        <f t="shared" si="167"/>
        <v>1</v>
      </c>
      <c r="J671" s="995"/>
      <c r="K671" s="197">
        <f t="shared" si="168"/>
        <v>1</v>
      </c>
      <c r="L671" s="995"/>
      <c r="M671" s="197">
        <f t="shared" si="169"/>
        <v>1</v>
      </c>
      <c r="N671" s="995"/>
      <c r="O671" s="197">
        <f t="shared" si="170"/>
        <v>1</v>
      </c>
      <c r="P671" s="995"/>
      <c r="Q671" s="197">
        <f t="shared" si="171"/>
        <v>1</v>
      </c>
      <c r="R671" s="991">
        <f t="shared" ca="1" si="172"/>
        <v>15932</v>
      </c>
      <c r="S671" s="552">
        <f t="shared" ca="1" si="173"/>
        <v>1404884</v>
      </c>
      <c r="T671" s="2010">
        <f t="shared" ca="1" si="174"/>
        <v>140</v>
      </c>
      <c r="U671" s="2305">
        <f t="shared" si="175"/>
        <v>0</v>
      </c>
      <c r="V671" s="2305">
        <f t="shared" si="176"/>
        <v>0</v>
      </c>
      <c r="W671" s="2300"/>
      <c r="X671" s="2305">
        <f t="shared" si="177"/>
        <v>0</v>
      </c>
      <c r="Y671" s="2305">
        <f t="shared" si="178"/>
        <v>0</v>
      </c>
      <c r="Z671" s="2300"/>
    </row>
    <row r="672" spans="1:26">
      <c r="A672" s="292" t="str">
        <f>'7.15'!B650</f>
        <v>12幢1单元402室</v>
      </c>
      <c r="B672" s="207">
        <f>'7.17'!G650</f>
        <v>88.18</v>
      </c>
      <c r="C672" s="197">
        <f t="shared" si="164"/>
        <v>1</v>
      </c>
      <c r="D672" s="995" t="s">
        <v>7606</v>
      </c>
      <c r="E672" s="197">
        <f t="shared" si="165"/>
        <v>1</v>
      </c>
      <c r="F672" s="995" t="str">
        <f>'7.15'!D650</f>
        <v>平层</v>
      </c>
      <c r="G672" s="197">
        <f t="shared" si="166"/>
        <v>1</v>
      </c>
      <c r="H672" s="995" t="str">
        <f>'7.15'!E650</f>
        <v>南北</v>
      </c>
      <c r="I672" s="197">
        <f t="shared" si="167"/>
        <v>1</v>
      </c>
      <c r="J672" s="995"/>
      <c r="K672" s="197">
        <f t="shared" si="168"/>
        <v>1</v>
      </c>
      <c r="L672" s="995"/>
      <c r="M672" s="197">
        <f t="shared" si="169"/>
        <v>1</v>
      </c>
      <c r="N672" s="995"/>
      <c r="O672" s="197">
        <f t="shared" si="170"/>
        <v>1</v>
      </c>
      <c r="P672" s="995"/>
      <c r="Q672" s="197">
        <f t="shared" si="171"/>
        <v>1</v>
      </c>
      <c r="R672" s="991">
        <f t="shared" ca="1" si="172"/>
        <v>15932</v>
      </c>
      <c r="S672" s="552">
        <f t="shared" ca="1" si="173"/>
        <v>1404884</v>
      </c>
      <c r="T672" s="2010">
        <f t="shared" ca="1" si="174"/>
        <v>140</v>
      </c>
      <c r="U672" s="2305">
        <f t="shared" si="175"/>
        <v>0</v>
      </c>
      <c r="V672" s="2305">
        <f t="shared" si="176"/>
        <v>0</v>
      </c>
      <c r="W672" s="2300"/>
      <c r="X672" s="2305">
        <f t="shared" si="177"/>
        <v>0</v>
      </c>
      <c r="Y672" s="2305">
        <f t="shared" si="178"/>
        <v>0</v>
      </c>
      <c r="Z672" s="2300"/>
    </row>
    <row r="673" spans="1:26">
      <c r="A673" s="292" t="str">
        <f>'7.15'!B651</f>
        <v>12幢1单元502室</v>
      </c>
      <c r="B673" s="207">
        <f>'7.17'!G651</f>
        <v>88.18</v>
      </c>
      <c r="C673" s="197">
        <f t="shared" si="164"/>
        <v>1</v>
      </c>
      <c r="D673" s="995" t="s">
        <v>7606</v>
      </c>
      <c r="E673" s="197">
        <f t="shared" si="165"/>
        <v>1</v>
      </c>
      <c r="F673" s="995" t="str">
        <f>'7.15'!D651</f>
        <v>平层</v>
      </c>
      <c r="G673" s="197">
        <f t="shared" si="166"/>
        <v>1</v>
      </c>
      <c r="H673" s="995" t="str">
        <f>'7.15'!E651</f>
        <v>南北</v>
      </c>
      <c r="I673" s="197">
        <f t="shared" si="167"/>
        <v>1</v>
      </c>
      <c r="J673" s="995"/>
      <c r="K673" s="197">
        <f t="shared" si="168"/>
        <v>1</v>
      </c>
      <c r="L673" s="995"/>
      <c r="M673" s="197">
        <f t="shared" si="169"/>
        <v>1</v>
      </c>
      <c r="N673" s="995"/>
      <c r="O673" s="197">
        <f t="shared" si="170"/>
        <v>1</v>
      </c>
      <c r="P673" s="995"/>
      <c r="Q673" s="197">
        <f t="shared" si="171"/>
        <v>1</v>
      </c>
      <c r="R673" s="991">
        <f t="shared" ca="1" si="172"/>
        <v>15932</v>
      </c>
      <c r="S673" s="552">
        <f t="shared" ca="1" si="173"/>
        <v>1404884</v>
      </c>
      <c r="T673" s="2010">
        <f t="shared" ca="1" si="174"/>
        <v>140</v>
      </c>
      <c r="U673" s="2305">
        <f t="shared" si="175"/>
        <v>0</v>
      </c>
      <c r="V673" s="2305">
        <f t="shared" si="176"/>
        <v>0</v>
      </c>
      <c r="W673" s="2300"/>
      <c r="X673" s="2305">
        <f t="shared" si="177"/>
        <v>0</v>
      </c>
      <c r="Y673" s="2305">
        <f t="shared" si="178"/>
        <v>0</v>
      </c>
      <c r="Z673" s="2300"/>
    </row>
    <row r="674" spans="1:26">
      <c r="A674" s="292" t="str">
        <f>'7.15'!B652</f>
        <v>12幢1单元602室</v>
      </c>
      <c r="B674" s="207">
        <f>'7.17'!G652</f>
        <v>88.18</v>
      </c>
      <c r="C674" s="197">
        <f t="shared" si="164"/>
        <v>1</v>
      </c>
      <c r="D674" s="995" t="s">
        <v>7606</v>
      </c>
      <c r="E674" s="197">
        <f t="shared" si="165"/>
        <v>1</v>
      </c>
      <c r="F674" s="995" t="str">
        <f>'7.15'!D652</f>
        <v>平层</v>
      </c>
      <c r="G674" s="197">
        <f t="shared" si="166"/>
        <v>1</v>
      </c>
      <c r="H674" s="995" t="str">
        <f>'7.15'!E652</f>
        <v>南北</v>
      </c>
      <c r="I674" s="197">
        <f t="shared" si="167"/>
        <v>1</v>
      </c>
      <c r="J674" s="995"/>
      <c r="K674" s="197">
        <f t="shared" si="168"/>
        <v>1</v>
      </c>
      <c r="L674" s="995"/>
      <c r="M674" s="197">
        <f t="shared" si="169"/>
        <v>1</v>
      </c>
      <c r="N674" s="995"/>
      <c r="O674" s="197">
        <f t="shared" si="170"/>
        <v>1</v>
      </c>
      <c r="P674" s="995"/>
      <c r="Q674" s="197">
        <f t="shared" si="171"/>
        <v>1</v>
      </c>
      <c r="R674" s="991">
        <f t="shared" ca="1" si="172"/>
        <v>15932</v>
      </c>
      <c r="S674" s="552">
        <f t="shared" ca="1" si="173"/>
        <v>1404884</v>
      </c>
      <c r="T674" s="2010">
        <f t="shared" ca="1" si="174"/>
        <v>140</v>
      </c>
      <c r="U674" s="2305">
        <f t="shared" si="175"/>
        <v>0</v>
      </c>
      <c r="V674" s="2305">
        <f t="shared" si="176"/>
        <v>0</v>
      </c>
      <c r="W674" s="2300"/>
      <c r="X674" s="2305">
        <f t="shared" si="177"/>
        <v>0</v>
      </c>
      <c r="Y674" s="2305">
        <f t="shared" si="178"/>
        <v>0</v>
      </c>
      <c r="Z674" s="2300"/>
    </row>
    <row r="675" spans="1:26">
      <c r="A675" s="292" t="str">
        <f>'7.15'!B653</f>
        <v>12幢1单元702室</v>
      </c>
      <c r="B675" s="207">
        <f>'7.17'!G653</f>
        <v>88.18</v>
      </c>
      <c r="C675" s="197">
        <f t="shared" si="164"/>
        <v>1</v>
      </c>
      <c r="D675" s="995" t="s">
        <v>7606</v>
      </c>
      <c r="E675" s="197">
        <f t="shared" si="165"/>
        <v>1</v>
      </c>
      <c r="F675" s="995" t="str">
        <f>'7.15'!D653</f>
        <v>平层</v>
      </c>
      <c r="G675" s="197">
        <f t="shared" si="166"/>
        <v>1</v>
      </c>
      <c r="H675" s="995" t="str">
        <f>'7.15'!E653</f>
        <v>南北</v>
      </c>
      <c r="I675" s="197">
        <f t="shared" si="167"/>
        <v>1</v>
      </c>
      <c r="J675" s="995"/>
      <c r="K675" s="197">
        <f t="shared" si="168"/>
        <v>1</v>
      </c>
      <c r="L675" s="995"/>
      <c r="M675" s="197">
        <f t="shared" si="169"/>
        <v>1</v>
      </c>
      <c r="N675" s="995"/>
      <c r="O675" s="197">
        <f t="shared" si="170"/>
        <v>1</v>
      </c>
      <c r="P675" s="995"/>
      <c r="Q675" s="197">
        <f t="shared" si="171"/>
        <v>1</v>
      </c>
      <c r="R675" s="991">
        <f t="shared" ca="1" si="172"/>
        <v>15932</v>
      </c>
      <c r="S675" s="552">
        <f t="shared" ca="1" si="173"/>
        <v>1404884</v>
      </c>
      <c r="T675" s="2010">
        <f t="shared" ca="1" si="174"/>
        <v>140</v>
      </c>
      <c r="U675" s="2305">
        <f t="shared" si="175"/>
        <v>0</v>
      </c>
      <c r="V675" s="2305">
        <f t="shared" si="176"/>
        <v>0</v>
      </c>
      <c r="W675" s="2300"/>
      <c r="X675" s="2305">
        <f t="shared" si="177"/>
        <v>0</v>
      </c>
      <c r="Y675" s="2305">
        <f t="shared" si="178"/>
        <v>0</v>
      </c>
      <c r="Z675" s="2300"/>
    </row>
    <row r="676" spans="1:26">
      <c r="A676" s="292" t="str">
        <f>'7.15'!B654</f>
        <v>12幢1单元802室</v>
      </c>
      <c r="B676" s="207">
        <f>'7.17'!G654</f>
        <v>88.18</v>
      </c>
      <c r="C676" s="197">
        <f t="shared" si="164"/>
        <v>1</v>
      </c>
      <c r="D676" s="995" t="s">
        <v>7606</v>
      </c>
      <c r="E676" s="197">
        <f t="shared" si="165"/>
        <v>1</v>
      </c>
      <c r="F676" s="995" t="str">
        <f>'7.15'!D654</f>
        <v>平层</v>
      </c>
      <c r="G676" s="197">
        <f t="shared" si="166"/>
        <v>1</v>
      </c>
      <c r="H676" s="995" t="str">
        <f>'7.15'!E654</f>
        <v>南北</v>
      </c>
      <c r="I676" s="197">
        <f t="shared" si="167"/>
        <v>1</v>
      </c>
      <c r="J676" s="995"/>
      <c r="K676" s="197">
        <f t="shared" si="168"/>
        <v>1</v>
      </c>
      <c r="L676" s="995"/>
      <c r="M676" s="197">
        <f t="shared" si="169"/>
        <v>1</v>
      </c>
      <c r="N676" s="995"/>
      <c r="O676" s="197">
        <f t="shared" si="170"/>
        <v>1</v>
      </c>
      <c r="P676" s="995"/>
      <c r="Q676" s="197">
        <f t="shared" si="171"/>
        <v>1</v>
      </c>
      <c r="R676" s="991">
        <f t="shared" ca="1" si="172"/>
        <v>15932</v>
      </c>
      <c r="S676" s="552">
        <f t="shared" ca="1" si="173"/>
        <v>1404884</v>
      </c>
      <c r="T676" s="2010">
        <f t="shared" ca="1" si="174"/>
        <v>140</v>
      </c>
      <c r="U676" s="2305">
        <f t="shared" si="175"/>
        <v>0</v>
      </c>
      <c r="V676" s="2305">
        <f t="shared" si="176"/>
        <v>0</v>
      </c>
      <c r="W676" s="2300"/>
      <c r="X676" s="2305">
        <f t="shared" si="177"/>
        <v>0</v>
      </c>
      <c r="Y676" s="2305">
        <f t="shared" si="178"/>
        <v>0</v>
      </c>
      <c r="Z676" s="2300"/>
    </row>
    <row r="677" spans="1:26">
      <c r="A677" s="292" t="str">
        <f>'7.15'!B655</f>
        <v>12幢1单元902室</v>
      </c>
      <c r="B677" s="207">
        <f>'7.17'!G655</f>
        <v>88.18</v>
      </c>
      <c r="C677" s="197">
        <f t="shared" si="164"/>
        <v>1</v>
      </c>
      <c r="D677" s="995" t="s">
        <v>7606</v>
      </c>
      <c r="E677" s="197">
        <f t="shared" si="165"/>
        <v>1</v>
      </c>
      <c r="F677" s="995" t="str">
        <f>'7.15'!D655</f>
        <v>平层</v>
      </c>
      <c r="G677" s="197">
        <f t="shared" si="166"/>
        <v>1</v>
      </c>
      <c r="H677" s="995" t="str">
        <f>'7.15'!E655</f>
        <v>南北</v>
      </c>
      <c r="I677" s="197">
        <f t="shared" si="167"/>
        <v>1</v>
      </c>
      <c r="J677" s="995"/>
      <c r="K677" s="197">
        <f t="shared" si="168"/>
        <v>1</v>
      </c>
      <c r="L677" s="995"/>
      <c r="M677" s="197">
        <f t="shared" si="169"/>
        <v>1</v>
      </c>
      <c r="N677" s="995"/>
      <c r="O677" s="197">
        <f t="shared" si="170"/>
        <v>1</v>
      </c>
      <c r="P677" s="995"/>
      <c r="Q677" s="197">
        <f t="shared" si="171"/>
        <v>1</v>
      </c>
      <c r="R677" s="991">
        <f t="shared" ca="1" si="172"/>
        <v>15932</v>
      </c>
      <c r="S677" s="552">
        <f t="shared" ca="1" si="173"/>
        <v>1404884</v>
      </c>
      <c r="T677" s="2010">
        <f t="shared" ca="1" si="174"/>
        <v>140</v>
      </c>
      <c r="U677" s="2305">
        <f t="shared" si="175"/>
        <v>0</v>
      </c>
      <c r="V677" s="2305">
        <f t="shared" si="176"/>
        <v>0</v>
      </c>
      <c r="W677" s="2300"/>
      <c r="X677" s="2305">
        <f t="shared" si="177"/>
        <v>0</v>
      </c>
      <c r="Y677" s="2305">
        <f t="shared" si="178"/>
        <v>0</v>
      </c>
      <c r="Z677" s="2300"/>
    </row>
    <row r="678" spans="1:26">
      <c r="A678" s="292" t="str">
        <f>'7.15'!B656</f>
        <v>12幢1单元1002室</v>
      </c>
      <c r="B678" s="207">
        <f>'7.17'!G656</f>
        <v>88.18</v>
      </c>
      <c r="C678" s="197">
        <f t="shared" si="164"/>
        <v>1</v>
      </c>
      <c r="D678" s="995" t="s">
        <v>7606</v>
      </c>
      <c r="E678" s="197">
        <f t="shared" si="165"/>
        <v>1</v>
      </c>
      <c r="F678" s="995" t="str">
        <f>'7.15'!D656</f>
        <v>平层</v>
      </c>
      <c r="G678" s="197">
        <f t="shared" si="166"/>
        <v>1</v>
      </c>
      <c r="H678" s="995" t="str">
        <f>'7.15'!E656</f>
        <v>南北</v>
      </c>
      <c r="I678" s="197">
        <f t="shared" si="167"/>
        <v>1</v>
      </c>
      <c r="J678" s="995"/>
      <c r="K678" s="197">
        <f t="shared" si="168"/>
        <v>1</v>
      </c>
      <c r="L678" s="995"/>
      <c r="M678" s="197">
        <f t="shared" si="169"/>
        <v>1</v>
      </c>
      <c r="N678" s="995"/>
      <c r="O678" s="197">
        <f t="shared" si="170"/>
        <v>1</v>
      </c>
      <c r="P678" s="995"/>
      <c r="Q678" s="197">
        <f t="shared" si="171"/>
        <v>1</v>
      </c>
      <c r="R678" s="991">
        <f t="shared" ca="1" si="172"/>
        <v>15932</v>
      </c>
      <c r="S678" s="552">
        <f t="shared" ca="1" si="173"/>
        <v>1404884</v>
      </c>
      <c r="T678" s="2010">
        <f t="shared" ca="1" si="174"/>
        <v>140</v>
      </c>
      <c r="U678" s="2305">
        <f t="shared" si="175"/>
        <v>0</v>
      </c>
      <c r="V678" s="2305">
        <f t="shared" si="176"/>
        <v>0</v>
      </c>
      <c r="W678" s="2300"/>
      <c r="X678" s="2305">
        <f t="shared" si="177"/>
        <v>0</v>
      </c>
      <c r="Y678" s="2305">
        <f t="shared" si="178"/>
        <v>0</v>
      </c>
      <c r="Z678" s="2300"/>
    </row>
    <row r="679" spans="1:26">
      <c r="A679" s="292" t="str">
        <f>'7.15'!B657</f>
        <v>12幢1单元1102室</v>
      </c>
      <c r="B679" s="207">
        <f>'7.17'!G657</f>
        <v>88.18</v>
      </c>
      <c r="C679" s="197">
        <f t="shared" si="164"/>
        <v>1</v>
      </c>
      <c r="D679" s="995" t="s">
        <v>7609</v>
      </c>
      <c r="E679" s="197">
        <f t="shared" si="165"/>
        <v>1.04</v>
      </c>
      <c r="F679" s="995" t="str">
        <f>'7.15'!D657</f>
        <v>平层</v>
      </c>
      <c r="G679" s="197">
        <f t="shared" si="166"/>
        <v>1</v>
      </c>
      <c r="H679" s="995" t="str">
        <f>'7.15'!E657</f>
        <v>南北</v>
      </c>
      <c r="I679" s="197">
        <f t="shared" si="167"/>
        <v>1</v>
      </c>
      <c r="J679" s="995"/>
      <c r="K679" s="197">
        <f t="shared" si="168"/>
        <v>1</v>
      </c>
      <c r="L679" s="995"/>
      <c r="M679" s="197">
        <f t="shared" si="169"/>
        <v>1</v>
      </c>
      <c r="N679" s="995"/>
      <c r="O679" s="197">
        <f t="shared" si="170"/>
        <v>1</v>
      </c>
      <c r="P679" s="995"/>
      <c r="Q679" s="197">
        <f t="shared" si="171"/>
        <v>1</v>
      </c>
      <c r="R679" s="991">
        <f t="shared" ca="1" si="172"/>
        <v>16569</v>
      </c>
      <c r="S679" s="552">
        <f t="shared" ca="1" si="173"/>
        <v>1461054</v>
      </c>
      <c r="T679" s="2010">
        <f t="shared" ca="1" si="174"/>
        <v>146</v>
      </c>
      <c r="U679" s="2305">
        <f t="shared" si="175"/>
        <v>0</v>
      </c>
      <c r="V679" s="2305">
        <f t="shared" si="176"/>
        <v>0</v>
      </c>
      <c r="W679" s="2300"/>
      <c r="X679" s="2305">
        <f t="shared" si="177"/>
        <v>0</v>
      </c>
      <c r="Y679" s="2305">
        <f t="shared" si="178"/>
        <v>0</v>
      </c>
      <c r="Z679" s="2300"/>
    </row>
    <row r="680" spans="1:26">
      <c r="A680" s="292" t="str">
        <f>'7.15'!B658</f>
        <v>12幢1单元1202室</v>
      </c>
      <c r="B680" s="207">
        <f>'7.17'!G658</f>
        <v>88.18</v>
      </c>
      <c r="C680" s="197">
        <f t="shared" si="164"/>
        <v>1</v>
      </c>
      <c r="D680" s="995" t="s">
        <v>7609</v>
      </c>
      <c r="E680" s="197">
        <f t="shared" si="165"/>
        <v>1.04</v>
      </c>
      <c r="F680" s="995" t="str">
        <f>'7.15'!D658</f>
        <v>平层</v>
      </c>
      <c r="G680" s="197">
        <f t="shared" si="166"/>
        <v>1</v>
      </c>
      <c r="H680" s="995" t="str">
        <f>'7.15'!E658</f>
        <v>南北</v>
      </c>
      <c r="I680" s="197">
        <f t="shared" si="167"/>
        <v>1</v>
      </c>
      <c r="J680" s="995"/>
      <c r="K680" s="197">
        <f t="shared" si="168"/>
        <v>1</v>
      </c>
      <c r="L680" s="995"/>
      <c r="M680" s="197">
        <f t="shared" si="169"/>
        <v>1</v>
      </c>
      <c r="N680" s="995"/>
      <c r="O680" s="197">
        <f t="shared" si="170"/>
        <v>1</v>
      </c>
      <c r="P680" s="995"/>
      <c r="Q680" s="197">
        <f t="shared" si="171"/>
        <v>1</v>
      </c>
      <c r="R680" s="991">
        <f t="shared" ca="1" si="172"/>
        <v>16569</v>
      </c>
      <c r="S680" s="552">
        <f t="shared" ca="1" si="173"/>
        <v>1461054</v>
      </c>
      <c r="T680" s="2010">
        <f t="shared" ca="1" si="174"/>
        <v>146</v>
      </c>
      <c r="U680" s="2305">
        <f t="shared" si="175"/>
        <v>0</v>
      </c>
      <c r="V680" s="2305">
        <f t="shared" si="176"/>
        <v>0</v>
      </c>
      <c r="W680" s="2300"/>
      <c r="X680" s="2305">
        <f t="shared" si="177"/>
        <v>0</v>
      </c>
      <c r="Y680" s="2305">
        <f t="shared" si="178"/>
        <v>0</v>
      </c>
      <c r="Z680" s="2300"/>
    </row>
    <row r="681" spans="1:26">
      <c r="A681" s="292" t="str">
        <f>'7.15'!B659</f>
        <v>12幢1单元1302室</v>
      </c>
      <c r="B681" s="207">
        <f>'7.17'!G659</f>
        <v>88.18</v>
      </c>
      <c r="C681" s="197">
        <f t="shared" si="164"/>
        <v>1</v>
      </c>
      <c r="D681" s="995" t="s">
        <v>7609</v>
      </c>
      <c r="E681" s="197">
        <f t="shared" si="165"/>
        <v>1.04</v>
      </c>
      <c r="F681" s="995" t="str">
        <f>'7.15'!D659</f>
        <v>平层</v>
      </c>
      <c r="G681" s="197">
        <f t="shared" si="166"/>
        <v>1</v>
      </c>
      <c r="H681" s="995" t="str">
        <f>'7.15'!E659</f>
        <v>南北</v>
      </c>
      <c r="I681" s="197">
        <f t="shared" si="167"/>
        <v>1</v>
      </c>
      <c r="J681" s="995"/>
      <c r="K681" s="197">
        <f t="shared" si="168"/>
        <v>1</v>
      </c>
      <c r="L681" s="995"/>
      <c r="M681" s="197">
        <f t="shared" si="169"/>
        <v>1</v>
      </c>
      <c r="N681" s="995"/>
      <c r="O681" s="197">
        <f t="shared" si="170"/>
        <v>1</v>
      </c>
      <c r="P681" s="995"/>
      <c r="Q681" s="197">
        <f t="shared" si="171"/>
        <v>1</v>
      </c>
      <c r="R681" s="991">
        <f t="shared" ca="1" si="172"/>
        <v>16569</v>
      </c>
      <c r="S681" s="552">
        <f t="shared" ca="1" si="173"/>
        <v>1461054</v>
      </c>
      <c r="T681" s="2010">
        <f t="shared" ca="1" si="174"/>
        <v>146</v>
      </c>
      <c r="U681" s="2305">
        <f t="shared" si="175"/>
        <v>0</v>
      </c>
      <c r="V681" s="2305">
        <f t="shared" si="176"/>
        <v>0</v>
      </c>
      <c r="W681" s="2300"/>
      <c r="X681" s="2305">
        <f t="shared" si="177"/>
        <v>0</v>
      </c>
      <c r="Y681" s="2305">
        <f t="shared" si="178"/>
        <v>0</v>
      </c>
      <c r="Z681" s="2300"/>
    </row>
    <row r="682" spans="1:26">
      <c r="A682" s="292" t="str">
        <f>'7.15'!B660</f>
        <v>12幢1单元1402室</v>
      </c>
      <c r="B682" s="207">
        <f>'7.17'!G660</f>
        <v>88.18</v>
      </c>
      <c r="C682" s="197">
        <f t="shared" si="164"/>
        <v>1</v>
      </c>
      <c r="D682" s="995" t="s">
        <v>7609</v>
      </c>
      <c r="E682" s="197">
        <f t="shared" si="165"/>
        <v>1.04</v>
      </c>
      <c r="F682" s="995" t="str">
        <f>'7.15'!D660</f>
        <v>平层</v>
      </c>
      <c r="G682" s="197">
        <f t="shared" si="166"/>
        <v>1</v>
      </c>
      <c r="H682" s="995" t="str">
        <f>'7.15'!E660</f>
        <v>南北</v>
      </c>
      <c r="I682" s="197">
        <f t="shared" si="167"/>
        <v>1</v>
      </c>
      <c r="J682" s="995"/>
      <c r="K682" s="197">
        <f t="shared" si="168"/>
        <v>1</v>
      </c>
      <c r="L682" s="995"/>
      <c r="M682" s="197">
        <f t="shared" si="169"/>
        <v>1</v>
      </c>
      <c r="N682" s="995"/>
      <c r="O682" s="197">
        <f t="shared" si="170"/>
        <v>1</v>
      </c>
      <c r="P682" s="995"/>
      <c r="Q682" s="197">
        <f t="shared" si="171"/>
        <v>1</v>
      </c>
      <c r="R682" s="991">
        <f t="shared" ca="1" si="172"/>
        <v>16569</v>
      </c>
      <c r="S682" s="552">
        <f t="shared" ca="1" si="173"/>
        <v>1461054</v>
      </c>
      <c r="T682" s="2010">
        <f t="shared" ca="1" si="174"/>
        <v>146</v>
      </c>
      <c r="U682" s="2305">
        <f t="shared" si="175"/>
        <v>0</v>
      </c>
      <c r="V682" s="2305">
        <f t="shared" si="176"/>
        <v>0</v>
      </c>
      <c r="W682" s="2300"/>
      <c r="X682" s="2305">
        <f t="shared" si="177"/>
        <v>0</v>
      </c>
      <c r="Y682" s="2305">
        <f t="shared" si="178"/>
        <v>0</v>
      </c>
      <c r="Z682" s="2300"/>
    </row>
    <row r="683" spans="1:26">
      <c r="A683" s="292" t="str">
        <f>'7.15'!B661</f>
        <v>12幢1单元1502室</v>
      </c>
      <c r="B683" s="207">
        <f>'7.17'!G661</f>
        <v>88.18</v>
      </c>
      <c r="C683" s="197">
        <f t="shared" si="164"/>
        <v>1</v>
      </c>
      <c r="D683" s="995" t="s">
        <v>7609</v>
      </c>
      <c r="E683" s="197">
        <f t="shared" si="165"/>
        <v>1.04</v>
      </c>
      <c r="F683" s="995" t="str">
        <f>'7.15'!D661</f>
        <v>平层</v>
      </c>
      <c r="G683" s="197">
        <f t="shared" si="166"/>
        <v>1</v>
      </c>
      <c r="H683" s="995" t="str">
        <f>'7.15'!E661</f>
        <v>南北</v>
      </c>
      <c r="I683" s="197">
        <f t="shared" si="167"/>
        <v>1</v>
      </c>
      <c r="J683" s="995"/>
      <c r="K683" s="197">
        <f t="shared" si="168"/>
        <v>1</v>
      </c>
      <c r="L683" s="995"/>
      <c r="M683" s="197">
        <f t="shared" si="169"/>
        <v>1</v>
      </c>
      <c r="N683" s="995"/>
      <c r="O683" s="197">
        <f t="shared" si="170"/>
        <v>1</v>
      </c>
      <c r="P683" s="995"/>
      <c r="Q683" s="197">
        <f t="shared" si="171"/>
        <v>1</v>
      </c>
      <c r="R683" s="991">
        <f t="shared" ca="1" si="172"/>
        <v>16569</v>
      </c>
      <c r="S683" s="552">
        <f t="shared" ca="1" si="173"/>
        <v>1461054</v>
      </c>
      <c r="T683" s="2010">
        <f t="shared" ca="1" si="174"/>
        <v>146</v>
      </c>
      <c r="U683" s="2305">
        <f t="shared" si="175"/>
        <v>0</v>
      </c>
      <c r="V683" s="2305">
        <f t="shared" si="176"/>
        <v>0</v>
      </c>
      <c r="W683" s="2300"/>
      <c r="X683" s="2305">
        <f t="shared" si="177"/>
        <v>0</v>
      </c>
      <c r="Y683" s="2305">
        <f t="shared" si="178"/>
        <v>0</v>
      </c>
      <c r="Z683" s="2300"/>
    </row>
    <row r="684" spans="1:26">
      <c r="A684" s="292" t="str">
        <f>'7.15'!B662</f>
        <v>12幢1单元1602室</v>
      </c>
      <c r="B684" s="207">
        <f>'7.17'!G662</f>
        <v>88.18</v>
      </c>
      <c r="C684" s="197">
        <f t="shared" si="164"/>
        <v>1</v>
      </c>
      <c r="D684" s="995" t="s">
        <v>7609</v>
      </c>
      <c r="E684" s="197">
        <f t="shared" si="165"/>
        <v>1.04</v>
      </c>
      <c r="F684" s="995" t="str">
        <f>'7.15'!D662</f>
        <v>平层</v>
      </c>
      <c r="G684" s="197">
        <f t="shared" si="166"/>
        <v>1</v>
      </c>
      <c r="H684" s="995" t="str">
        <f>'7.15'!E662</f>
        <v>南北</v>
      </c>
      <c r="I684" s="197">
        <f t="shared" si="167"/>
        <v>1</v>
      </c>
      <c r="J684" s="995"/>
      <c r="K684" s="197">
        <f t="shared" si="168"/>
        <v>1</v>
      </c>
      <c r="L684" s="995"/>
      <c r="M684" s="197">
        <f t="shared" si="169"/>
        <v>1</v>
      </c>
      <c r="N684" s="995"/>
      <c r="O684" s="197">
        <f t="shared" si="170"/>
        <v>1</v>
      </c>
      <c r="P684" s="995"/>
      <c r="Q684" s="197">
        <f t="shared" si="171"/>
        <v>1</v>
      </c>
      <c r="R684" s="991">
        <f t="shared" ca="1" si="172"/>
        <v>16569</v>
      </c>
      <c r="S684" s="552">
        <f t="shared" ca="1" si="173"/>
        <v>1461054</v>
      </c>
      <c r="T684" s="2010">
        <f t="shared" ca="1" si="174"/>
        <v>146</v>
      </c>
      <c r="U684" s="2305">
        <f t="shared" si="175"/>
        <v>0</v>
      </c>
      <c r="V684" s="2305">
        <f t="shared" si="176"/>
        <v>0</v>
      </c>
      <c r="W684" s="2300"/>
      <c r="X684" s="2305">
        <f t="shared" si="177"/>
        <v>0</v>
      </c>
      <c r="Y684" s="2305">
        <f t="shared" si="178"/>
        <v>0</v>
      </c>
      <c r="Z684" s="2300"/>
    </row>
    <row r="685" spans="1:26">
      <c r="A685" s="292" t="str">
        <f>'7.15'!B663</f>
        <v>12幢1单元1702室</v>
      </c>
      <c r="B685" s="207">
        <f>'7.17'!G663</f>
        <v>88.18</v>
      </c>
      <c r="C685" s="197">
        <f t="shared" si="164"/>
        <v>1</v>
      </c>
      <c r="D685" s="995" t="s">
        <v>7609</v>
      </c>
      <c r="E685" s="197">
        <f t="shared" si="165"/>
        <v>1.04</v>
      </c>
      <c r="F685" s="995" t="str">
        <f>'7.15'!D663</f>
        <v>平层</v>
      </c>
      <c r="G685" s="197">
        <f t="shared" si="166"/>
        <v>1</v>
      </c>
      <c r="H685" s="995" t="str">
        <f>'7.15'!E663</f>
        <v>南北</v>
      </c>
      <c r="I685" s="197">
        <f t="shared" si="167"/>
        <v>1</v>
      </c>
      <c r="J685" s="995"/>
      <c r="K685" s="197">
        <f t="shared" si="168"/>
        <v>1</v>
      </c>
      <c r="L685" s="995"/>
      <c r="M685" s="197">
        <f t="shared" si="169"/>
        <v>1</v>
      </c>
      <c r="N685" s="995"/>
      <c r="O685" s="197">
        <f t="shared" si="170"/>
        <v>1</v>
      </c>
      <c r="P685" s="995"/>
      <c r="Q685" s="197">
        <f t="shared" si="171"/>
        <v>1</v>
      </c>
      <c r="R685" s="991">
        <f t="shared" ca="1" si="172"/>
        <v>16569</v>
      </c>
      <c r="S685" s="552">
        <f t="shared" ca="1" si="173"/>
        <v>1461054</v>
      </c>
      <c r="T685" s="2010">
        <f t="shared" ca="1" si="174"/>
        <v>146</v>
      </c>
      <c r="U685" s="2305">
        <f t="shared" si="175"/>
        <v>0</v>
      </c>
      <c r="V685" s="2305">
        <f t="shared" si="176"/>
        <v>0</v>
      </c>
      <c r="W685" s="2300"/>
      <c r="X685" s="2305">
        <f t="shared" si="177"/>
        <v>0</v>
      </c>
      <c r="Y685" s="2305">
        <f t="shared" si="178"/>
        <v>0</v>
      </c>
      <c r="Z685" s="2300"/>
    </row>
    <row r="686" spans="1:26">
      <c r="A686" s="292" t="str">
        <f>'7.15'!B664</f>
        <v>12幢1单元1802室</v>
      </c>
      <c r="B686" s="207">
        <f>'7.17'!G664</f>
        <v>88.18</v>
      </c>
      <c r="C686" s="197">
        <f t="shared" si="164"/>
        <v>1</v>
      </c>
      <c r="D686" s="995" t="s">
        <v>7609</v>
      </c>
      <c r="E686" s="197">
        <f t="shared" si="165"/>
        <v>1.04</v>
      </c>
      <c r="F686" s="995" t="str">
        <f>'7.15'!D664</f>
        <v>平层</v>
      </c>
      <c r="G686" s="197">
        <f t="shared" si="166"/>
        <v>1</v>
      </c>
      <c r="H686" s="995" t="str">
        <f>'7.15'!E664</f>
        <v>南北</v>
      </c>
      <c r="I686" s="197">
        <f t="shared" si="167"/>
        <v>1</v>
      </c>
      <c r="J686" s="995"/>
      <c r="K686" s="197">
        <f t="shared" si="168"/>
        <v>1</v>
      </c>
      <c r="L686" s="995"/>
      <c r="M686" s="197">
        <f t="shared" si="169"/>
        <v>1</v>
      </c>
      <c r="N686" s="995"/>
      <c r="O686" s="197">
        <f t="shared" si="170"/>
        <v>1</v>
      </c>
      <c r="P686" s="995"/>
      <c r="Q686" s="197">
        <f t="shared" si="171"/>
        <v>1</v>
      </c>
      <c r="R686" s="991">
        <f t="shared" ca="1" si="172"/>
        <v>16569</v>
      </c>
      <c r="S686" s="552">
        <f t="shared" ca="1" si="173"/>
        <v>1461054</v>
      </c>
      <c r="T686" s="2010">
        <f t="shared" ca="1" si="174"/>
        <v>146</v>
      </c>
      <c r="U686" s="2305">
        <f t="shared" si="175"/>
        <v>0</v>
      </c>
      <c r="V686" s="2305">
        <f t="shared" si="176"/>
        <v>0</v>
      </c>
      <c r="W686" s="2300"/>
      <c r="X686" s="2305">
        <f t="shared" si="177"/>
        <v>0</v>
      </c>
      <c r="Y686" s="2305">
        <f t="shared" si="178"/>
        <v>0</v>
      </c>
      <c r="Z686" s="2300"/>
    </row>
    <row r="687" spans="1:26">
      <c r="A687" s="292" t="str">
        <f>'7.15'!B665</f>
        <v>12幢1单元1902室</v>
      </c>
      <c r="B687" s="207">
        <f>'7.17'!G665</f>
        <v>88.18</v>
      </c>
      <c r="C687" s="197">
        <f t="shared" si="164"/>
        <v>1</v>
      </c>
      <c r="D687" s="995" t="s">
        <v>7609</v>
      </c>
      <c r="E687" s="197">
        <f t="shared" si="165"/>
        <v>1.04</v>
      </c>
      <c r="F687" s="995" t="str">
        <f>'7.15'!D665</f>
        <v>平层</v>
      </c>
      <c r="G687" s="197">
        <f t="shared" si="166"/>
        <v>1</v>
      </c>
      <c r="H687" s="995" t="str">
        <f>'7.15'!E665</f>
        <v>南北</v>
      </c>
      <c r="I687" s="197">
        <f t="shared" si="167"/>
        <v>1</v>
      </c>
      <c r="J687" s="995"/>
      <c r="K687" s="197">
        <f t="shared" si="168"/>
        <v>1</v>
      </c>
      <c r="L687" s="995"/>
      <c r="M687" s="197">
        <f t="shared" si="169"/>
        <v>1</v>
      </c>
      <c r="N687" s="995"/>
      <c r="O687" s="197">
        <f t="shared" si="170"/>
        <v>1</v>
      </c>
      <c r="P687" s="995"/>
      <c r="Q687" s="197">
        <f t="shared" si="171"/>
        <v>1</v>
      </c>
      <c r="R687" s="991">
        <f t="shared" ca="1" si="172"/>
        <v>16569</v>
      </c>
      <c r="S687" s="552">
        <f t="shared" ca="1" si="173"/>
        <v>1461054</v>
      </c>
      <c r="T687" s="2010">
        <f t="shared" ca="1" si="174"/>
        <v>146</v>
      </c>
      <c r="U687" s="2305">
        <f t="shared" si="175"/>
        <v>0</v>
      </c>
      <c r="V687" s="2305">
        <f t="shared" si="176"/>
        <v>0</v>
      </c>
      <c r="W687" s="2300"/>
      <c r="X687" s="2305">
        <f t="shared" si="177"/>
        <v>0</v>
      </c>
      <c r="Y687" s="2305">
        <f t="shared" si="178"/>
        <v>0</v>
      </c>
      <c r="Z687" s="2300"/>
    </row>
    <row r="688" spans="1:26">
      <c r="A688" s="292" t="str">
        <f>'7.15'!B666</f>
        <v>12幢1单元2002室</v>
      </c>
      <c r="B688" s="207">
        <f>'7.17'!G666</f>
        <v>88.18</v>
      </c>
      <c r="C688" s="197">
        <f t="shared" si="164"/>
        <v>1</v>
      </c>
      <c r="D688" s="995" t="s">
        <v>7609</v>
      </c>
      <c r="E688" s="197">
        <f t="shared" si="165"/>
        <v>1.04</v>
      </c>
      <c r="F688" s="995" t="str">
        <f>'7.15'!D666</f>
        <v>平层</v>
      </c>
      <c r="G688" s="197">
        <f t="shared" si="166"/>
        <v>1</v>
      </c>
      <c r="H688" s="995" t="str">
        <f>'7.15'!E666</f>
        <v>南北</v>
      </c>
      <c r="I688" s="197">
        <f t="shared" si="167"/>
        <v>1</v>
      </c>
      <c r="J688" s="995"/>
      <c r="K688" s="197">
        <f t="shared" si="168"/>
        <v>1</v>
      </c>
      <c r="L688" s="995"/>
      <c r="M688" s="197">
        <f t="shared" si="169"/>
        <v>1</v>
      </c>
      <c r="N688" s="995"/>
      <c r="O688" s="197">
        <f t="shared" si="170"/>
        <v>1</v>
      </c>
      <c r="P688" s="995"/>
      <c r="Q688" s="197">
        <f t="shared" si="171"/>
        <v>1</v>
      </c>
      <c r="R688" s="991">
        <f t="shared" ca="1" si="172"/>
        <v>16569</v>
      </c>
      <c r="S688" s="552">
        <f t="shared" ca="1" si="173"/>
        <v>1461054</v>
      </c>
      <c r="T688" s="2010">
        <f t="shared" ca="1" si="174"/>
        <v>146</v>
      </c>
      <c r="U688" s="2305">
        <f t="shared" si="175"/>
        <v>0</v>
      </c>
      <c r="V688" s="2305">
        <f t="shared" si="176"/>
        <v>0</v>
      </c>
      <c r="W688" s="2300"/>
      <c r="X688" s="2305">
        <f t="shared" si="177"/>
        <v>0</v>
      </c>
      <c r="Y688" s="2305">
        <f t="shared" si="178"/>
        <v>0</v>
      </c>
      <c r="Z688" s="2300"/>
    </row>
    <row r="689" spans="1:26">
      <c r="A689" s="292" t="str">
        <f>'7.15'!B667</f>
        <v>12幢1单元2102室</v>
      </c>
      <c r="B689" s="207">
        <f>'7.17'!G667</f>
        <v>88.18</v>
      </c>
      <c r="C689" s="197">
        <f t="shared" si="164"/>
        <v>1</v>
      </c>
      <c r="D689" s="995" t="s">
        <v>7608</v>
      </c>
      <c r="E689" s="197">
        <f t="shared" si="165"/>
        <v>1.02</v>
      </c>
      <c r="F689" s="995" t="str">
        <f>'7.15'!D667</f>
        <v>平层</v>
      </c>
      <c r="G689" s="197">
        <f t="shared" si="166"/>
        <v>1</v>
      </c>
      <c r="H689" s="995" t="str">
        <f>'7.15'!E667</f>
        <v>南北</v>
      </c>
      <c r="I689" s="197">
        <f t="shared" si="167"/>
        <v>1</v>
      </c>
      <c r="J689" s="995"/>
      <c r="K689" s="197">
        <f t="shared" si="168"/>
        <v>1</v>
      </c>
      <c r="L689" s="995"/>
      <c r="M689" s="197">
        <f t="shared" si="169"/>
        <v>1</v>
      </c>
      <c r="N689" s="995"/>
      <c r="O689" s="197">
        <f t="shared" si="170"/>
        <v>1</v>
      </c>
      <c r="P689" s="995"/>
      <c r="Q689" s="197">
        <f t="shared" si="171"/>
        <v>1</v>
      </c>
      <c r="R689" s="991">
        <f t="shared" ca="1" si="172"/>
        <v>16251</v>
      </c>
      <c r="S689" s="552">
        <f t="shared" ca="1" si="173"/>
        <v>1433013</v>
      </c>
      <c r="T689" s="2010">
        <f t="shared" ca="1" si="174"/>
        <v>143</v>
      </c>
      <c r="U689" s="2305">
        <f t="shared" si="175"/>
        <v>0</v>
      </c>
      <c r="V689" s="2305">
        <f t="shared" si="176"/>
        <v>0</v>
      </c>
      <c r="W689" s="2300"/>
      <c r="X689" s="2305">
        <f t="shared" si="177"/>
        <v>0</v>
      </c>
      <c r="Y689" s="2305">
        <f t="shared" si="178"/>
        <v>0</v>
      </c>
      <c r="Z689" s="2300"/>
    </row>
    <row r="690" spans="1:26">
      <c r="A690" s="292" t="str">
        <f>'7.15'!B668</f>
        <v>12幢1单元2202室</v>
      </c>
      <c r="B690" s="207">
        <f>'7.17'!G668</f>
        <v>88.18</v>
      </c>
      <c r="C690" s="197">
        <f t="shared" si="164"/>
        <v>1</v>
      </c>
      <c r="D690" s="995" t="s">
        <v>7608</v>
      </c>
      <c r="E690" s="197">
        <f t="shared" si="165"/>
        <v>1.02</v>
      </c>
      <c r="F690" s="995" t="str">
        <f>'7.15'!D668</f>
        <v>平层</v>
      </c>
      <c r="G690" s="197">
        <f t="shared" si="166"/>
        <v>1</v>
      </c>
      <c r="H690" s="995" t="str">
        <f>'7.15'!E668</f>
        <v>南北</v>
      </c>
      <c r="I690" s="197">
        <f t="shared" si="167"/>
        <v>1</v>
      </c>
      <c r="J690" s="995"/>
      <c r="K690" s="197">
        <f t="shared" si="168"/>
        <v>1</v>
      </c>
      <c r="L690" s="995"/>
      <c r="M690" s="197">
        <f t="shared" si="169"/>
        <v>1</v>
      </c>
      <c r="N690" s="995"/>
      <c r="O690" s="197">
        <f t="shared" si="170"/>
        <v>1</v>
      </c>
      <c r="P690" s="995"/>
      <c r="Q690" s="197">
        <f t="shared" si="171"/>
        <v>1</v>
      </c>
      <c r="R690" s="991">
        <f t="shared" ca="1" si="172"/>
        <v>16251</v>
      </c>
      <c r="S690" s="552">
        <f t="shared" ca="1" si="173"/>
        <v>1433013</v>
      </c>
      <c r="T690" s="2010">
        <f t="shared" ca="1" si="174"/>
        <v>143</v>
      </c>
      <c r="U690" s="2305">
        <f t="shared" si="175"/>
        <v>0</v>
      </c>
      <c r="V690" s="2305">
        <f t="shared" si="176"/>
        <v>0</v>
      </c>
      <c r="W690" s="2300"/>
      <c r="X690" s="2305">
        <f t="shared" si="177"/>
        <v>0</v>
      </c>
      <c r="Y690" s="2305">
        <f t="shared" si="178"/>
        <v>0</v>
      </c>
      <c r="Z690" s="2300"/>
    </row>
    <row r="691" spans="1:26">
      <c r="A691" s="292" t="str">
        <f>'7.15'!B669</f>
        <v>12幢1单元2302室</v>
      </c>
      <c r="B691" s="207">
        <f>'7.17'!G669</f>
        <v>88.18</v>
      </c>
      <c r="C691" s="197">
        <f t="shared" si="164"/>
        <v>1</v>
      </c>
      <c r="D691" s="995" t="s">
        <v>7608</v>
      </c>
      <c r="E691" s="197">
        <f t="shared" si="165"/>
        <v>1.02</v>
      </c>
      <c r="F691" s="995" t="str">
        <f>'7.15'!D669</f>
        <v>平层</v>
      </c>
      <c r="G691" s="197">
        <f t="shared" si="166"/>
        <v>1</v>
      </c>
      <c r="H691" s="995" t="str">
        <f>'7.15'!E669</f>
        <v>南北</v>
      </c>
      <c r="I691" s="197">
        <f t="shared" si="167"/>
        <v>1</v>
      </c>
      <c r="J691" s="995"/>
      <c r="K691" s="197">
        <f t="shared" si="168"/>
        <v>1</v>
      </c>
      <c r="L691" s="995"/>
      <c r="M691" s="197">
        <f t="shared" si="169"/>
        <v>1</v>
      </c>
      <c r="N691" s="995"/>
      <c r="O691" s="197">
        <f t="shared" si="170"/>
        <v>1</v>
      </c>
      <c r="P691" s="995"/>
      <c r="Q691" s="197">
        <f t="shared" si="171"/>
        <v>1</v>
      </c>
      <c r="R691" s="991">
        <f t="shared" ca="1" si="172"/>
        <v>16251</v>
      </c>
      <c r="S691" s="552">
        <f t="shared" ca="1" si="173"/>
        <v>1433013</v>
      </c>
      <c r="T691" s="2010">
        <f t="shared" ca="1" si="174"/>
        <v>143</v>
      </c>
      <c r="U691" s="2305">
        <f t="shared" si="175"/>
        <v>0</v>
      </c>
      <c r="V691" s="2305">
        <f t="shared" si="176"/>
        <v>0</v>
      </c>
      <c r="W691" s="2300"/>
      <c r="X691" s="2305">
        <f t="shared" si="177"/>
        <v>0</v>
      </c>
      <c r="Y691" s="2305">
        <f t="shared" si="178"/>
        <v>0</v>
      </c>
      <c r="Z691" s="2300"/>
    </row>
    <row r="692" spans="1:26">
      <c r="A692" s="292" t="str">
        <f>'7.15'!B670</f>
        <v>12幢1单元2402室</v>
      </c>
      <c r="B692" s="207">
        <f>'7.17'!G670</f>
        <v>88.18</v>
      </c>
      <c r="C692" s="197">
        <f t="shared" si="164"/>
        <v>1</v>
      </c>
      <c r="D692" s="995" t="s">
        <v>7608</v>
      </c>
      <c r="E692" s="197">
        <f t="shared" si="165"/>
        <v>1.02</v>
      </c>
      <c r="F692" s="995" t="str">
        <f>'7.15'!D670</f>
        <v>平层</v>
      </c>
      <c r="G692" s="197">
        <f t="shared" si="166"/>
        <v>1</v>
      </c>
      <c r="H692" s="995" t="str">
        <f>'7.15'!E670</f>
        <v>南北</v>
      </c>
      <c r="I692" s="197">
        <f t="shared" si="167"/>
        <v>1</v>
      </c>
      <c r="J692" s="995"/>
      <c r="K692" s="197">
        <f t="shared" si="168"/>
        <v>1</v>
      </c>
      <c r="L692" s="995"/>
      <c r="M692" s="197">
        <f t="shared" si="169"/>
        <v>1</v>
      </c>
      <c r="N692" s="995"/>
      <c r="O692" s="197">
        <f t="shared" si="170"/>
        <v>1</v>
      </c>
      <c r="P692" s="995"/>
      <c r="Q692" s="197">
        <f t="shared" si="171"/>
        <v>1</v>
      </c>
      <c r="R692" s="991">
        <f t="shared" ca="1" si="172"/>
        <v>16251</v>
      </c>
      <c r="S692" s="552">
        <f t="shared" ca="1" si="173"/>
        <v>1433013</v>
      </c>
      <c r="T692" s="2010">
        <f t="shared" ca="1" si="174"/>
        <v>143</v>
      </c>
      <c r="U692" s="2305">
        <f t="shared" si="175"/>
        <v>0</v>
      </c>
      <c r="V692" s="2305">
        <f t="shared" si="176"/>
        <v>0</v>
      </c>
      <c r="W692" s="2300"/>
      <c r="X692" s="2305">
        <f t="shared" si="177"/>
        <v>0</v>
      </c>
      <c r="Y692" s="2305">
        <f t="shared" si="178"/>
        <v>0</v>
      </c>
      <c r="Z692" s="2300"/>
    </row>
    <row r="693" spans="1:26">
      <c r="A693" s="292" t="str">
        <f>'7.15'!B671</f>
        <v>12幢1单元2502室</v>
      </c>
      <c r="B693" s="207">
        <f>'7.17'!G671</f>
        <v>88.18</v>
      </c>
      <c r="C693" s="197">
        <f t="shared" si="164"/>
        <v>1</v>
      </c>
      <c r="D693" s="995" t="s">
        <v>7608</v>
      </c>
      <c r="E693" s="197">
        <f t="shared" si="165"/>
        <v>1.02</v>
      </c>
      <c r="F693" s="995" t="str">
        <f>'7.15'!D671</f>
        <v>平层</v>
      </c>
      <c r="G693" s="197">
        <f t="shared" si="166"/>
        <v>1</v>
      </c>
      <c r="H693" s="995" t="str">
        <f>'7.15'!E671</f>
        <v>南北</v>
      </c>
      <c r="I693" s="197">
        <f t="shared" si="167"/>
        <v>1</v>
      </c>
      <c r="J693" s="995"/>
      <c r="K693" s="197">
        <f t="shared" si="168"/>
        <v>1</v>
      </c>
      <c r="L693" s="995"/>
      <c r="M693" s="197">
        <f t="shared" si="169"/>
        <v>1</v>
      </c>
      <c r="N693" s="995"/>
      <c r="O693" s="197">
        <f t="shared" si="170"/>
        <v>1</v>
      </c>
      <c r="P693" s="995"/>
      <c r="Q693" s="197">
        <f t="shared" si="171"/>
        <v>1</v>
      </c>
      <c r="R693" s="991">
        <f t="shared" ca="1" si="172"/>
        <v>16251</v>
      </c>
      <c r="S693" s="552">
        <f t="shared" ca="1" si="173"/>
        <v>1433013</v>
      </c>
      <c r="T693" s="2010">
        <f t="shared" ca="1" si="174"/>
        <v>143</v>
      </c>
      <c r="U693" s="2305">
        <f t="shared" si="175"/>
        <v>0</v>
      </c>
      <c r="V693" s="2305">
        <f t="shared" si="176"/>
        <v>0</v>
      </c>
      <c r="W693" s="2300"/>
      <c r="X693" s="2305">
        <f t="shared" si="177"/>
        <v>0</v>
      </c>
      <c r="Y693" s="2305">
        <f t="shared" si="178"/>
        <v>0</v>
      </c>
      <c r="Z693" s="2300"/>
    </row>
    <row r="694" spans="1:26">
      <c r="A694" s="292" t="str">
        <f>'7.15'!B672</f>
        <v>12幢1单元2602室</v>
      </c>
      <c r="B694" s="207">
        <f>'7.17'!G672</f>
        <v>88.18</v>
      </c>
      <c r="C694" s="197">
        <f t="shared" si="164"/>
        <v>1</v>
      </c>
      <c r="D694" s="995" t="s">
        <v>7608</v>
      </c>
      <c r="E694" s="197">
        <f t="shared" si="165"/>
        <v>1.02</v>
      </c>
      <c r="F694" s="995" t="str">
        <f>'7.15'!D672</f>
        <v>平层</v>
      </c>
      <c r="G694" s="197">
        <f t="shared" si="166"/>
        <v>1</v>
      </c>
      <c r="H694" s="995" t="str">
        <f>'7.15'!E672</f>
        <v>南北</v>
      </c>
      <c r="I694" s="197">
        <f t="shared" si="167"/>
        <v>1</v>
      </c>
      <c r="J694" s="995"/>
      <c r="K694" s="197">
        <f t="shared" si="168"/>
        <v>1</v>
      </c>
      <c r="L694" s="995"/>
      <c r="M694" s="197">
        <f t="shared" si="169"/>
        <v>1</v>
      </c>
      <c r="N694" s="995"/>
      <c r="O694" s="197">
        <f t="shared" si="170"/>
        <v>1</v>
      </c>
      <c r="P694" s="995"/>
      <c r="Q694" s="197">
        <f t="shared" si="171"/>
        <v>1</v>
      </c>
      <c r="R694" s="991">
        <f t="shared" ca="1" si="172"/>
        <v>16251</v>
      </c>
      <c r="S694" s="552">
        <f t="shared" ca="1" si="173"/>
        <v>1433013</v>
      </c>
      <c r="T694" s="2010">
        <f t="shared" ca="1" si="174"/>
        <v>143</v>
      </c>
      <c r="U694" s="2305">
        <f t="shared" si="175"/>
        <v>0</v>
      </c>
      <c r="V694" s="2305">
        <f t="shared" si="176"/>
        <v>0</v>
      </c>
      <c r="W694" s="2300"/>
      <c r="X694" s="2305">
        <f t="shared" si="177"/>
        <v>0</v>
      </c>
      <c r="Y694" s="2305">
        <f t="shared" si="178"/>
        <v>0</v>
      </c>
      <c r="Z694" s="2300"/>
    </row>
    <row r="695" spans="1:26">
      <c r="A695" s="292" t="str">
        <f>'7.15'!B673</f>
        <v>12幢1单元2702室</v>
      </c>
      <c r="B695" s="207">
        <f>'7.17'!G673</f>
        <v>88.18</v>
      </c>
      <c r="C695" s="197">
        <f t="shared" si="164"/>
        <v>1</v>
      </c>
      <c r="D695" s="995" t="s">
        <v>7608</v>
      </c>
      <c r="E695" s="197">
        <f t="shared" si="165"/>
        <v>1.02</v>
      </c>
      <c r="F695" s="995" t="str">
        <f>'7.15'!D673</f>
        <v>平层</v>
      </c>
      <c r="G695" s="197">
        <f t="shared" si="166"/>
        <v>1</v>
      </c>
      <c r="H695" s="995" t="str">
        <f>'7.15'!E673</f>
        <v>南北</v>
      </c>
      <c r="I695" s="197">
        <f t="shared" si="167"/>
        <v>1</v>
      </c>
      <c r="J695" s="995"/>
      <c r="K695" s="197">
        <f t="shared" si="168"/>
        <v>1</v>
      </c>
      <c r="L695" s="995"/>
      <c r="M695" s="197">
        <f t="shared" si="169"/>
        <v>1</v>
      </c>
      <c r="N695" s="995"/>
      <c r="O695" s="197">
        <f t="shared" si="170"/>
        <v>1</v>
      </c>
      <c r="P695" s="995"/>
      <c r="Q695" s="197">
        <f t="shared" si="171"/>
        <v>1</v>
      </c>
      <c r="R695" s="991">
        <f t="shared" ca="1" si="172"/>
        <v>16251</v>
      </c>
      <c r="S695" s="552">
        <f t="shared" ca="1" si="173"/>
        <v>1433013</v>
      </c>
      <c r="T695" s="2010">
        <f t="shared" ca="1" si="174"/>
        <v>143</v>
      </c>
      <c r="U695" s="2305">
        <f t="shared" si="175"/>
        <v>0</v>
      </c>
      <c r="V695" s="2305">
        <f t="shared" si="176"/>
        <v>0</v>
      </c>
      <c r="W695" s="2300"/>
      <c r="X695" s="2305">
        <f t="shared" si="177"/>
        <v>0</v>
      </c>
      <c r="Y695" s="2305">
        <f t="shared" si="178"/>
        <v>0</v>
      </c>
      <c r="Z695" s="2300"/>
    </row>
    <row r="696" spans="1:26">
      <c r="A696" s="292" t="str">
        <f>'7.15'!B674</f>
        <v>12幢1单元2802室</v>
      </c>
      <c r="B696" s="207">
        <f>'7.17'!G674</f>
        <v>88.18</v>
      </c>
      <c r="C696" s="197">
        <f t="shared" si="164"/>
        <v>1</v>
      </c>
      <c r="D696" s="995" t="s">
        <v>7608</v>
      </c>
      <c r="E696" s="197">
        <f t="shared" si="165"/>
        <v>1.02</v>
      </c>
      <c r="F696" s="995" t="str">
        <f>'7.15'!D674</f>
        <v>平层</v>
      </c>
      <c r="G696" s="197">
        <f t="shared" si="166"/>
        <v>1</v>
      </c>
      <c r="H696" s="995" t="str">
        <f>'7.15'!E674</f>
        <v>南北</v>
      </c>
      <c r="I696" s="197">
        <f t="shared" si="167"/>
        <v>1</v>
      </c>
      <c r="J696" s="995"/>
      <c r="K696" s="197">
        <f t="shared" si="168"/>
        <v>1</v>
      </c>
      <c r="L696" s="995"/>
      <c r="M696" s="197">
        <f t="shared" si="169"/>
        <v>1</v>
      </c>
      <c r="N696" s="995"/>
      <c r="O696" s="197">
        <f t="shared" si="170"/>
        <v>1</v>
      </c>
      <c r="P696" s="995"/>
      <c r="Q696" s="197">
        <f t="shared" si="171"/>
        <v>1</v>
      </c>
      <c r="R696" s="991">
        <f t="shared" ca="1" si="172"/>
        <v>16251</v>
      </c>
      <c r="S696" s="552">
        <f t="shared" ca="1" si="173"/>
        <v>1433013</v>
      </c>
      <c r="T696" s="2010">
        <f t="shared" ca="1" si="174"/>
        <v>143</v>
      </c>
      <c r="U696" s="2305">
        <f t="shared" si="175"/>
        <v>0</v>
      </c>
      <c r="V696" s="2305">
        <f t="shared" si="176"/>
        <v>0</v>
      </c>
      <c r="W696" s="2300"/>
      <c r="X696" s="2305">
        <f t="shared" si="177"/>
        <v>0</v>
      </c>
      <c r="Y696" s="2305">
        <f t="shared" si="178"/>
        <v>0</v>
      </c>
      <c r="Z696" s="2300"/>
    </row>
    <row r="697" spans="1:26">
      <c r="A697" s="292" t="str">
        <f>'7.15'!B675</f>
        <v>12幢1单元2902室</v>
      </c>
      <c r="B697" s="207">
        <f>'7.17'!G675</f>
        <v>88.18</v>
      </c>
      <c r="C697" s="197">
        <f t="shared" si="164"/>
        <v>1</v>
      </c>
      <c r="D697" s="995" t="s">
        <v>7608</v>
      </c>
      <c r="E697" s="197">
        <f t="shared" si="165"/>
        <v>1.02</v>
      </c>
      <c r="F697" s="995" t="str">
        <f>'7.15'!D675</f>
        <v>平层</v>
      </c>
      <c r="G697" s="197">
        <f t="shared" si="166"/>
        <v>1</v>
      </c>
      <c r="H697" s="995" t="str">
        <f>'7.15'!E675</f>
        <v>南北</v>
      </c>
      <c r="I697" s="197">
        <f t="shared" si="167"/>
        <v>1</v>
      </c>
      <c r="J697" s="995"/>
      <c r="K697" s="197">
        <f t="shared" si="168"/>
        <v>1</v>
      </c>
      <c r="L697" s="995"/>
      <c r="M697" s="197">
        <f t="shared" si="169"/>
        <v>1</v>
      </c>
      <c r="N697" s="995"/>
      <c r="O697" s="197">
        <f t="shared" si="170"/>
        <v>1</v>
      </c>
      <c r="P697" s="995"/>
      <c r="Q697" s="197">
        <f t="shared" si="171"/>
        <v>1</v>
      </c>
      <c r="R697" s="991">
        <f t="shared" ca="1" si="172"/>
        <v>16251</v>
      </c>
      <c r="S697" s="552">
        <f t="shared" ca="1" si="173"/>
        <v>1433013</v>
      </c>
      <c r="T697" s="2010">
        <f t="shared" ca="1" si="174"/>
        <v>143</v>
      </c>
      <c r="U697" s="2305">
        <f t="shared" si="175"/>
        <v>0</v>
      </c>
      <c r="V697" s="2305">
        <f t="shared" si="176"/>
        <v>0</v>
      </c>
      <c r="W697" s="2300"/>
      <c r="X697" s="2305">
        <f t="shared" si="177"/>
        <v>0</v>
      </c>
      <c r="Y697" s="2305">
        <f t="shared" si="178"/>
        <v>0</v>
      </c>
      <c r="Z697" s="2300"/>
    </row>
    <row r="698" spans="1:26">
      <c r="A698" s="292" t="str">
        <f>'7.15'!B676</f>
        <v>12幢1单元3002室</v>
      </c>
      <c r="B698" s="207">
        <f>'7.17'!G676</f>
        <v>88.18</v>
      </c>
      <c r="C698" s="197">
        <f t="shared" si="164"/>
        <v>1</v>
      </c>
      <c r="D698" s="995" t="s">
        <v>7608</v>
      </c>
      <c r="E698" s="197">
        <f t="shared" si="165"/>
        <v>1.02</v>
      </c>
      <c r="F698" s="995" t="str">
        <f>'7.15'!D676</f>
        <v>平层</v>
      </c>
      <c r="G698" s="197">
        <f t="shared" si="166"/>
        <v>1</v>
      </c>
      <c r="H698" s="995" t="str">
        <f>'7.15'!E676</f>
        <v>南北</v>
      </c>
      <c r="I698" s="197">
        <f t="shared" si="167"/>
        <v>1</v>
      </c>
      <c r="J698" s="995"/>
      <c r="K698" s="197">
        <f t="shared" si="168"/>
        <v>1</v>
      </c>
      <c r="L698" s="995"/>
      <c r="M698" s="197">
        <f t="shared" si="169"/>
        <v>1</v>
      </c>
      <c r="N698" s="995"/>
      <c r="O698" s="197">
        <f t="shared" si="170"/>
        <v>1</v>
      </c>
      <c r="P698" s="995"/>
      <c r="Q698" s="197">
        <f t="shared" si="171"/>
        <v>1</v>
      </c>
      <c r="R698" s="991">
        <f t="shared" ca="1" si="172"/>
        <v>16251</v>
      </c>
      <c r="S698" s="552">
        <f t="shared" ca="1" si="173"/>
        <v>1433013</v>
      </c>
      <c r="T698" s="2010">
        <f t="shared" ca="1" si="174"/>
        <v>143</v>
      </c>
      <c r="U698" s="2305">
        <f t="shared" si="175"/>
        <v>0</v>
      </c>
      <c r="V698" s="2305">
        <f t="shared" si="176"/>
        <v>0</v>
      </c>
      <c r="W698" s="2300"/>
      <c r="X698" s="2305">
        <f t="shared" si="177"/>
        <v>0</v>
      </c>
      <c r="Y698" s="2305">
        <f t="shared" si="178"/>
        <v>0</v>
      </c>
      <c r="Z698" s="2300"/>
    </row>
    <row r="699" spans="1:26">
      <c r="A699" s="292" t="str">
        <f>'7.15'!B677</f>
        <v>12幢1单元203室</v>
      </c>
      <c r="B699" s="207">
        <f>'7.17'!G677</f>
        <v>88.31</v>
      </c>
      <c r="C699" s="197">
        <f t="shared" si="164"/>
        <v>1</v>
      </c>
      <c r="D699" s="995" t="s">
        <v>7606</v>
      </c>
      <c r="E699" s="197">
        <f t="shared" si="165"/>
        <v>1</v>
      </c>
      <c r="F699" s="995" t="str">
        <f>'7.15'!D677</f>
        <v>平层</v>
      </c>
      <c r="G699" s="197">
        <f t="shared" si="166"/>
        <v>1</v>
      </c>
      <c r="H699" s="995" t="str">
        <f>'7.15'!E677</f>
        <v>南北</v>
      </c>
      <c r="I699" s="197">
        <f t="shared" si="167"/>
        <v>1</v>
      </c>
      <c r="J699" s="995"/>
      <c r="K699" s="197">
        <f t="shared" si="168"/>
        <v>1</v>
      </c>
      <c r="L699" s="995"/>
      <c r="M699" s="197">
        <f t="shared" si="169"/>
        <v>1</v>
      </c>
      <c r="N699" s="995"/>
      <c r="O699" s="197">
        <f t="shared" si="170"/>
        <v>1</v>
      </c>
      <c r="P699" s="995"/>
      <c r="Q699" s="197">
        <f t="shared" si="171"/>
        <v>1</v>
      </c>
      <c r="R699" s="991">
        <f t="shared" ca="1" si="172"/>
        <v>15932</v>
      </c>
      <c r="S699" s="552">
        <f t="shared" ca="1" si="173"/>
        <v>1406955</v>
      </c>
      <c r="T699" s="2010">
        <f t="shared" ca="1" si="174"/>
        <v>141</v>
      </c>
      <c r="U699" s="2305">
        <f t="shared" si="175"/>
        <v>0</v>
      </c>
      <c r="V699" s="2305">
        <f t="shared" si="176"/>
        <v>0</v>
      </c>
      <c r="W699" s="2300"/>
      <c r="X699" s="2305">
        <f t="shared" si="177"/>
        <v>0</v>
      </c>
      <c r="Y699" s="2305">
        <f t="shared" si="178"/>
        <v>0</v>
      </c>
      <c r="Z699" s="2300"/>
    </row>
    <row r="700" spans="1:26">
      <c r="A700" s="292" t="str">
        <f>'7.15'!B678</f>
        <v>12幢1单元303室</v>
      </c>
      <c r="B700" s="207">
        <f>'7.17'!G678</f>
        <v>88.31</v>
      </c>
      <c r="C700" s="197">
        <f t="shared" si="164"/>
        <v>1</v>
      </c>
      <c r="D700" s="995" t="s">
        <v>7606</v>
      </c>
      <c r="E700" s="197">
        <f t="shared" si="165"/>
        <v>1</v>
      </c>
      <c r="F700" s="995" t="str">
        <f>'7.15'!D678</f>
        <v>平层</v>
      </c>
      <c r="G700" s="197">
        <f t="shared" si="166"/>
        <v>1</v>
      </c>
      <c r="H700" s="995" t="str">
        <f>'7.15'!E678</f>
        <v>南北</v>
      </c>
      <c r="I700" s="197">
        <f t="shared" si="167"/>
        <v>1</v>
      </c>
      <c r="J700" s="995"/>
      <c r="K700" s="197">
        <f t="shared" si="168"/>
        <v>1</v>
      </c>
      <c r="L700" s="995"/>
      <c r="M700" s="197">
        <f t="shared" si="169"/>
        <v>1</v>
      </c>
      <c r="N700" s="995"/>
      <c r="O700" s="197">
        <f t="shared" si="170"/>
        <v>1</v>
      </c>
      <c r="P700" s="995"/>
      <c r="Q700" s="197">
        <f t="shared" si="171"/>
        <v>1</v>
      </c>
      <c r="R700" s="991">
        <f t="shared" ca="1" si="172"/>
        <v>15932</v>
      </c>
      <c r="S700" s="552">
        <f t="shared" ca="1" si="173"/>
        <v>1406955</v>
      </c>
      <c r="T700" s="2010">
        <f t="shared" ca="1" si="174"/>
        <v>141</v>
      </c>
      <c r="U700" s="2305">
        <f t="shared" si="175"/>
        <v>0</v>
      </c>
      <c r="V700" s="2305">
        <f t="shared" si="176"/>
        <v>0</v>
      </c>
      <c r="W700" s="2300"/>
      <c r="X700" s="2305">
        <f t="shared" si="177"/>
        <v>0</v>
      </c>
      <c r="Y700" s="2305">
        <f t="shared" si="178"/>
        <v>0</v>
      </c>
      <c r="Z700" s="2300"/>
    </row>
    <row r="701" spans="1:26">
      <c r="A701" s="292" t="str">
        <f>'7.15'!B679</f>
        <v>12幢1单元403室</v>
      </c>
      <c r="B701" s="207">
        <f>'7.17'!G679</f>
        <v>88.31</v>
      </c>
      <c r="C701" s="197">
        <f t="shared" si="164"/>
        <v>1</v>
      </c>
      <c r="D701" s="995" t="s">
        <v>7606</v>
      </c>
      <c r="E701" s="197">
        <f t="shared" si="165"/>
        <v>1</v>
      </c>
      <c r="F701" s="995" t="str">
        <f>'7.15'!D679</f>
        <v>平层</v>
      </c>
      <c r="G701" s="197">
        <f t="shared" si="166"/>
        <v>1</v>
      </c>
      <c r="H701" s="995" t="str">
        <f>'7.15'!E679</f>
        <v>南北</v>
      </c>
      <c r="I701" s="197">
        <f t="shared" si="167"/>
        <v>1</v>
      </c>
      <c r="J701" s="995"/>
      <c r="K701" s="197">
        <f t="shared" si="168"/>
        <v>1</v>
      </c>
      <c r="L701" s="995"/>
      <c r="M701" s="197">
        <f t="shared" si="169"/>
        <v>1</v>
      </c>
      <c r="N701" s="995"/>
      <c r="O701" s="197">
        <f t="shared" si="170"/>
        <v>1</v>
      </c>
      <c r="P701" s="995"/>
      <c r="Q701" s="197">
        <f t="shared" si="171"/>
        <v>1</v>
      </c>
      <c r="R701" s="991">
        <f t="shared" ca="1" si="172"/>
        <v>15932</v>
      </c>
      <c r="S701" s="552">
        <f t="shared" ca="1" si="173"/>
        <v>1406955</v>
      </c>
      <c r="T701" s="2010">
        <f t="shared" ca="1" si="174"/>
        <v>141</v>
      </c>
      <c r="U701" s="2305">
        <f t="shared" si="175"/>
        <v>0</v>
      </c>
      <c r="V701" s="2305">
        <f t="shared" si="176"/>
        <v>0</v>
      </c>
      <c r="W701" s="2300"/>
      <c r="X701" s="2305">
        <f t="shared" si="177"/>
        <v>0</v>
      </c>
      <c r="Y701" s="2305">
        <f t="shared" si="178"/>
        <v>0</v>
      </c>
      <c r="Z701" s="2300"/>
    </row>
    <row r="702" spans="1:26">
      <c r="A702" s="292" t="str">
        <f>'7.15'!B680</f>
        <v>12幢1单元503室</v>
      </c>
      <c r="B702" s="207">
        <f>'7.17'!G680</f>
        <v>88.31</v>
      </c>
      <c r="C702" s="197">
        <f t="shared" si="164"/>
        <v>1</v>
      </c>
      <c r="D702" s="995" t="s">
        <v>7606</v>
      </c>
      <c r="E702" s="197">
        <f t="shared" si="165"/>
        <v>1</v>
      </c>
      <c r="F702" s="995" t="str">
        <f>'7.15'!D680</f>
        <v>平层</v>
      </c>
      <c r="G702" s="197">
        <f t="shared" si="166"/>
        <v>1</v>
      </c>
      <c r="H702" s="995" t="str">
        <f>'7.15'!E680</f>
        <v>南北</v>
      </c>
      <c r="I702" s="197">
        <f t="shared" si="167"/>
        <v>1</v>
      </c>
      <c r="J702" s="995"/>
      <c r="K702" s="197">
        <f t="shared" si="168"/>
        <v>1</v>
      </c>
      <c r="L702" s="995"/>
      <c r="M702" s="197">
        <f t="shared" si="169"/>
        <v>1</v>
      </c>
      <c r="N702" s="995"/>
      <c r="O702" s="197">
        <f t="shared" si="170"/>
        <v>1</v>
      </c>
      <c r="P702" s="995"/>
      <c r="Q702" s="197">
        <f t="shared" si="171"/>
        <v>1</v>
      </c>
      <c r="R702" s="991">
        <f t="shared" ca="1" si="172"/>
        <v>15932</v>
      </c>
      <c r="S702" s="552">
        <f t="shared" ca="1" si="173"/>
        <v>1406955</v>
      </c>
      <c r="T702" s="2010">
        <f t="shared" ca="1" si="174"/>
        <v>141</v>
      </c>
      <c r="U702" s="2305">
        <f t="shared" si="175"/>
        <v>0</v>
      </c>
      <c r="V702" s="2305">
        <f t="shared" si="176"/>
        <v>0</v>
      </c>
      <c r="W702" s="2300"/>
      <c r="X702" s="2305">
        <f t="shared" si="177"/>
        <v>0</v>
      </c>
      <c r="Y702" s="2305">
        <f t="shared" si="178"/>
        <v>0</v>
      </c>
      <c r="Z702" s="2300"/>
    </row>
    <row r="703" spans="1:26">
      <c r="A703" s="292" t="str">
        <f>'7.15'!B681</f>
        <v>12幢1单元603室</v>
      </c>
      <c r="B703" s="207">
        <f>'7.17'!G681</f>
        <v>88.31</v>
      </c>
      <c r="C703" s="197">
        <f t="shared" si="164"/>
        <v>1</v>
      </c>
      <c r="D703" s="995" t="s">
        <v>7606</v>
      </c>
      <c r="E703" s="197">
        <f t="shared" si="165"/>
        <v>1</v>
      </c>
      <c r="F703" s="995" t="str">
        <f>'7.15'!D681</f>
        <v>平层</v>
      </c>
      <c r="G703" s="197">
        <f t="shared" si="166"/>
        <v>1</v>
      </c>
      <c r="H703" s="995" t="str">
        <f>'7.15'!E681</f>
        <v>南北</v>
      </c>
      <c r="I703" s="197">
        <f t="shared" si="167"/>
        <v>1</v>
      </c>
      <c r="J703" s="995"/>
      <c r="K703" s="197">
        <f t="shared" si="168"/>
        <v>1</v>
      </c>
      <c r="L703" s="995"/>
      <c r="M703" s="197">
        <f t="shared" si="169"/>
        <v>1</v>
      </c>
      <c r="N703" s="995"/>
      <c r="O703" s="197">
        <f t="shared" si="170"/>
        <v>1</v>
      </c>
      <c r="P703" s="995"/>
      <c r="Q703" s="197">
        <f t="shared" si="171"/>
        <v>1</v>
      </c>
      <c r="R703" s="991">
        <f t="shared" ca="1" si="172"/>
        <v>15932</v>
      </c>
      <c r="S703" s="552">
        <f t="shared" ca="1" si="173"/>
        <v>1406955</v>
      </c>
      <c r="T703" s="2010">
        <f t="shared" ca="1" si="174"/>
        <v>141</v>
      </c>
      <c r="U703" s="2305">
        <f t="shared" si="175"/>
        <v>0</v>
      </c>
      <c r="V703" s="2305">
        <f t="shared" si="176"/>
        <v>0</v>
      </c>
      <c r="W703" s="2300"/>
      <c r="X703" s="2305">
        <f t="shared" si="177"/>
        <v>0</v>
      </c>
      <c r="Y703" s="2305">
        <f t="shared" si="178"/>
        <v>0</v>
      </c>
      <c r="Z703" s="2300"/>
    </row>
    <row r="704" spans="1:26">
      <c r="A704" s="292" t="str">
        <f>'7.15'!B682</f>
        <v>12幢1单元703室</v>
      </c>
      <c r="B704" s="207">
        <f>'7.17'!G682</f>
        <v>88.31</v>
      </c>
      <c r="C704" s="197">
        <f t="shared" si="164"/>
        <v>1</v>
      </c>
      <c r="D704" s="995" t="s">
        <v>7606</v>
      </c>
      <c r="E704" s="197">
        <f t="shared" si="165"/>
        <v>1</v>
      </c>
      <c r="F704" s="995" t="str">
        <f>'7.15'!D682</f>
        <v>平层</v>
      </c>
      <c r="G704" s="197">
        <f t="shared" si="166"/>
        <v>1</v>
      </c>
      <c r="H704" s="995" t="str">
        <f>'7.15'!E682</f>
        <v>南北</v>
      </c>
      <c r="I704" s="197">
        <f t="shared" si="167"/>
        <v>1</v>
      </c>
      <c r="J704" s="995"/>
      <c r="K704" s="197">
        <f t="shared" si="168"/>
        <v>1</v>
      </c>
      <c r="L704" s="995"/>
      <c r="M704" s="197">
        <f t="shared" si="169"/>
        <v>1</v>
      </c>
      <c r="N704" s="995"/>
      <c r="O704" s="197">
        <f t="shared" si="170"/>
        <v>1</v>
      </c>
      <c r="P704" s="995"/>
      <c r="Q704" s="197">
        <f t="shared" si="171"/>
        <v>1</v>
      </c>
      <c r="R704" s="991">
        <f t="shared" ca="1" si="172"/>
        <v>15932</v>
      </c>
      <c r="S704" s="552">
        <f t="shared" ca="1" si="173"/>
        <v>1406955</v>
      </c>
      <c r="T704" s="2010">
        <f t="shared" ca="1" si="174"/>
        <v>141</v>
      </c>
      <c r="U704" s="2305">
        <f t="shared" si="175"/>
        <v>0</v>
      </c>
      <c r="V704" s="2305">
        <f t="shared" si="176"/>
        <v>0</v>
      </c>
      <c r="W704" s="2300"/>
      <c r="X704" s="2305">
        <f t="shared" si="177"/>
        <v>0</v>
      </c>
      <c r="Y704" s="2305">
        <f t="shared" si="178"/>
        <v>0</v>
      </c>
      <c r="Z704" s="2300"/>
    </row>
    <row r="705" spans="1:26">
      <c r="A705" s="292" t="str">
        <f>'7.15'!B683</f>
        <v>12幢1单元803室</v>
      </c>
      <c r="B705" s="207">
        <f>'7.17'!G683</f>
        <v>88.31</v>
      </c>
      <c r="C705" s="197">
        <f t="shared" si="164"/>
        <v>1</v>
      </c>
      <c r="D705" s="995" t="s">
        <v>7606</v>
      </c>
      <c r="E705" s="197">
        <f t="shared" si="165"/>
        <v>1</v>
      </c>
      <c r="F705" s="995" t="str">
        <f>'7.15'!D683</f>
        <v>平层</v>
      </c>
      <c r="G705" s="197">
        <f t="shared" si="166"/>
        <v>1</v>
      </c>
      <c r="H705" s="995" t="str">
        <f>'7.15'!E683</f>
        <v>南北</v>
      </c>
      <c r="I705" s="197">
        <f t="shared" si="167"/>
        <v>1</v>
      </c>
      <c r="J705" s="995"/>
      <c r="K705" s="197">
        <f t="shared" si="168"/>
        <v>1</v>
      </c>
      <c r="L705" s="995"/>
      <c r="M705" s="197">
        <f t="shared" si="169"/>
        <v>1</v>
      </c>
      <c r="N705" s="995"/>
      <c r="O705" s="197">
        <f t="shared" si="170"/>
        <v>1</v>
      </c>
      <c r="P705" s="995"/>
      <c r="Q705" s="197">
        <f t="shared" si="171"/>
        <v>1</v>
      </c>
      <c r="R705" s="991">
        <f t="shared" ca="1" si="172"/>
        <v>15932</v>
      </c>
      <c r="S705" s="552">
        <f t="shared" ca="1" si="173"/>
        <v>1406955</v>
      </c>
      <c r="T705" s="2010">
        <f t="shared" ca="1" si="174"/>
        <v>141</v>
      </c>
      <c r="U705" s="2305">
        <f t="shared" si="175"/>
        <v>0</v>
      </c>
      <c r="V705" s="2305">
        <f t="shared" si="176"/>
        <v>0</v>
      </c>
      <c r="W705" s="2300"/>
      <c r="X705" s="2305">
        <f t="shared" si="177"/>
        <v>0</v>
      </c>
      <c r="Y705" s="2305">
        <f t="shared" si="178"/>
        <v>0</v>
      </c>
      <c r="Z705" s="2300"/>
    </row>
    <row r="706" spans="1:26">
      <c r="A706" s="292" t="str">
        <f>'7.15'!B684</f>
        <v>12幢1单元903室</v>
      </c>
      <c r="B706" s="207">
        <f>'7.17'!G684</f>
        <v>88.31</v>
      </c>
      <c r="C706" s="197">
        <f t="shared" si="164"/>
        <v>1</v>
      </c>
      <c r="D706" s="995" t="s">
        <v>7606</v>
      </c>
      <c r="E706" s="197">
        <f t="shared" si="165"/>
        <v>1</v>
      </c>
      <c r="F706" s="995" t="str">
        <f>'7.15'!D684</f>
        <v>平层</v>
      </c>
      <c r="G706" s="197">
        <f t="shared" si="166"/>
        <v>1</v>
      </c>
      <c r="H706" s="995" t="str">
        <f>'7.15'!E684</f>
        <v>南北</v>
      </c>
      <c r="I706" s="197">
        <f t="shared" si="167"/>
        <v>1</v>
      </c>
      <c r="J706" s="995"/>
      <c r="K706" s="197">
        <f t="shared" si="168"/>
        <v>1</v>
      </c>
      <c r="L706" s="995"/>
      <c r="M706" s="197">
        <f t="shared" si="169"/>
        <v>1</v>
      </c>
      <c r="N706" s="995"/>
      <c r="O706" s="197">
        <f t="shared" si="170"/>
        <v>1</v>
      </c>
      <c r="P706" s="995"/>
      <c r="Q706" s="197">
        <f t="shared" si="171"/>
        <v>1</v>
      </c>
      <c r="R706" s="991">
        <f t="shared" ca="1" si="172"/>
        <v>15932</v>
      </c>
      <c r="S706" s="552">
        <f t="shared" ca="1" si="173"/>
        <v>1406955</v>
      </c>
      <c r="T706" s="2010">
        <f t="shared" ca="1" si="174"/>
        <v>141</v>
      </c>
      <c r="U706" s="2305">
        <f t="shared" si="175"/>
        <v>0</v>
      </c>
      <c r="V706" s="2305">
        <f t="shared" si="176"/>
        <v>0</v>
      </c>
      <c r="W706" s="2300"/>
      <c r="X706" s="2305">
        <f t="shared" si="177"/>
        <v>0</v>
      </c>
      <c r="Y706" s="2305">
        <f t="shared" si="178"/>
        <v>0</v>
      </c>
      <c r="Z706" s="2300"/>
    </row>
    <row r="707" spans="1:26">
      <c r="A707" s="292" t="str">
        <f>'7.15'!B685</f>
        <v>12幢1单元1003室</v>
      </c>
      <c r="B707" s="207">
        <f>'7.17'!G685</f>
        <v>88.31</v>
      </c>
      <c r="C707" s="197">
        <f t="shared" si="164"/>
        <v>1</v>
      </c>
      <c r="D707" s="995" t="s">
        <v>7606</v>
      </c>
      <c r="E707" s="197">
        <f t="shared" si="165"/>
        <v>1</v>
      </c>
      <c r="F707" s="995" t="str">
        <f>'7.15'!D685</f>
        <v>平层</v>
      </c>
      <c r="G707" s="197">
        <f t="shared" si="166"/>
        <v>1</v>
      </c>
      <c r="H707" s="995" t="str">
        <f>'7.15'!E685</f>
        <v>南北</v>
      </c>
      <c r="I707" s="197">
        <f t="shared" si="167"/>
        <v>1</v>
      </c>
      <c r="J707" s="995"/>
      <c r="K707" s="197">
        <f t="shared" si="168"/>
        <v>1</v>
      </c>
      <c r="L707" s="995"/>
      <c r="M707" s="197">
        <f t="shared" si="169"/>
        <v>1</v>
      </c>
      <c r="N707" s="995"/>
      <c r="O707" s="197">
        <f t="shared" si="170"/>
        <v>1</v>
      </c>
      <c r="P707" s="995"/>
      <c r="Q707" s="197">
        <f t="shared" si="171"/>
        <v>1</v>
      </c>
      <c r="R707" s="991">
        <f t="shared" ca="1" si="172"/>
        <v>15932</v>
      </c>
      <c r="S707" s="552">
        <f t="shared" ca="1" si="173"/>
        <v>1406955</v>
      </c>
      <c r="T707" s="2010">
        <f t="shared" ca="1" si="174"/>
        <v>141</v>
      </c>
      <c r="U707" s="2305">
        <f t="shared" si="175"/>
        <v>0</v>
      </c>
      <c r="V707" s="2305">
        <f t="shared" si="176"/>
        <v>0</v>
      </c>
      <c r="W707" s="2300"/>
      <c r="X707" s="2305">
        <f t="shared" si="177"/>
        <v>0</v>
      </c>
      <c r="Y707" s="2305">
        <f t="shared" si="178"/>
        <v>0</v>
      </c>
      <c r="Z707" s="2300"/>
    </row>
    <row r="708" spans="1:26">
      <c r="A708" s="292" t="str">
        <f>'7.15'!B686</f>
        <v>12幢1单元1103室</v>
      </c>
      <c r="B708" s="207">
        <f>'7.17'!G686</f>
        <v>88.31</v>
      </c>
      <c r="C708" s="197">
        <f t="shared" si="164"/>
        <v>1</v>
      </c>
      <c r="D708" s="995" t="s">
        <v>7609</v>
      </c>
      <c r="E708" s="197">
        <f t="shared" si="165"/>
        <v>1.04</v>
      </c>
      <c r="F708" s="995" t="str">
        <f>'7.15'!D686</f>
        <v>平层</v>
      </c>
      <c r="G708" s="197">
        <f t="shared" si="166"/>
        <v>1</v>
      </c>
      <c r="H708" s="995" t="str">
        <f>'7.15'!E686</f>
        <v>南北</v>
      </c>
      <c r="I708" s="197">
        <f t="shared" si="167"/>
        <v>1</v>
      </c>
      <c r="J708" s="995"/>
      <c r="K708" s="197">
        <f t="shared" si="168"/>
        <v>1</v>
      </c>
      <c r="L708" s="995"/>
      <c r="M708" s="197">
        <f t="shared" si="169"/>
        <v>1</v>
      </c>
      <c r="N708" s="995"/>
      <c r="O708" s="197">
        <f t="shared" si="170"/>
        <v>1</v>
      </c>
      <c r="P708" s="995"/>
      <c r="Q708" s="197">
        <f t="shared" si="171"/>
        <v>1</v>
      </c>
      <c r="R708" s="991">
        <f t="shared" ca="1" si="172"/>
        <v>16569</v>
      </c>
      <c r="S708" s="552">
        <f t="shared" ca="1" si="173"/>
        <v>1463208</v>
      </c>
      <c r="T708" s="2010">
        <f t="shared" ca="1" si="174"/>
        <v>146</v>
      </c>
      <c r="U708" s="2305">
        <f t="shared" si="175"/>
        <v>0</v>
      </c>
      <c r="V708" s="2305">
        <f t="shared" si="176"/>
        <v>0</v>
      </c>
      <c r="W708" s="2300"/>
      <c r="X708" s="2305">
        <f t="shared" si="177"/>
        <v>0</v>
      </c>
      <c r="Y708" s="2305">
        <f t="shared" si="178"/>
        <v>0</v>
      </c>
      <c r="Z708" s="2300"/>
    </row>
    <row r="709" spans="1:26">
      <c r="A709" s="292" t="str">
        <f>'7.15'!B687</f>
        <v>12幢1单元1203室</v>
      </c>
      <c r="B709" s="207">
        <f>'7.17'!G687</f>
        <v>88.31</v>
      </c>
      <c r="C709" s="197">
        <f t="shared" si="164"/>
        <v>1</v>
      </c>
      <c r="D709" s="995" t="s">
        <v>7609</v>
      </c>
      <c r="E709" s="197">
        <f t="shared" si="165"/>
        <v>1.04</v>
      </c>
      <c r="F709" s="995" t="str">
        <f>'7.15'!D687</f>
        <v>平层</v>
      </c>
      <c r="G709" s="197">
        <f t="shared" si="166"/>
        <v>1</v>
      </c>
      <c r="H709" s="995" t="str">
        <f>'7.15'!E687</f>
        <v>南北</v>
      </c>
      <c r="I709" s="197">
        <f t="shared" si="167"/>
        <v>1</v>
      </c>
      <c r="J709" s="995"/>
      <c r="K709" s="197">
        <f t="shared" si="168"/>
        <v>1</v>
      </c>
      <c r="L709" s="995"/>
      <c r="M709" s="197">
        <f t="shared" si="169"/>
        <v>1</v>
      </c>
      <c r="N709" s="995"/>
      <c r="O709" s="197">
        <f t="shared" si="170"/>
        <v>1</v>
      </c>
      <c r="P709" s="995"/>
      <c r="Q709" s="197">
        <f t="shared" si="171"/>
        <v>1</v>
      </c>
      <c r="R709" s="991">
        <f t="shared" ca="1" si="172"/>
        <v>16569</v>
      </c>
      <c r="S709" s="552">
        <f t="shared" ca="1" si="173"/>
        <v>1463208</v>
      </c>
      <c r="T709" s="2010">
        <f t="shared" ca="1" si="174"/>
        <v>146</v>
      </c>
      <c r="U709" s="2305">
        <f t="shared" si="175"/>
        <v>0</v>
      </c>
      <c r="V709" s="2305">
        <f t="shared" si="176"/>
        <v>0</v>
      </c>
      <c r="W709" s="2300"/>
      <c r="X709" s="2305">
        <f t="shared" si="177"/>
        <v>0</v>
      </c>
      <c r="Y709" s="2305">
        <f t="shared" si="178"/>
        <v>0</v>
      </c>
      <c r="Z709" s="2300"/>
    </row>
    <row r="710" spans="1:26">
      <c r="A710" s="292" t="str">
        <f>'7.15'!B688</f>
        <v>12幢1单元1303室</v>
      </c>
      <c r="B710" s="207">
        <f>'7.17'!G688</f>
        <v>88.31</v>
      </c>
      <c r="C710" s="197">
        <f t="shared" si="164"/>
        <v>1</v>
      </c>
      <c r="D710" s="995" t="s">
        <v>7609</v>
      </c>
      <c r="E710" s="197">
        <f t="shared" si="165"/>
        <v>1.04</v>
      </c>
      <c r="F710" s="995" t="str">
        <f>'7.15'!D688</f>
        <v>平层</v>
      </c>
      <c r="G710" s="197">
        <f t="shared" si="166"/>
        <v>1</v>
      </c>
      <c r="H710" s="995" t="str">
        <f>'7.15'!E688</f>
        <v>南北</v>
      </c>
      <c r="I710" s="197">
        <f t="shared" si="167"/>
        <v>1</v>
      </c>
      <c r="J710" s="995"/>
      <c r="K710" s="197">
        <f t="shared" si="168"/>
        <v>1</v>
      </c>
      <c r="L710" s="995"/>
      <c r="M710" s="197">
        <f t="shared" si="169"/>
        <v>1</v>
      </c>
      <c r="N710" s="995"/>
      <c r="O710" s="197">
        <f t="shared" si="170"/>
        <v>1</v>
      </c>
      <c r="P710" s="995"/>
      <c r="Q710" s="197">
        <f t="shared" si="171"/>
        <v>1</v>
      </c>
      <c r="R710" s="991">
        <f t="shared" ca="1" si="172"/>
        <v>16569</v>
      </c>
      <c r="S710" s="552">
        <f t="shared" ca="1" si="173"/>
        <v>1463208</v>
      </c>
      <c r="T710" s="2010">
        <f t="shared" ca="1" si="174"/>
        <v>146</v>
      </c>
      <c r="U710" s="2305">
        <f t="shared" si="175"/>
        <v>0</v>
      </c>
      <c r="V710" s="2305">
        <f t="shared" si="176"/>
        <v>0</v>
      </c>
      <c r="W710" s="2300"/>
      <c r="X710" s="2305">
        <f t="shared" si="177"/>
        <v>0</v>
      </c>
      <c r="Y710" s="2305">
        <f t="shared" si="178"/>
        <v>0</v>
      </c>
      <c r="Z710" s="2300"/>
    </row>
    <row r="711" spans="1:26">
      <c r="A711" s="292" t="str">
        <f>'7.15'!B689</f>
        <v>12幢1单元1403室</v>
      </c>
      <c r="B711" s="207">
        <f>'7.17'!G689</f>
        <v>88.31</v>
      </c>
      <c r="C711" s="197">
        <f t="shared" si="164"/>
        <v>1</v>
      </c>
      <c r="D711" s="995" t="s">
        <v>7609</v>
      </c>
      <c r="E711" s="197">
        <f t="shared" si="165"/>
        <v>1.04</v>
      </c>
      <c r="F711" s="995" t="str">
        <f>'7.15'!D689</f>
        <v>平层</v>
      </c>
      <c r="G711" s="197">
        <f t="shared" si="166"/>
        <v>1</v>
      </c>
      <c r="H711" s="995" t="str">
        <f>'7.15'!E689</f>
        <v>南北</v>
      </c>
      <c r="I711" s="197">
        <f t="shared" si="167"/>
        <v>1</v>
      </c>
      <c r="J711" s="995"/>
      <c r="K711" s="197">
        <f t="shared" si="168"/>
        <v>1</v>
      </c>
      <c r="L711" s="995"/>
      <c r="M711" s="197">
        <f t="shared" si="169"/>
        <v>1</v>
      </c>
      <c r="N711" s="995"/>
      <c r="O711" s="197">
        <f t="shared" si="170"/>
        <v>1</v>
      </c>
      <c r="P711" s="995"/>
      <c r="Q711" s="197">
        <f t="shared" si="171"/>
        <v>1</v>
      </c>
      <c r="R711" s="991">
        <f t="shared" ca="1" si="172"/>
        <v>16569</v>
      </c>
      <c r="S711" s="552">
        <f t="shared" ca="1" si="173"/>
        <v>1463208</v>
      </c>
      <c r="T711" s="2010">
        <f t="shared" ca="1" si="174"/>
        <v>146</v>
      </c>
      <c r="U711" s="2305">
        <f t="shared" si="175"/>
        <v>0</v>
      </c>
      <c r="V711" s="2305">
        <f t="shared" si="176"/>
        <v>0</v>
      </c>
      <c r="W711" s="2300"/>
      <c r="X711" s="2305">
        <f t="shared" si="177"/>
        <v>0</v>
      </c>
      <c r="Y711" s="2305">
        <f t="shared" si="178"/>
        <v>0</v>
      </c>
      <c r="Z711" s="2300"/>
    </row>
    <row r="712" spans="1:26">
      <c r="A712" s="292" t="str">
        <f>'7.15'!B690</f>
        <v>12幢1单元1503室</v>
      </c>
      <c r="B712" s="207">
        <f>'7.17'!G690</f>
        <v>88.31</v>
      </c>
      <c r="C712" s="197">
        <f t="shared" si="164"/>
        <v>1</v>
      </c>
      <c r="D712" s="995" t="s">
        <v>7609</v>
      </c>
      <c r="E712" s="197">
        <f t="shared" si="165"/>
        <v>1.04</v>
      </c>
      <c r="F712" s="995" t="str">
        <f>'7.15'!D690</f>
        <v>平层</v>
      </c>
      <c r="G712" s="197">
        <f t="shared" si="166"/>
        <v>1</v>
      </c>
      <c r="H712" s="995" t="str">
        <f>'7.15'!E690</f>
        <v>南北</v>
      </c>
      <c r="I712" s="197">
        <f t="shared" si="167"/>
        <v>1</v>
      </c>
      <c r="J712" s="995"/>
      <c r="K712" s="197">
        <f t="shared" si="168"/>
        <v>1</v>
      </c>
      <c r="L712" s="995"/>
      <c r="M712" s="197">
        <f t="shared" si="169"/>
        <v>1</v>
      </c>
      <c r="N712" s="995"/>
      <c r="O712" s="197">
        <f t="shared" si="170"/>
        <v>1</v>
      </c>
      <c r="P712" s="995"/>
      <c r="Q712" s="197">
        <f t="shared" si="171"/>
        <v>1</v>
      </c>
      <c r="R712" s="991">
        <f t="shared" ca="1" si="172"/>
        <v>16569</v>
      </c>
      <c r="S712" s="552">
        <f t="shared" ca="1" si="173"/>
        <v>1463208</v>
      </c>
      <c r="T712" s="2010">
        <f t="shared" ca="1" si="174"/>
        <v>146</v>
      </c>
      <c r="U712" s="2305">
        <f t="shared" si="175"/>
        <v>0</v>
      </c>
      <c r="V712" s="2305">
        <f t="shared" si="176"/>
        <v>0</v>
      </c>
      <c r="W712" s="2300"/>
      <c r="X712" s="2305">
        <f t="shared" si="177"/>
        <v>0</v>
      </c>
      <c r="Y712" s="2305">
        <f t="shared" si="178"/>
        <v>0</v>
      </c>
      <c r="Z712" s="2300"/>
    </row>
    <row r="713" spans="1:26">
      <c r="A713" s="292" t="str">
        <f>'7.15'!B691</f>
        <v>12幢1单元1603室</v>
      </c>
      <c r="B713" s="207">
        <f>'7.17'!G691</f>
        <v>88.31</v>
      </c>
      <c r="C713" s="197">
        <f t="shared" si="164"/>
        <v>1</v>
      </c>
      <c r="D713" s="995" t="s">
        <v>7609</v>
      </c>
      <c r="E713" s="197">
        <f t="shared" si="165"/>
        <v>1.04</v>
      </c>
      <c r="F713" s="995" t="str">
        <f>'7.15'!D691</f>
        <v>平层</v>
      </c>
      <c r="G713" s="197">
        <f t="shared" si="166"/>
        <v>1</v>
      </c>
      <c r="H713" s="995" t="str">
        <f>'7.15'!E691</f>
        <v>南北</v>
      </c>
      <c r="I713" s="197">
        <f t="shared" si="167"/>
        <v>1</v>
      </c>
      <c r="J713" s="995"/>
      <c r="K713" s="197">
        <f t="shared" si="168"/>
        <v>1</v>
      </c>
      <c r="L713" s="995"/>
      <c r="M713" s="197">
        <f t="shared" si="169"/>
        <v>1</v>
      </c>
      <c r="N713" s="995"/>
      <c r="O713" s="197">
        <f t="shared" si="170"/>
        <v>1</v>
      </c>
      <c r="P713" s="995"/>
      <c r="Q713" s="197">
        <f t="shared" si="171"/>
        <v>1</v>
      </c>
      <c r="R713" s="991">
        <f t="shared" ca="1" si="172"/>
        <v>16569</v>
      </c>
      <c r="S713" s="552">
        <f t="shared" ca="1" si="173"/>
        <v>1463208</v>
      </c>
      <c r="T713" s="2010">
        <f t="shared" ca="1" si="174"/>
        <v>146</v>
      </c>
      <c r="U713" s="2305">
        <f t="shared" si="175"/>
        <v>0</v>
      </c>
      <c r="V713" s="2305">
        <f t="shared" si="176"/>
        <v>0</v>
      </c>
      <c r="W713" s="2300"/>
      <c r="X713" s="2305">
        <f t="shared" si="177"/>
        <v>0</v>
      </c>
      <c r="Y713" s="2305">
        <f t="shared" si="178"/>
        <v>0</v>
      </c>
      <c r="Z713" s="2300"/>
    </row>
    <row r="714" spans="1:26">
      <c r="A714" s="292" t="str">
        <f>'7.15'!B692</f>
        <v>12幢1单元1703室</v>
      </c>
      <c r="B714" s="207">
        <f>'7.17'!G692</f>
        <v>88.31</v>
      </c>
      <c r="C714" s="197">
        <f t="shared" si="164"/>
        <v>1</v>
      </c>
      <c r="D714" s="995" t="s">
        <v>7609</v>
      </c>
      <c r="E714" s="197">
        <f t="shared" si="165"/>
        <v>1.04</v>
      </c>
      <c r="F714" s="995" t="str">
        <f>'7.15'!D692</f>
        <v>平层</v>
      </c>
      <c r="G714" s="197">
        <f t="shared" si="166"/>
        <v>1</v>
      </c>
      <c r="H714" s="995" t="str">
        <f>'7.15'!E692</f>
        <v>南北</v>
      </c>
      <c r="I714" s="197">
        <f t="shared" si="167"/>
        <v>1</v>
      </c>
      <c r="J714" s="995"/>
      <c r="K714" s="197">
        <f t="shared" si="168"/>
        <v>1</v>
      </c>
      <c r="L714" s="995"/>
      <c r="M714" s="197">
        <f t="shared" si="169"/>
        <v>1</v>
      </c>
      <c r="N714" s="995"/>
      <c r="O714" s="197">
        <f t="shared" si="170"/>
        <v>1</v>
      </c>
      <c r="P714" s="995"/>
      <c r="Q714" s="197">
        <f t="shared" si="171"/>
        <v>1</v>
      </c>
      <c r="R714" s="991">
        <f t="shared" ca="1" si="172"/>
        <v>16569</v>
      </c>
      <c r="S714" s="552">
        <f t="shared" ca="1" si="173"/>
        <v>1463208</v>
      </c>
      <c r="T714" s="2010">
        <f t="shared" ca="1" si="174"/>
        <v>146</v>
      </c>
      <c r="U714" s="2305">
        <f t="shared" si="175"/>
        <v>0</v>
      </c>
      <c r="V714" s="2305">
        <f t="shared" si="176"/>
        <v>0</v>
      </c>
      <c r="W714" s="2300"/>
      <c r="X714" s="2305">
        <f t="shared" si="177"/>
        <v>0</v>
      </c>
      <c r="Y714" s="2305">
        <f t="shared" si="178"/>
        <v>0</v>
      </c>
      <c r="Z714" s="2300"/>
    </row>
    <row r="715" spans="1:26">
      <c r="A715" s="292" t="str">
        <f>'7.15'!B693</f>
        <v>12幢1单元1803室</v>
      </c>
      <c r="B715" s="207">
        <f>'7.17'!G693</f>
        <v>88.31</v>
      </c>
      <c r="C715" s="197">
        <f t="shared" si="164"/>
        <v>1</v>
      </c>
      <c r="D715" s="995" t="s">
        <v>7609</v>
      </c>
      <c r="E715" s="197">
        <f t="shared" si="165"/>
        <v>1.04</v>
      </c>
      <c r="F715" s="995" t="str">
        <f>'7.15'!D693</f>
        <v>平层</v>
      </c>
      <c r="G715" s="197">
        <f t="shared" si="166"/>
        <v>1</v>
      </c>
      <c r="H715" s="995" t="str">
        <f>'7.15'!E693</f>
        <v>南北</v>
      </c>
      <c r="I715" s="197">
        <f t="shared" si="167"/>
        <v>1</v>
      </c>
      <c r="J715" s="995"/>
      <c r="K715" s="197">
        <f t="shared" si="168"/>
        <v>1</v>
      </c>
      <c r="L715" s="995"/>
      <c r="M715" s="197">
        <f t="shared" si="169"/>
        <v>1</v>
      </c>
      <c r="N715" s="995"/>
      <c r="O715" s="197">
        <f t="shared" si="170"/>
        <v>1</v>
      </c>
      <c r="P715" s="995"/>
      <c r="Q715" s="197">
        <f t="shared" si="171"/>
        <v>1</v>
      </c>
      <c r="R715" s="991">
        <f t="shared" ca="1" si="172"/>
        <v>16569</v>
      </c>
      <c r="S715" s="552">
        <f t="shared" ca="1" si="173"/>
        <v>1463208</v>
      </c>
      <c r="T715" s="2010">
        <f t="shared" ca="1" si="174"/>
        <v>146</v>
      </c>
      <c r="U715" s="2305">
        <f t="shared" si="175"/>
        <v>0</v>
      </c>
      <c r="V715" s="2305">
        <f t="shared" si="176"/>
        <v>0</v>
      </c>
      <c r="W715" s="2300"/>
      <c r="X715" s="2305">
        <f t="shared" si="177"/>
        <v>0</v>
      </c>
      <c r="Y715" s="2305">
        <f t="shared" si="178"/>
        <v>0</v>
      </c>
      <c r="Z715" s="2300"/>
    </row>
    <row r="716" spans="1:26">
      <c r="A716" s="292" t="str">
        <f>'7.15'!B694</f>
        <v>12幢1单元1903室</v>
      </c>
      <c r="B716" s="207">
        <f>'7.17'!G694</f>
        <v>88.31</v>
      </c>
      <c r="C716" s="197">
        <f t="shared" si="164"/>
        <v>1</v>
      </c>
      <c r="D716" s="995" t="s">
        <v>7609</v>
      </c>
      <c r="E716" s="197">
        <f t="shared" si="165"/>
        <v>1.04</v>
      </c>
      <c r="F716" s="995" t="str">
        <f>'7.15'!D694</f>
        <v>平层</v>
      </c>
      <c r="G716" s="197">
        <f t="shared" si="166"/>
        <v>1</v>
      </c>
      <c r="H716" s="995" t="str">
        <f>'7.15'!E694</f>
        <v>南北</v>
      </c>
      <c r="I716" s="197">
        <f t="shared" si="167"/>
        <v>1</v>
      </c>
      <c r="J716" s="995"/>
      <c r="K716" s="197">
        <f t="shared" si="168"/>
        <v>1</v>
      </c>
      <c r="L716" s="995"/>
      <c r="M716" s="197">
        <f t="shared" si="169"/>
        <v>1</v>
      </c>
      <c r="N716" s="995"/>
      <c r="O716" s="197">
        <f t="shared" si="170"/>
        <v>1</v>
      </c>
      <c r="P716" s="995"/>
      <c r="Q716" s="197">
        <f t="shared" si="171"/>
        <v>1</v>
      </c>
      <c r="R716" s="991">
        <f t="shared" ca="1" si="172"/>
        <v>16569</v>
      </c>
      <c r="S716" s="552">
        <f t="shared" ca="1" si="173"/>
        <v>1463208</v>
      </c>
      <c r="T716" s="2010">
        <f t="shared" ca="1" si="174"/>
        <v>146</v>
      </c>
      <c r="U716" s="2305">
        <f t="shared" si="175"/>
        <v>0</v>
      </c>
      <c r="V716" s="2305">
        <f t="shared" si="176"/>
        <v>0</v>
      </c>
      <c r="W716" s="2300"/>
      <c r="X716" s="2305">
        <f t="shared" si="177"/>
        <v>0</v>
      </c>
      <c r="Y716" s="2305">
        <f t="shared" si="178"/>
        <v>0</v>
      </c>
      <c r="Z716" s="2300"/>
    </row>
    <row r="717" spans="1:26">
      <c r="A717" s="292" t="str">
        <f>'7.15'!B695</f>
        <v>12幢1单元2003室</v>
      </c>
      <c r="B717" s="207">
        <f>'7.17'!G695</f>
        <v>88.31</v>
      </c>
      <c r="C717" s="197">
        <f t="shared" si="164"/>
        <v>1</v>
      </c>
      <c r="D717" s="995" t="s">
        <v>7609</v>
      </c>
      <c r="E717" s="197">
        <f t="shared" si="165"/>
        <v>1.04</v>
      </c>
      <c r="F717" s="995" t="str">
        <f>'7.15'!D695</f>
        <v>平层</v>
      </c>
      <c r="G717" s="197">
        <f t="shared" si="166"/>
        <v>1</v>
      </c>
      <c r="H717" s="995" t="str">
        <f>'7.15'!E695</f>
        <v>南北</v>
      </c>
      <c r="I717" s="197">
        <f t="shared" si="167"/>
        <v>1</v>
      </c>
      <c r="J717" s="995"/>
      <c r="K717" s="197">
        <f t="shared" si="168"/>
        <v>1</v>
      </c>
      <c r="L717" s="995"/>
      <c r="M717" s="197">
        <f t="shared" si="169"/>
        <v>1</v>
      </c>
      <c r="N717" s="995"/>
      <c r="O717" s="197">
        <f t="shared" si="170"/>
        <v>1</v>
      </c>
      <c r="P717" s="995"/>
      <c r="Q717" s="197">
        <f t="shared" si="171"/>
        <v>1</v>
      </c>
      <c r="R717" s="991">
        <f t="shared" ca="1" si="172"/>
        <v>16569</v>
      </c>
      <c r="S717" s="552">
        <f t="shared" ca="1" si="173"/>
        <v>1463208</v>
      </c>
      <c r="T717" s="2010">
        <f t="shared" ca="1" si="174"/>
        <v>146</v>
      </c>
      <c r="U717" s="2305">
        <f t="shared" si="175"/>
        <v>0</v>
      </c>
      <c r="V717" s="2305">
        <f t="shared" si="176"/>
        <v>0</v>
      </c>
      <c r="W717" s="2300"/>
      <c r="X717" s="2305">
        <f t="shared" si="177"/>
        <v>0</v>
      </c>
      <c r="Y717" s="2305">
        <f t="shared" si="178"/>
        <v>0</v>
      </c>
      <c r="Z717" s="2300"/>
    </row>
    <row r="718" spans="1:26">
      <c r="A718" s="292" t="str">
        <f>'7.15'!B696</f>
        <v>12幢1单元2103室</v>
      </c>
      <c r="B718" s="207">
        <f>'7.17'!G696</f>
        <v>88.31</v>
      </c>
      <c r="C718" s="197">
        <f t="shared" si="164"/>
        <v>1</v>
      </c>
      <c r="D718" s="995" t="s">
        <v>7608</v>
      </c>
      <c r="E718" s="197">
        <f t="shared" si="165"/>
        <v>1.02</v>
      </c>
      <c r="F718" s="995" t="str">
        <f>'7.15'!D696</f>
        <v>平层</v>
      </c>
      <c r="G718" s="197">
        <f t="shared" si="166"/>
        <v>1</v>
      </c>
      <c r="H718" s="995" t="str">
        <f>'7.15'!E696</f>
        <v>南北</v>
      </c>
      <c r="I718" s="197">
        <f t="shared" si="167"/>
        <v>1</v>
      </c>
      <c r="J718" s="995"/>
      <c r="K718" s="197">
        <f t="shared" si="168"/>
        <v>1</v>
      </c>
      <c r="L718" s="995"/>
      <c r="M718" s="197">
        <f t="shared" si="169"/>
        <v>1</v>
      </c>
      <c r="N718" s="995"/>
      <c r="O718" s="197">
        <f t="shared" si="170"/>
        <v>1</v>
      </c>
      <c r="P718" s="995"/>
      <c r="Q718" s="197">
        <f t="shared" si="171"/>
        <v>1</v>
      </c>
      <c r="R718" s="991">
        <f t="shared" ca="1" si="172"/>
        <v>16251</v>
      </c>
      <c r="S718" s="552">
        <f t="shared" ca="1" si="173"/>
        <v>1435126</v>
      </c>
      <c r="T718" s="2010">
        <f t="shared" ca="1" si="174"/>
        <v>144</v>
      </c>
      <c r="U718" s="2305">
        <f t="shared" si="175"/>
        <v>0</v>
      </c>
      <c r="V718" s="2305">
        <f t="shared" si="176"/>
        <v>0</v>
      </c>
      <c r="W718" s="2300"/>
      <c r="X718" s="2305">
        <f t="shared" si="177"/>
        <v>0</v>
      </c>
      <c r="Y718" s="2305">
        <f t="shared" si="178"/>
        <v>0</v>
      </c>
      <c r="Z718" s="2300"/>
    </row>
    <row r="719" spans="1:26">
      <c r="A719" s="292" t="str">
        <f>'7.15'!B697</f>
        <v>12幢1单元2203室</v>
      </c>
      <c r="B719" s="207">
        <f>'7.17'!G697</f>
        <v>88.31</v>
      </c>
      <c r="C719" s="197">
        <f t="shared" si="164"/>
        <v>1</v>
      </c>
      <c r="D719" s="995" t="s">
        <v>7608</v>
      </c>
      <c r="E719" s="197">
        <f t="shared" si="165"/>
        <v>1.02</v>
      </c>
      <c r="F719" s="995" t="str">
        <f>'7.15'!D697</f>
        <v>平层</v>
      </c>
      <c r="G719" s="197">
        <f t="shared" si="166"/>
        <v>1</v>
      </c>
      <c r="H719" s="995" t="str">
        <f>'7.15'!E697</f>
        <v>南北</v>
      </c>
      <c r="I719" s="197">
        <f t="shared" si="167"/>
        <v>1</v>
      </c>
      <c r="J719" s="995"/>
      <c r="K719" s="197">
        <f t="shared" si="168"/>
        <v>1</v>
      </c>
      <c r="L719" s="995"/>
      <c r="M719" s="197">
        <f t="shared" si="169"/>
        <v>1</v>
      </c>
      <c r="N719" s="995"/>
      <c r="O719" s="197">
        <f t="shared" si="170"/>
        <v>1</v>
      </c>
      <c r="P719" s="995"/>
      <c r="Q719" s="197">
        <f t="shared" si="171"/>
        <v>1</v>
      </c>
      <c r="R719" s="991">
        <f t="shared" ca="1" si="172"/>
        <v>16251</v>
      </c>
      <c r="S719" s="552">
        <f t="shared" ca="1" si="173"/>
        <v>1435126</v>
      </c>
      <c r="T719" s="2010">
        <f t="shared" ca="1" si="174"/>
        <v>144</v>
      </c>
      <c r="U719" s="2305">
        <f t="shared" si="175"/>
        <v>0</v>
      </c>
      <c r="V719" s="2305">
        <f t="shared" si="176"/>
        <v>0</v>
      </c>
      <c r="W719" s="2300"/>
      <c r="X719" s="2305">
        <f t="shared" si="177"/>
        <v>0</v>
      </c>
      <c r="Y719" s="2305">
        <f t="shared" si="178"/>
        <v>0</v>
      </c>
      <c r="Z719" s="2300"/>
    </row>
    <row r="720" spans="1:26">
      <c r="A720" s="292" t="str">
        <f>'7.15'!B698</f>
        <v>12幢1单元2303室</v>
      </c>
      <c r="B720" s="207">
        <f>'7.17'!G698</f>
        <v>88.31</v>
      </c>
      <c r="C720" s="197">
        <f t="shared" ref="C720:C783" si="179">IF(B720="",1,(LOOKUP(B720,$6:$6,$7:$7)-LOOKUP($B$27,$6:$6,$7:$7)+100)/100)</f>
        <v>1</v>
      </c>
      <c r="D720" s="995" t="s">
        <v>7608</v>
      </c>
      <c r="E720" s="197">
        <f t="shared" ref="E720:E783" si="180">(SUMIF($8:$8,D720,$9:$9)-SUMIF($8:$8,$D$27,$9:$9)+100)/100</f>
        <v>1.02</v>
      </c>
      <c r="F720" s="995" t="str">
        <f>'7.15'!D698</f>
        <v>平层</v>
      </c>
      <c r="G720" s="197">
        <f t="shared" ref="G720:G783" si="181">(SUMIF($10:$10,F720,$11:$11)-SUMIF($10:$10,$F$27,$11:$11)+100)/100</f>
        <v>1</v>
      </c>
      <c r="H720" s="995" t="str">
        <f>'7.15'!E698</f>
        <v>南北</v>
      </c>
      <c r="I720" s="197">
        <f t="shared" ref="I720:I783" si="182">(SUMIF($12:$12,H720,$13:$13)-SUMIF($12:$12,$H$27,$13:$13)+100)/100</f>
        <v>1</v>
      </c>
      <c r="J720" s="995"/>
      <c r="K720" s="197">
        <f t="shared" ref="K720:K783" si="183">(SUMIF($14:$14,J720,$15:$15)-SUMIF($14:$14,$J$27,$15:$15)+100)/100</f>
        <v>1</v>
      </c>
      <c r="L720" s="995"/>
      <c r="M720" s="197">
        <f t="shared" ref="M720:M783" si="184">(SUMIF($16:$16,L720,$17:$17)-SUMIF($16:$16,$L$27,$17:$17)+100)/100</f>
        <v>1</v>
      </c>
      <c r="N720" s="995"/>
      <c r="O720" s="197">
        <f t="shared" ref="O720:O783" si="185">(SUMIF($18:$18,N720,$19:$19)-SUMIF($18:$18,$N$27,$19:$19)+100)/100</f>
        <v>1</v>
      </c>
      <c r="P720" s="995"/>
      <c r="Q720" s="197">
        <f t="shared" ref="Q720:Q783" si="186">(SUMIF($20:$20,P720,$21:$21)-SUMIF($20:$20,$P$27,$21:$21)+100)/100</f>
        <v>1</v>
      </c>
      <c r="R720" s="991">
        <f t="shared" ref="R720:R783" ca="1" si="187">IF(B720="",0,ROUND($R$27*C720*E720*G720*I720*K720*M720*O720*Q720,0))</f>
        <v>16251</v>
      </c>
      <c r="S720" s="552">
        <f t="shared" ref="S720:S783" ca="1" si="188">ROUND(R720*B720,0)</f>
        <v>1435126</v>
      </c>
      <c r="T720" s="2010">
        <f t="shared" ref="T720:T783" ca="1" si="189">ROUND(R720*B720/10000,0)</f>
        <v>144</v>
      </c>
      <c r="U720" s="2305">
        <f t="shared" ref="U720:U783" si="190">ROUND(W720*B720,0)</f>
        <v>0</v>
      </c>
      <c r="V720" s="2305">
        <f t="shared" ref="V720:V783" si="191">ROUND(W720*B720/10000,0)</f>
        <v>0</v>
      </c>
      <c r="W720" s="2300"/>
      <c r="X720" s="2305">
        <f t="shared" ref="X720:X783" si="192">ROUND(Z720*B720,0)</f>
        <v>0</v>
      </c>
      <c r="Y720" s="2305">
        <f t="shared" ref="Y720:Y783" si="193">ROUND(Z720*B720/10000,0)</f>
        <v>0</v>
      </c>
      <c r="Z720" s="2300"/>
    </row>
    <row r="721" spans="1:26">
      <c r="A721" s="292" t="str">
        <f>'7.15'!B699</f>
        <v>12幢1单元2403室</v>
      </c>
      <c r="B721" s="207">
        <f>'7.17'!G699</f>
        <v>88.31</v>
      </c>
      <c r="C721" s="197">
        <f t="shared" si="179"/>
        <v>1</v>
      </c>
      <c r="D721" s="995" t="s">
        <v>7608</v>
      </c>
      <c r="E721" s="197">
        <f t="shared" si="180"/>
        <v>1.02</v>
      </c>
      <c r="F721" s="995" t="str">
        <f>'7.15'!D699</f>
        <v>平层</v>
      </c>
      <c r="G721" s="197">
        <f t="shared" si="181"/>
        <v>1</v>
      </c>
      <c r="H721" s="995" t="str">
        <f>'7.15'!E699</f>
        <v>南北</v>
      </c>
      <c r="I721" s="197">
        <f t="shared" si="182"/>
        <v>1</v>
      </c>
      <c r="J721" s="995"/>
      <c r="K721" s="197">
        <f t="shared" si="183"/>
        <v>1</v>
      </c>
      <c r="L721" s="995"/>
      <c r="M721" s="197">
        <f t="shared" si="184"/>
        <v>1</v>
      </c>
      <c r="N721" s="995"/>
      <c r="O721" s="197">
        <f t="shared" si="185"/>
        <v>1</v>
      </c>
      <c r="P721" s="995"/>
      <c r="Q721" s="197">
        <f t="shared" si="186"/>
        <v>1</v>
      </c>
      <c r="R721" s="991">
        <f t="shared" ca="1" si="187"/>
        <v>16251</v>
      </c>
      <c r="S721" s="552">
        <f t="shared" ca="1" si="188"/>
        <v>1435126</v>
      </c>
      <c r="T721" s="2010">
        <f t="shared" ca="1" si="189"/>
        <v>144</v>
      </c>
      <c r="U721" s="2305">
        <f t="shared" si="190"/>
        <v>0</v>
      </c>
      <c r="V721" s="2305">
        <f t="shared" si="191"/>
        <v>0</v>
      </c>
      <c r="W721" s="2300"/>
      <c r="X721" s="2305">
        <f t="shared" si="192"/>
        <v>0</v>
      </c>
      <c r="Y721" s="2305">
        <f t="shared" si="193"/>
        <v>0</v>
      </c>
      <c r="Z721" s="2300"/>
    </row>
    <row r="722" spans="1:26">
      <c r="A722" s="292" t="str">
        <f>'7.15'!B700</f>
        <v>12幢1单元2503室</v>
      </c>
      <c r="B722" s="207">
        <f>'7.17'!G700</f>
        <v>88.31</v>
      </c>
      <c r="C722" s="197">
        <f t="shared" si="179"/>
        <v>1</v>
      </c>
      <c r="D722" s="995" t="s">
        <v>7608</v>
      </c>
      <c r="E722" s="197">
        <f t="shared" si="180"/>
        <v>1.02</v>
      </c>
      <c r="F722" s="995" t="str">
        <f>'7.15'!D700</f>
        <v>平层</v>
      </c>
      <c r="G722" s="197">
        <f t="shared" si="181"/>
        <v>1</v>
      </c>
      <c r="H722" s="995" t="str">
        <f>'7.15'!E700</f>
        <v>南北</v>
      </c>
      <c r="I722" s="197">
        <f t="shared" si="182"/>
        <v>1</v>
      </c>
      <c r="J722" s="995"/>
      <c r="K722" s="197">
        <f t="shared" si="183"/>
        <v>1</v>
      </c>
      <c r="L722" s="995"/>
      <c r="M722" s="197">
        <f t="shared" si="184"/>
        <v>1</v>
      </c>
      <c r="N722" s="995"/>
      <c r="O722" s="197">
        <f t="shared" si="185"/>
        <v>1</v>
      </c>
      <c r="P722" s="995"/>
      <c r="Q722" s="197">
        <f t="shared" si="186"/>
        <v>1</v>
      </c>
      <c r="R722" s="991">
        <f t="shared" ca="1" si="187"/>
        <v>16251</v>
      </c>
      <c r="S722" s="552">
        <f t="shared" ca="1" si="188"/>
        <v>1435126</v>
      </c>
      <c r="T722" s="2010">
        <f t="shared" ca="1" si="189"/>
        <v>144</v>
      </c>
      <c r="U722" s="2305">
        <f t="shared" si="190"/>
        <v>0</v>
      </c>
      <c r="V722" s="2305">
        <f t="shared" si="191"/>
        <v>0</v>
      </c>
      <c r="W722" s="2300"/>
      <c r="X722" s="2305">
        <f t="shared" si="192"/>
        <v>0</v>
      </c>
      <c r="Y722" s="2305">
        <f t="shared" si="193"/>
        <v>0</v>
      </c>
      <c r="Z722" s="2300"/>
    </row>
    <row r="723" spans="1:26">
      <c r="A723" s="292" t="str">
        <f>'7.15'!B701</f>
        <v>12幢1单元2603室</v>
      </c>
      <c r="B723" s="207">
        <f>'7.17'!G701</f>
        <v>88.31</v>
      </c>
      <c r="C723" s="197">
        <f t="shared" si="179"/>
        <v>1</v>
      </c>
      <c r="D723" s="995" t="s">
        <v>7608</v>
      </c>
      <c r="E723" s="197">
        <f t="shared" si="180"/>
        <v>1.02</v>
      </c>
      <c r="F723" s="995" t="str">
        <f>'7.15'!D701</f>
        <v>平层</v>
      </c>
      <c r="G723" s="197">
        <f t="shared" si="181"/>
        <v>1</v>
      </c>
      <c r="H723" s="995" t="str">
        <f>'7.15'!E701</f>
        <v>南北</v>
      </c>
      <c r="I723" s="197">
        <f t="shared" si="182"/>
        <v>1</v>
      </c>
      <c r="J723" s="995"/>
      <c r="K723" s="197">
        <f t="shared" si="183"/>
        <v>1</v>
      </c>
      <c r="L723" s="995"/>
      <c r="M723" s="197">
        <f t="shared" si="184"/>
        <v>1</v>
      </c>
      <c r="N723" s="995"/>
      <c r="O723" s="197">
        <f t="shared" si="185"/>
        <v>1</v>
      </c>
      <c r="P723" s="995"/>
      <c r="Q723" s="197">
        <f t="shared" si="186"/>
        <v>1</v>
      </c>
      <c r="R723" s="991">
        <f t="shared" ca="1" si="187"/>
        <v>16251</v>
      </c>
      <c r="S723" s="552">
        <f t="shared" ca="1" si="188"/>
        <v>1435126</v>
      </c>
      <c r="T723" s="2010">
        <f t="shared" ca="1" si="189"/>
        <v>144</v>
      </c>
      <c r="U723" s="2305">
        <f t="shared" si="190"/>
        <v>0</v>
      </c>
      <c r="V723" s="2305">
        <f t="shared" si="191"/>
        <v>0</v>
      </c>
      <c r="W723" s="2300"/>
      <c r="X723" s="2305">
        <f t="shared" si="192"/>
        <v>0</v>
      </c>
      <c r="Y723" s="2305">
        <f t="shared" si="193"/>
        <v>0</v>
      </c>
      <c r="Z723" s="2300"/>
    </row>
    <row r="724" spans="1:26">
      <c r="A724" s="292" t="str">
        <f>'7.15'!B702</f>
        <v>12幢1单元2703室</v>
      </c>
      <c r="B724" s="207">
        <f>'7.17'!G702</f>
        <v>88.31</v>
      </c>
      <c r="C724" s="197">
        <f t="shared" si="179"/>
        <v>1</v>
      </c>
      <c r="D724" s="995" t="s">
        <v>7608</v>
      </c>
      <c r="E724" s="197">
        <f t="shared" si="180"/>
        <v>1.02</v>
      </c>
      <c r="F724" s="995" t="str">
        <f>'7.15'!D702</f>
        <v>平层</v>
      </c>
      <c r="G724" s="197">
        <f t="shared" si="181"/>
        <v>1</v>
      </c>
      <c r="H724" s="995" t="str">
        <f>'7.15'!E702</f>
        <v>南北</v>
      </c>
      <c r="I724" s="197">
        <f t="shared" si="182"/>
        <v>1</v>
      </c>
      <c r="J724" s="995"/>
      <c r="K724" s="197">
        <f t="shared" si="183"/>
        <v>1</v>
      </c>
      <c r="L724" s="995"/>
      <c r="M724" s="197">
        <f t="shared" si="184"/>
        <v>1</v>
      </c>
      <c r="N724" s="995"/>
      <c r="O724" s="197">
        <f t="shared" si="185"/>
        <v>1</v>
      </c>
      <c r="P724" s="995"/>
      <c r="Q724" s="197">
        <f t="shared" si="186"/>
        <v>1</v>
      </c>
      <c r="R724" s="991">
        <f t="shared" ca="1" si="187"/>
        <v>16251</v>
      </c>
      <c r="S724" s="552">
        <f t="shared" ca="1" si="188"/>
        <v>1435126</v>
      </c>
      <c r="T724" s="2010">
        <f t="shared" ca="1" si="189"/>
        <v>144</v>
      </c>
      <c r="U724" s="2305">
        <f t="shared" si="190"/>
        <v>0</v>
      </c>
      <c r="V724" s="2305">
        <f t="shared" si="191"/>
        <v>0</v>
      </c>
      <c r="W724" s="2300"/>
      <c r="X724" s="2305">
        <f t="shared" si="192"/>
        <v>0</v>
      </c>
      <c r="Y724" s="2305">
        <f t="shared" si="193"/>
        <v>0</v>
      </c>
      <c r="Z724" s="2300"/>
    </row>
    <row r="725" spans="1:26">
      <c r="A725" s="292" t="str">
        <f>'7.15'!B703</f>
        <v>12幢1单元2803室</v>
      </c>
      <c r="B725" s="207">
        <f>'7.17'!G703</f>
        <v>88.31</v>
      </c>
      <c r="C725" s="197">
        <f t="shared" si="179"/>
        <v>1</v>
      </c>
      <c r="D725" s="995" t="s">
        <v>7608</v>
      </c>
      <c r="E725" s="197">
        <f t="shared" si="180"/>
        <v>1.02</v>
      </c>
      <c r="F725" s="995" t="str">
        <f>'7.15'!D703</f>
        <v>平层</v>
      </c>
      <c r="G725" s="197">
        <f t="shared" si="181"/>
        <v>1</v>
      </c>
      <c r="H725" s="995" t="str">
        <f>'7.15'!E703</f>
        <v>南北</v>
      </c>
      <c r="I725" s="197">
        <f t="shared" si="182"/>
        <v>1</v>
      </c>
      <c r="J725" s="995"/>
      <c r="K725" s="197">
        <f t="shared" si="183"/>
        <v>1</v>
      </c>
      <c r="L725" s="995"/>
      <c r="M725" s="197">
        <f t="shared" si="184"/>
        <v>1</v>
      </c>
      <c r="N725" s="995"/>
      <c r="O725" s="197">
        <f t="shared" si="185"/>
        <v>1</v>
      </c>
      <c r="P725" s="995"/>
      <c r="Q725" s="197">
        <f t="shared" si="186"/>
        <v>1</v>
      </c>
      <c r="R725" s="991">
        <f t="shared" ca="1" si="187"/>
        <v>16251</v>
      </c>
      <c r="S725" s="552">
        <f t="shared" ca="1" si="188"/>
        <v>1435126</v>
      </c>
      <c r="T725" s="2010">
        <f t="shared" ca="1" si="189"/>
        <v>144</v>
      </c>
      <c r="U725" s="2305">
        <f t="shared" si="190"/>
        <v>0</v>
      </c>
      <c r="V725" s="2305">
        <f t="shared" si="191"/>
        <v>0</v>
      </c>
      <c r="W725" s="2300"/>
      <c r="X725" s="2305">
        <f t="shared" si="192"/>
        <v>0</v>
      </c>
      <c r="Y725" s="2305">
        <f t="shared" si="193"/>
        <v>0</v>
      </c>
      <c r="Z725" s="2300"/>
    </row>
    <row r="726" spans="1:26">
      <c r="A726" s="292" t="str">
        <f>'7.15'!B704</f>
        <v>12幢1单元2903室</v>
      </c>
      <c r="B726" s="207">
        <f>'7.17'!G704</f>
        <v>88.31</v>
      </c>
      <c r="C726" s="197">
        <f t="shared" si="179"/>
        <v>1</v>
      </c>
      <c r="D726" s="995" t="s">
        <v>7608</v>
      </c>
      <c r="E726" s="197">
        <f t="shared" si="180"/>
        <v>1.02</v>
      </c>
      <c r="F726" s="995" t="str">
        <f>'7.15'!D704</f>
        <v>平层</v>
      </c>
      <c r="G726" s="197">
        <f t="shared" si="181"/>
        <v>1</v>
      </c>
      <c r="H726" s="995" t="str">
        <f>'7.15'!E704</f>
        <v>南北</v>
      </c>
      <c r="I726" s="197">
        <f t="shared" si="182"/>
        <v>1</v>
      </c>
      <c r="J726" s="995"/>
      <c r="K726" s="197">
        <f t="shared" si="183"/>
        <v>1</v>
      </c>
      <c r="L726" s="995"/>
      <c r="M726" s="197">
        <f t="shared" si="184"/>
        <v>1</v>
      </c>
      <c r="N726" s="995"/>
      <c r="O726" s="197">
        <f t="shared" si="185"/>
        <v>1</v>
      </c>
      <c r="P726" s="995"/>
      <c r="Q726" s="197">
        <f t="shared" si="186"/>
        <v>1</v>
      </c>
      <c r="R726" s="991">
        <f t="shared" ca="1" si="187"/>
        <v>16251</v>
      </c>
      <c r="S726" s="552">
        <f t="shared" ca="1" si="188"/>
        <v>1435126</v>
      </c>
      <c r="T726" s="2010">
        <f t="shared" ca="1" si="189"/>
        <v>144</v>
      </c>
      <c r="U726" s="2305">
        <f t="shared" si="190"/>
        <v>0</v>
      </c>
      <c r="V726" s="2305">
        <f t="shared" si="191"/>
        <v>0</v>
      </c>
      <c r="W726" s="2300"/>
      <c r="X726" s="2305">
        <f t="shared" si="192"/>
        <v>0</v>
      </c>
      <c r="Y726" s="2305">
        <f t="shared" si="193"/>
        <v>0</v>
      </c>
      <c r="Z726" s="2300"/>
    </row>
    <row r="727" spans="1:26">
      <c r="A727" s="292" t="str">
        <f>'7.15'!B705</f>
        <v>12幢1单元3003室</v>
      </c>
      <c r="B727" s="207">
        <f>'7.17'!G705</f>
        <v>88.31</v>
      </c>
      <c r="C727" s="197">
        <f t="shared" si="179"/>
        <v>1</v>
      </c>
      <c r="D727" s="995" t="s">
        <v>7608</v>
      </c>
      <c r="E727" s="197">
        <f t="shared" si="180"/>
        <v>1.02</v>
      </c>
      <c r="F727" s="995" t="str">
        <f>'7.15'!D705</f>
        <v>平层</v>
      </c>
      <c r="G727" s="197">
        <f t="shared" si="181"/>
        <v>1</v>
      </c>
      <c r="H727" s="995" t="str">
        <f>'7.15'!E705</f>
        <v>南北</v>
      </c>
      <c r="I727" s="197">
        <f t="shared" si="182"/>
        <v>1</v>
      </c>
      <c r="J727" s="995"/>
      <c r="K727" s="197">
        <f t="shared" si="183"/>
        <v>1</v>
      </c>
      <c r="L727" s="995"/>
      <c r="M727" s="197">
        <f t="shared" si="184"/>
        <v>1</v>
      </c>
      <c r="N727" s="995"/>
      <c r="O727" s="197">
        <f t="shared" si="185"/>
        <v>1</v>
      </c>
      <c r="P727" s="995"/>
      <c r="Q727" s="197">
        <f t="shared" si="186"/>
        <v>1</v>
      </c>
      <c r="R727" s="991">
        <f t="shared" ca="1" si="187"/>
        <v>16251</v>
      </c>
      <c r="S727" s="552">
        <f t="shared" ca="1" si="188"/>
        <v>1435126</v>
      </c>
      <c r="T727" s="2010">
        <f t="shared" ca="1" si="189"/>
        <v>144</v>
      </c>
      <c r="U727" s="2305">
        <f t="shared" si="190"/>
        <v>0</v>
      </c>
      <c r="V727" s="2305">
        <f t="shared" si="191"/>
        <v>0</v>
      </c>
      <c r="W727" s="2300"/>
      <c r="X727" s="2305">
        <f t="shared" si="192"/>
        <v>0</v>
      </c>
      <c r="Y727" s="2305">
        <f t="shared" si="193"/>
        <v>0</v>
      </c>
      <c r="Z727" s="2300"/>
    </row>
    <row r="728" spans="1:26">
      <c r="A728" s="292" t="str">
        <f>'7.15'!B706</f>
        <v>12幢1单元204室</v>
      </c>
      <c r="B728" s="207">
        <f>'7.17'!G706</f>
        <v>136.94999999999999</v>
      </c>
      <c r="C728" s="197">
        <f t="shared" si="179"/>
        <v>0.98</v>
      </c>
      <c r="D728" s="995" t="s">
        <v>7606</v>
      </c>
      <c r="E728" s="197">
        <f t="shared" si="180"/>
        <v>1</v>
      </c>
      <c r="F728" s="995" t="str">
        <f>'7.15'!D706</f>
        <v>跃层</v>
      </c>
      <c r="G728" s="197">
        <f t="shared" si="181"/>
        <v>1.02</v>
      </c>
      <c r="H728" s="995" t="str">
        <f>'7.15'!E706</f>
        <v>南北</v>
      </c>
      <c r="I728" s="197">
        <f t="shared" si="182"/>
        <v>1</v>
      </c>
      <c r="J728" s="995"/>
      <c r="K728" s="197">
        <f t="shared" si="183"/>
        <v>1</v>
      </c>
      <c r="L728" s="995"/>
      <c r="M728" s="197">
        <f t="shared" si="184"/>
        <v>1</v>
      </c>
      <c r="N728" s="995"/>
      <c r="O728" s="197">
        <f t="shared" si="185"/>
        <v>1</v>
      </c>
      <c r="P728" s="995"/>
      <c r="Q728" s="197">
        <f t="shared" si="186"/>
        <v>1</v>
      </c>
      <c r="R728" s="991">
        <f t="shared" ca="1" si="187"/>
        <v>15926</v>
      </c>
      <c r="S728" s="552">
        <f t="shared" ca="1" si="188"/>
        <v>2181066</v>
      </c>
      <c r="T728" s="2010">
        <f t="shared" ca="1" si="189"/>
        <v>218</v>
      </c>
      <c r="U728" s="2305">
        <f t="shared" si="190"/>
        <v>0</v>
      </c>
      <c r="V728" s="2305">
        <f t="shared" si="191"/>
        <v>0</v>
      </c>
      <c r="W728" s="2300"/>
      <c r="X728" s="2305">
        <f t="shared" si="192"/>
        <v>0</v>
      </c>
      <c r="Y728" s="2305">
        <f t="shared" si="193"/>
        <v>0</v>
      </c>
      <c r="Z728" s="2300"/>
    </row>
    <row r="729" spans="1:26">
      <c r="A729" s="292" t="str">
        <f>'7.15'!B707</f>
        <v>12幢1单元404室</v>
      </c>
      <c r="B729" s="207">
        <f>'7.17'!G707</f>
        <v>136.94999999999999</v>
      </c>
      <c r="C729" s="197">
        <f t="shared" si="179"/>
        <v>0.98</v>
      </c>
      <c r="D729" s="995" t="s">
        <v>7606</v>
      </c>
      <c r="E729" s="197">
        <f t="shared" si="180"/>
        <v>1</v>
      </c>
      <c r="F729" s="995" t="str">
        <f>'7.15'!D707</f>
        <v>跃层</v>
      </c>
      <c r="G729" s="197">
        <f t="shared" si="181"/>
        <v>1.02</v>
      </c>
      <c r="H729" s="995" t="str">
        <f>'7.15'!E707</f>
        <v>南北</v>
      </c>
      <c r="I729" s="197">
        <f t="shared" si="182"/>
        <v>1</v>
      </c>
      <c r="J729" s="995"/>
      <c r="K729" s="197">
        <f t="shared" si="183"/>
        <v>1</v>
      </c>
      <c r="L729" s="995"/>
      <c r="M729" s="197">
        <f t="shared" si="184"/>
        <v>1</v>
      </c>
      <c r="N729" s="995"/>
      <c r="O729" s="197">
        <f t="shared" si="185"/>
        <v>1</v>
      </c>
      <c r="P729" s="995"/>
      <c r="Q729" s="197">
        <f t="shared" si="186"/>
        <v>1</v>
      </c>
      <c r="R729" s="991">
        <f t="shared" ca="1" si="187"/>
        <v>15926</v>
      </c>
      <c r="S729" s="552">
        <f t="shared" ca="1" si="188"/>
        <v>2181066</v>
      </c>
      <c r="T729" s="2010">
        <f t="shared" ca="1" si="189"/>
        <v>218</v>
      </c>
      <c r="U729" s="2305">
        <f t="shared" si="190"/>
        <v>0</v>
      </c>
      <c r="V729" s="2305">
        <f t="shared" si="191"/>
        <v>0</v>
      </c>
      <c r="W729" s="2300"/>
      <c r="X729" s="2305">
        <f t="shared" si="192"/>
        <v>0</v>
      </c>
      <c r="Y729" s="2305">
        <f t="shared" si="193"/>
        <v>0</v>
      </c>
      <c r="Z729" s="2300"/>
    </row>
    <row r="730" spans="1:26">
      <c r="A730" s="292" t="str">
        <f>'7.15'!B708</f>
        <v>12幢1单元604室</v>
      </c>
      <c r="B730" s="207">
        <f>'7.17'!G708</f>
        <v>136.94999999999999</v>
      </c>
      <c r="C730" s="197">
        <f t="shared" si="179"/>
        <v>0.98</v>
      </c>
      <c r="D730" s="995" t="s">
        <v>7606</v>
      </c>
      <c r="E730" s="197">
        <f t="shared" si="180"/>
        <v>1</v>
      </c>
      <c r="F730" s="995" t="str">
        <f>'7.15'!D708</f>
        <v>跃层</v>
      </c>
      <c r="G730" s="197">
        <f t="shared" si="181"/>
        <v>1.02</v>
      </c>
      <c r="H730" s="995" t="str">
        <f>'7.15'!E708</f>
        <v>南北</v>
      </c>
      <c r="I730" s="197">
        <f t="shared" si="182"/>
        <v>1</v>
      </c>
      <c r="J730" s="995"/>
      <c r="K730" s="197">
        <f t="shared" si="183"/>
        <v>1</v>
      </c>
      <c r="L730" s="995"/>
      <c r="M730" s="197">
        <f t="shared" si="184"/>
        <v>1</v>
      </c>
      <c r="N730" s="995"/>
      <c r="O730" s="197">
        <f t="shared" si="185"/>
        <v>1</v>
      </c>
      <c r="P730" s="995"/>
      <c r="Q730" s="197">
        <f t="shared" si="186"/>
        <v>1</v>
      </c>
      <c r="R730" s="991">
        <f t="shared" ca="1" si="187"/>
        <v>15926</v>
      </c>
      <c r="S730" s="552">
        <f t="shared" ca="1" si="188"/>
        <v>2181066</v>
      </c>
      <c r="T730" s="2010">
        <f t="shared" ca="1" si="189"/>
        <v>218</v>
      </c>
      <c r="U730" s="2305">
        <f t="shared" si="190"/>
        <v>0</v>
      </c>
      <c r="V730" s="2305">
        <f t="shared" si="191"/>
        <v>0</v>
      </c>
      <c r="W730" s="2300"/>
      <c r="X730" s="2305">
        <f t="shared" si="192"/>
        <v>0</v>
      </c>
      <c r="Y730" s="2305">
        <f t="shared" si="193"/>
        <v>0</v>
      </c>
      <c r="Z730" s="2300"/>
    </row>
    <row r="731" spans="1:26">
      <c r="A731" s="292" t="str">
        <f>'7.15'!B709</f>
        <v>12幢1单元804室</v>
      </c>
      <c r="B731" s="207">
        <f>'7.17'!G709</f>
        <v>136.94999999999999</v>
      </c>
      <c r="C731" s="197">
        <f t="shared" si="179"/>
        <v>0.98</v>
      </c>
      <c r="D731" s="995" t="s">
        <v>7606</v>
      </c>
      <c r="E731" s="197">
        <f t="shared" si="180"/>
        <v>1</v>
      </c>
      <c r="F731" s="995" t="str">
        <f>'7.15'!D709</f>
        <v>跃层</v>
      </c>
      <c r="G731" s="197">
        <f t="shared" si="181"/>
        <v>1.02</v>
      </c>
      <c r="H731" s="995" t="str">
        <f>'7.15'!E709</f>
        <v>南北</v>
      </c>
      <c r="I731" s="197">
        <f t="shared" si="182"/>
        <v>1</v>
      </c>
      <c r="J731" s="995"/>
      <c r="K731" s="197">
        <f t="shared" si="183"/>
        <v>1</v>
      </c>
      <c r="L731" s="995"/>
      <c r="M731" s="197">
        <f t="shared" si="184"/>
        <v>1</v>
      </c>
      <c r="N731" s="995"/>
      <c r="O731" s="197">
        <f t="shared" si="185"/>
        <v>1</v>
      </c>
      <c r="P731" s="995"/>
      <c r="Q731" s="197">
        <f t="shared" si="186"/>
        <v>1</v>
      </c>
      <c r="R731" s="991">
        <f t="shared" ca="1" si="187"/>
        <v>15926</v>
      </c>
      <c r="S731" s="552">
        <f t="shared" ca="1" si="188"/>
        <v>2181066</v>
      </c>
      <c r="T731" s="2010">
        <f t="shared" ca="1" si="189"/>
        <v>218</v>
      </c>
      <c r="U731" s="2305">
        <f t="shared" si="190"/>
        <v>0</v>
      </c>
      <c r="V731" s="2305">
        <f t="shared" si="191"/>
        <v>0</v>
      </c>
      <c r="W731" s="2300"/>
      <c r="X731" s="2305">
        <f t="shared" si="192"/>
        <v>0</v>
      </c>
      <c r="Y731" s="2305">
        <f t="shared" si="193"/>
        <v>0</v>
      </c>
      <c r="Z731" s="2300"/>
    </row>
    <row r="732" spans="1:26">
      <c r="A732" s="292" t="str">
        <f>'7.15'!B710</f>
        <v>12幢1单元1004室</v>
      </c>
      <c r="B732" s="207">
        <f>'7.17'!G710</f>
        <v>136.94999999999999</v>
      </c>
      <c r="C732" s="197">
        <f t="shared" si="179"/>
        <v>0.98</v>
      </c>
      <c r="D732" s="995" t="s">
        <v>7606</v>
      </c>
      <c r="E732" s="197">
        <f t="shared" si="180"/>
        <v>1</v>
      </c>
      <c r="F732" s="995" t="str">
        <f>'7.15'!D710</f>
        <v>跃层</v>
      </c>
      <c r="G732" s="197">
        <f t="shared" si="181"/>
        <v>1.02</v>
      </c>
      <c r="H732" s="995" t="str">
        <f>'7.15'!E710</f>
        <v>南北</v>
      </c>
      <c r="I732" s="197">
        <f t="shared" si="182"/>
        <v>1</v>
      </c>
      <c r="J732" s="995"/>
      <c r="K732" s="197">
        <f t="shared" si="183"/>
        <v>1</v>
      </c>
      <c r="L732" s="995"/>
      <c r="M732" s="197">
        <f t="shared" si="184"/>
        <v>1</v>
      </c>
      <c r="N732" s="995"/>
      <c r="O732" s="197">
        <f t="shared" si="185"/>
        <v>1</v>
      </c>
      <c r="P732" s="995"/>
      <c r="Q732" s="197">
        <f t="shared" si="186"/>
        <v>1</v>
      </c>
      <c r="R732" s="991">
        <f t="shared" ca="1" si="187"/>
        <v>15926</v>
      </c>
      <c r="S732" s="552">
        <f t="shared" ca="1" si="188"/>
        <v>2181066</v>
      </c>
      <c r="T732" s="2010">
        <f t="shared" ca="1" si="189"/>
        <v>218</v>
      </c>
      <c r="U732" s="2305">
        <f t="shared" si="190"/>
        <v>0</v>
      </c>
      <c r="V732" s="2305">
        <f t="shared" si="191"/>
        <v>0</v>
      </c>
      <c r="W732" s="2300"/>
      <c r="X732" s="2305">
        <f t="shared" si="192"/>
        <v>0</v>
      </c>
      <c r="Y732" s="2305">
        <f t="shared" si="193"/>
        <v>0</v>
      </c>
      <c r="Z732" s="2300"/>
    </row>
    <row r="733" spans="1:26">
      <c r="A733" s="292" t="str">
        <f>'7.15'!B711</f>
        <v>12幢1单元1204室</v>
      </c>
      <c r="B733" s="207">
        <f>'7.17'!G711</f>
        <v>136.94999999999999</v>
      </c>
      <c r="C733" s="197">
        <f t="shared" si="179"/>
        <v>0.98</v>
      </c>
      <c r="D733" s="995" t="s">
        <v>7609</v>
      </c>
      <c r="E733" s="197">
        <f t="shared" si="180"/>
        <v>1.04</v>
      </c>
      <c r="F733" s="995" t="str">
        <f>'7.15'!D711</f>
        <v>跃层</v>
      </c>
      <c r="G733" s="197">
        <f t="shared" si="181"/>
        <v>1.02</v>
      </c>
      <c r="H733" s="995" t="str">
        <f>'7.15'!E711</f>
        <v>南北</v>
      </c>
      <c r="I733" s="197">
        <f t="shared" si="182"/>
        <v>1</v>
      </c>
      <c r="J733" s="995"/>
      <c r="K733" s="197">
        <f t="shared" si="183"/>
        <v>1</v>
      </c>
      <c r="L733" s="995"/>
      <c r="M733" s="197">
        <f t="shared" si="184"/>
        <v>1</v>
      </c>
      <c r="N733" s="995"/>
      <c r="O733" s="197">
        <f t="shared" si="185"/>
        <v>1</v>
      </c>
      <c r="P733" s="995"/>
      <c r="Q733" s="197">
        <f t="shared" si="186"/>
        <v>1</v>
      </c>
      <c r="R733" s="991">
        <f t="shared" ca="1" si="187"/>
        <v>16563</v>
      </c>
      <c r="S733" s="552">
        <f t="shared" ca="1" si="188"/>
        <v>2268303</v>
      </c>
      <c r="T733" s="2010">
        <f t="shared" ca="1" si="189"/>
        <v>227</v>
      </c>
      <c r="U733" s="2305">
        <f t="shared" si="190"/>
        <v>0</v>
      </c>
      <c r="V733" s="2305">
        <f t="shared" si="191"/>
        <v>0</v>
      </c>
      <c r="W733" s="2300"/>
      <c r="X733" s="2305">
        <f t="shared" si="192"/>
        <v>0</v>
      </c>
      <c r="Y733" s="2305">
        <f t="shared" si="193"/>
        <v>0</v>
      </c>
      <c r="Z733" s="2300"/>
    </row>
    <row r="734" spans="1:26">
      <c r="A734" s="292" t="str">
        <f>'7.15'!B712</f>
        <v>12幢1单元1404室</v>
      </c>
      <c r="B734" s="207">
        <f>'7.17'!G712</f>
        <v>136.94999999999999</v>
      </c>
      <c r="C734" s="197">
        <f t="shared" si="179"/>
        <v>0.98</v>
      </c>
      <c r="D734" s="995" t="s">
        <v>7609</v>
      </c>
      <c r="E734" s="197">
        <f t="shared" si="180"/>
        <v>1.04</v>
      </c>
      <c r="F734" s="995" t="str">
        <f>'7.15'!D712</f>
        <v>跃层</v>
      </c>
      <c r="G734" s="197">
        <f t="shared" si="181"/>
        <v>1.02</v>
      </c>
      <c r="H734" s="995" t="str">
        <f>'7.15'!E712</f>
        <v>南北</v>
      </c>
      <c r="I734" s="197">
        <f t="shared" si="182"/>
        <v>1</v>
      </c>
      <c r="J734" s="995"/>
      <c r="K734" s="197">
        <f t="shared" si="183"/>
        <v>1</v>
      </c>
      <c r="L734" s="995"/>
      <c r="M734" s="197">
        <f t="shared" si="184"/>
        <v>1</v>
      </c>
      <c r="N734" s="995"/>
      <c r="O734" s="197">
        <f t="shared" si="185"/>
        <v>1</v>
      </c>
      <c r="P734" s="995"/>
      <c r="Q734" s="197">
        <f t="shared" si="186"/>
        <v>1</v>
      </c>
      <c r="R734" s="991">
        <f t="shared" ca="1" si="187"/>
        <v>16563</v>
      </c>
      <c r="S734" s="552">
        <f t="shared" ca="1" si="188"/>
        <v>2268303</v>
      </c>
      <c r="T734" s="2010">
        <f t="shared" ca="1" si="189"/>
        <v>227</v>
      </c>
      <c r="U734" s="2305">
        <f t="shared" si="190"/>
        <v>0</v>
      </c>
      <c r="V734" s="2305">
        <f t="shared" si="191"/>
        <v>0</v>
      </c>
      <c r="W734" s="2300"/>
      <c r="X734" s="2305">
        <f t="shared" si="192"/>
        <v>0</v>
      </c>
      <c r="Y734" s="2305">
        <f t="shared" si="193"/>
        <v>0</v>
      </c>
      <c r="Z734" s="2300"/>
    </row>
    <row r="735" spans="1:26">
      <c r="A735" s="292" t="str">
        <f>'7.15'!B713</f>
        <v>12幢1单元1604室</v>
      </c>
      <c r="B735" s="207">
        <f>'7.17'!G713</f>
        <v>136.94999999999999</v>
      </c>
      <c r="C735" s="197">
        <f t="shared" si="179"/>
        <v>0.98</v>
      </c>
      <c r="D735" s="995" t="s">
        <v>7609</v>
      </c>
      <c r="E735" s="197">
        <f t="shared" si="180"/>
        <v>1.04</v>
      </c>
      <c r="F735" s="995" t="str">
        <f>'7.15'!D713</f>
        <v>跃层</v>
      </c>
      <c r="G735" s="197">
        <f t="shared" si="181"/>
        <v>1.02</v>
      </c>
      <c r="H735" s="995" t="str">
        <f>'7.15'!E713</f>
        <v>南北</v>
      </c>
      <c r="I735" s="197">
        <f t="shared" si="182"/>
        <v>1</v>
      </c>
      <c r="J735" s="995"/>
      <c r="K735" s="197">
        <f t="shared" si="183"/>
        <v>1</v>
      </c>
      <c r="L735" s="995"/>
      <c r="M735" s="197">
        <f t="shared" si="184"/>
        <v>1</v>
      </c>
      <c r="N735" s="995"/>
      <c r="O735" s="197">
        <f t="shared" si="185"/>
        <v>1</v>
      </c>
      <c r="P735" s="995"/>
      <c r="Q735" s="197">
        <f t="shared" si="186"/>
        <v>1</v>
      </c>
      <c r="R735" s="991">
        <f t="shared" ca="1" si="187"/>
        <v>16563</v>
      </c>
      <c r="S735" s="552">
        <f t="shared" ca="1" si="188"/>
        <v>2268303</v>
      </c>
      <c r="T735" s="2010">
        <f t="shared" ca="1" si="189"/>
        <v>227</v>
      </c>
      <c r="U735" s="2305">
        <f t="shared" si="190"/>
        <v>0</v>
      </c>
      <c r="V735" s="2305">
        <f t="shared" si="191"/>
        <v>0</v>
      </c>
      <c r="W735" s="2300"/>
      <c r="X735" s="2305">
        <f t="shared" si="192"/>
        <v>0</v>
      </c>
      <c r="Y735" s="2305">
        <f t="shared" si="193"/>
        <v>0</v>
      </c>
      <c r="Z735" s="2300"/>
    </row>
    <row r="736" spans="1:26">
      <c r="A736" s="292" t="str">
        <f>'7.15'!B714</f>
        <v>12幢1单元1804室</v>
      </c>
      <c r="B736" s="207">
        <f>'7.17'!G714</f>
        <v>136.94999999999999</v>
      </c>
      <c r="C736" s="197">
        <f t="shared" si="179"/>
        <v>0.98</v>
      </c>
      <c r="D736" s="995" t="s">
        <v>7609</v>
      </c>
      <c r="E736" s="197">
        <f t="shared" si="180"/>
        <v>1.04</v>
      </c>
      <c r="F736" s="995" t="str">
        <f>'7.15'!D714</f>
        <v>跃层</v>
      </c>
      <c r="G736" s="197">
        <f t="shared" si="181"/>
        <v>1.02</v>
      </c>
      <c r="H736" s="995" t="str">
        <f>'7.15'!E714</f>
        <v>南北</v>
      </c>
      <c r="I736" s="197">
        <f t="shared" si="182"/>
        <v>1</v>
      </c>
      <c r="J736" s="995"/>
      <c r="K736" s="197">
        <f t="shared" si="183"/>
        <v>1</v>
      </c>
      <c r="L736" s="995"/>
      <c r="M736" s="197">
        <f t="shared" si="184"/>
        <v>1</v>
      </c>
      <c r="N736" s="995"/>
      <c r="O736" s="197">
        <f t="shared" si="185"/>
        <v>1</v>
      </c>
      <c r="P736" s="995"/>
      <c r="Q736" s="197">
        <f t="shared" si="186"/>
        <v>1</v>
      </c>
      <c r="R736" s="991">
        <f t="shared" ca="1" si="187"/>
        <v>16563</v>
      </c>
      <c r="S736" s="552">
        <f t="shared" ca="1" si="188"/>
        <v>2268303</v>
      </c>
      <c r="T736" s="2010">
        <f t="shared" ca="1" si="189"/>
        <v>227</v>
      </c>
      <c r="U736" s="2305">
        <f t="shared" si="190"/>
        <v>0</v>
      </c>
      <c r="V736" s="2305">
        <f t="shared" si="191"/>
        <v>0</v>
      </c>
      <c r="W736" s="2300"/>
      <c r="X736" s="2305">
        <f t="shared" si="192"/>
        <v>0</v>
      </c>
      <c r="Y736" s="2305">
        <f t="shared" si="193"/>
        <v>0</v>
      </c>
      <c r="Z736" s="2300"/>
    </row>
    <row r="737" spans="1:26">
      <c r="A737" s="292" t="str">
        <f>'7.15'!B715</f>
        <v>12幢1单元2004室</v>
      </c>
      <c r="B737" s="207">
        <f>'7.17'!G715</f>
        <v>136.94999999999999</v>
      </c>
      <c r="C737" s="197">
        <f t="shared" si="179"/>
        <v>0.98</v>
      </c>
      <c r="D737" s="995" t="s">
        <v>7609</v>
      </c>
      <c r="E737" s="197">
        <f t="shared" si="180"/>
        <v>1.04</v>
      </c>
      <c r="F737" s="995" t="str">
        <f>'7.15'!D715</f>
        <v>跃层</v>
      </c>
      <c r="G737" s="197">
        <f t="shared" si="181"/>
        <v>1.02</v>
      </c>
      <c r="H737" s="995" t="str">
        <f>'7.15'!E715</f>
        <v>南北</v>
      </c>
      <c r="I737" s="197">
        <f t="shared" si="182"/>
        <v>1</v>
      </c>
      <c r="J737" s="995"/>
      <c r="K737" s="197">
        <f t="shared" si="183"/>
        <v>1</v>
      </c>
      <c r="L737" s="995"/>
      <c r="M737" s="197">
        <f t="shared" si="184"/>
        <v>1</v>
      </c>
      <c r="N737" s="995"/>
      <c r="O737" s="197">
        <f t="shared" si="185"/>
        <v>1</v>
      </c>
      <c r="P737" s="995"/>
      <c r="Q737" s="197">
        <f t="shared" si="186"/>
        <v>1</v>
      </c>
      <c r="R737" s="991">
        <f t="shared" ca="1" si="187"/>
        <v>16563</v>
      </c>
      <c r="S737" s="552">
        <f t="shared" ca="1" si="188"/>
        <v>2268303</v>
      </c>
      <c r="T737" s="2010">
        <f t="shared" ca="1" si="189"/>
        <v>227</v>
      </c>
      <c r="U737" s="2305">
        <f t="shared" si="190"/>
        <v>0</v>
      </c>
      <c r="V737" s="2305">
        <f t="shared" si="191"/>
        <v>0</v>
      </c>
      <c r="W737" s="2300"/>
      <c r="X737" s="2305">
        <f t="shared" si="192"/>
        <v>0</v>
      </c>
      <c r="Y737" s="2305">
        <f t="shared" si="193"/>
        <v>0</v>
      </c>
      <c r="Z737" s="2300"/>
    </row>
    <row r="738" spans="1:26">
      <c r="A738" s="292" t="str">
        <f>'7.15'!B716</f>
        <v>12幢1单元2204室</v>
      </c>
      <c r="B738" s="207">
        <f>'7.17'!G716</f>
        <v>136.94999999999999</v>
      </c>
      <c r="C738" s="197">
        <f t="shared" si="179"/>
        <v>0.98</v>
      </c>
      <c r="D738" s="995" t="s">
        <v>7608</v>
      </c>
      <c r="E738" s="197">
        <f t="shared" si="180"/>
        <v>1.02</v>
      </c>
      <c r="F738" s="995" t="str">
        <f>'7.15'!D716</f>
        <v>跃层</v>
      </c>
      <c r="G738" s="197">
        <f t="shared" si="181"/>
        <v>1.02</v>
      </c>
      <c r="H738" s="995" t="str">
        <f>'7.15'!E716</f>
        <v>南北</v>
      </c>
      <c r="I738" s="197">
        <f t="shared" si="182"/>
        <v>1</v>
      </c>
      <c r="J738" s="995"/>
      <c r="K738" s="197">
        <f t="shared" si="183"/>
        <v>1</v>
      </c>
      <c r="L738" s="995"/>
      <c r="M738" s="197">
        <f t="shared" si="184"/>
        <v>1</v>
      </c>
      <c r="N738" s="995"/>
      <c r="O738" s="197">
        <f t="shared" si="185"/>
        <v>1</v>
      </c>
      <c r="P738" s="995"/>
      <c r="Q738" s="197">
        <f t="shared" si="186"/>
        <v>1</v>
      </c>
      <c r="R738" s="991">
        <f t="shared" ca="1" si="187"/>
        <v>16244</v>
      </c>
      <c r="S738" s="552">
        <f t="shared" ca="1" si="188"/>
        <v>2224616</v>
      </c>
      <c r="T738" s="2010">
        <f t="shared" ca="1" si="189"/>
        <v>222</v>
      </c>
      <c r="U738" s="2305">
        <f t="shared" si="190"/>
        <v>0</v>
      </c>
      <c r="V738" s="2305">
        <f t="shared" si="191"/>
        <v>0</v>
      </c>
      <c r="W738" s="2300"/>
      <c r="X738" s="2305">
        <f t="shared" si="192"/>
        <v>0</v>
      </c>
      <c r="Y738" s="2305">
        <f t="shared" si="193"/>
        <v>0</v>
      </c>
      <c r="Z738" s="2300"/>
    </row>
    <row r="739" spans="1:26">
      <c r="A739" s="292" t="str">
        <f>'7.15'!B717</f>
        <v>12幢1单元2404室</v>
      </c>
      <c r="B739" s="207">
        <f>'7.17'!G717</f>
        <v>136.94999999999999</v>
      </c>
      <c r="C739" s="197">
        <f t="shared" si="179"/>
        <v>0.98</v>
      </c>
      <c r="D739" s="995" t="s">
        <v>7608</v>
      </c>
      <c r="E739" s="197">
        <f t="shared" si="180"/>
        <v>1.02</v>
      </c>
      <c r="F739" s="995" t="str">
        <f>'7.15'!D717</f>
        <v>跃层</v>
      </c>
      <c r="G739" s="197">
        <f t="shared" si="181"/>
        <v>1.02</v>
      </c>
      <c r="H739" s="995" t="str">
        <f>'7.15'!E717</f>
        <v>南北</v>
      </c>
      <c r="I739" s="197">
        <f t="shared" si="182"/>
        <v>1</v>
      </c>
      <c r="J739" s="995"/>
      <c r="K739" s="197">
        <f t="shared" si="183"/>
        <v>1</v>
      </c>
      <c r="L739" s="995"/>
      <c r="M739" s="197">
        <f t="shared" si="184"/>
        <v>1</v>
      </c>
      <c r="N739" s="995"/>
      <c r="O739" s="197">
        <f t="shared" si="185"/>
        <v>1</v>
      </c>
      <c r="P739" s="995"/>
      <c r="Q739" s="197">
        <f t="shared" si="186"/>
        <v>1</v>
      </c>
      <c r="R739" s="991">
        <f t="shared" ca="1" si="187"/>
        <v>16244</v>
      </c>
      <c r="S739" s="552">
        <f t="shared" ca="1" si="188"/>
        <v>2224616</v>
      </c>
      <c r="T739" s="2010">
        <f t="shared" ca="1" si="189"/>
        <v>222</v>
      </c>
      <c r="U739" s="2305">
        <f t="shared" si="190"/>
        <v>0</v>
      </c>
      <c r="V739" s="2305">
        <f t="shared" si="191"/>
        <v>0</v>
      </c>
      <c r="W739" s="2300"/>
      <c r="X739" s="2305">
        <f t="shared" si="192"/>
        <v>0</v>
      </c>
      <c r="Y739" s="2305">
        <f t="shared" si="193"/>
        <v>0</v>
      </c>
      <c r="Z739" s="2300"/>
    </row>
    <row r="740" spans="1:26">
      <c r="A740" s="292" t="str">
        <f>'7.15'!B718</f>
        <v>12幢1单元2604室</v>
      </c>
      <c r="B740" s="207">
        <f>'7.17'!G718</f>
        <v>136.94999999999999</v>
      </c>
      <c r="C740" s="197">
        <f t="shared" si="179"/>
        <v>0.98</v>
      </c>
      <c r="D740" s="995" t="s">
        <v>7608</v>
      </c>
      <c r="E740" s="197">
        <f t="shared" si="180"/>
        <v>1.02</v>
      </c>
      <c r="F740" s="995" t="str">
        <f>'7.15'!D718</f>
        <v>跃层</v>
      </c>
      <c r="G740" s="197">
        <f t="shared" si="181"/>
        <v>1.02</v>
      </c>
      <c r="H740" s="995" t="str">
        <f>'7.15'!E718</f>
        <v>南北</v>
      </c>
      <c r="I740" s="197">
        <f t="shared" si="182"/>
        <v>1</v>
      </c>
      <c r="J740" s="995"/>
      <c r="K740" s="197">
        <f t="shared" si="183"/>
        <v>1</v>
      </c>
      <c r="L740" s="995"/>
      <c r="M740" s="197">
        <f t="shared" si="184"/>
        <v>1</v>
      </c>
      <c r="N740" s="995"/>
      <c r="O740" s="197">
        <f t="shared" si="185"/>
        <v>1</v>
      </c>
      <c r="P740" s="995"/>
      <c r="Q740" s="197">
        <f t="shared" si="186"/>
        <v>1</v>
      </c>
      <c r="R740" s="991">
        <f t="shared" ca="1" si="187"/>
        <v>16244</v>
      </c>
      <c r="S740" s="552">
        <f t="shared" ca="1" si="188"/>
        <v>2224616</v>
      </c>
      <c r="T740" s="2010">
        <f t="shared" ca="1" si="189"/>
        <v>222</v>
      </c>
      <c r="U740" s="2305">
        <f t="shared" si="190"/>
        <v>0</v>
      </c>
      <c r="V740" s="2305">
        <f t="shared" si="191"/>
        <v>0</v>
      </c>
      <c r="W740" s="2300"/>
      <c r="X740" s="2305">
        <f t="shared" si="192"/>
        <v>0</v>
      </c>
      <c r="Y740" s="2305">
        <f t="shared" si="193"/>
        <v>0</v>
      </c>
      <c r="Z740" s="2300"/>
    </row>
    <row r="741" spans="1:26">
      <c r="A741" s="292" t="str">
        <f>'7.15'!B719</f>
        <v>12幢1单元2804室</v>
      </c>
      <c r="B741" s="207">
        <f>'7.17'!G719</f>
        <v>136.94999999999999</v>
      </c>
      <c r="C741" s="197">
        <f t="shared" si="179"/>
        <v>0.98</v>
      </c>
      <c r="D741" s="995" t="s">
        <v>7608</v>
      </c>
      <c r="E741" s="197">
        <f t="shared" si="180"/>
        <v>1.02</v>
      </c>
      <c r="F741" s="995" t="str">
        <f>'7.15'!D719</f>
        <v>跃层</v>
      </c>
      <c r="G741" s="197">
        <f t="shared" si="181"/>
        <v>1.02</v>
      </c>
      <c r="H741" s="995" t="str">
        <f>'7.15'!E719</f>
        <v>南北</v>
      </c>
      <c r="I741" s="197">
        <f t="shared" si="182"/>
        <v>1</v>
      </c>
      <c r="J741" s="995"/>
      <c r="K741" s="197">
        <f t="shared" si="183"/>
        <v>1</v>
      </c>
      <c r="L741" s="995"/>
      <c r="M741" s="197">
        <f t="shared" si="184"/>
        <v>1</v>
      </c>
      <c r="N741" s="995"/>
      <c r="O741" s="197">
        <f t="shared" si="185"/>
        <v>1</v>
      </c>
      <c r="P741" s="995"/>
      <c r="Q741" s="197">
        <f t="shared" si="186"/>
        <v>1</v>
      </c>
      <c r="R741" s="991">
        <f t="shared" ca="1" si="187"/>
        <v>16244</v>
      </c>
      <c r="S741" s="552">
        <f t="shared" ca="1" si="188"/>
        <v>2224616</v>
      </c>
      <c r="T741" s="2010">
        <f t="shared" ca="1" si="189"/>
        <v>222</v>
      </c>
      <c r="U741" s="2305">
        <f t="shared" si="190"/>
        <v>0</v>
      </c>
      <c r="V741" s="2305">
        <f t="shared" si="191"/>
        <v>0</v>
      </c>
      <c r="W741" s="2300"/>
      <c r="X741" s="2305">
        <f t="shared" si="192"/>
        <v>0</v>
      </c>
      <c r="Y741" s="2305">
        <f t="shared" si="193"/>
        <v>0</v>
      </c>
      <c r="Z741" s="2300"/>
    </row>
    <row r="742" spans="1:26">
      <c r="A742" s="292" t="str">
        <f>'7.15'!B720</f>
        <v>12幢1单元3004室</v>
      </c>
      <c r="B742" s="207">
        <f>'7.17'!G720</f>
        <v>68.84</v>
      </c>
      <c r="C742" s="197">
        <f t="shared" si="179"/>
        <v>0.99</v>
      </c>
      <c r="D742" s="995" t="s">
        <v>7608</v>
      </c>
      <c r="E742" s="197">
        <f t="shared" si="180"/>
        <v>1.02</v>
      </c>
      <c r="F742" s="995" t="str">
        <f>'7.15'!D720</f>
        <v>平层</v>
      </c>
      <c r="G742" s="197">
        <f t="shared" si="181"/>
        <v>1</v>
      </c>
      <c r="H742" s="995" t="str">
        <f>'7.15'!E720</f>
        <v>南北</v>
      </c>
      <c r="I742" s="197">
        <f t="shared" si="182"/>
        <v>1</v>
      </c>
      <c r="J742" s="995"/>
      <c r="K742" s="197">
        <f t="shared" si="183"/>
        <v>1</v>
      </c>
      <c r="L742" s="995"/>
      <c r="M742" s="197">
        <f t="shared" si="184"/>
        <v>1</v>
      </c>
      <c r="N742" s="995"/>
      <c r="O742" s="197">
        <f t="shared" si="185"/>
        <v>1</v>
      </c>
      <c r="P742" s="995"/>
      <c r="Q742" s="197">
        <f t="shared" si="186"/>
        <v>1</v>
      </c>
      <c r="R742" s="991">
        <f t="shared" ca="1" si="187"/>
        <v>16088</v>
      </c>
      <c r="S742" s="552">
        <f t="shared" ca="1" si="188"/>
        <v>1107498</v>
      </c>
      <c r="T742" s="2010">
        <f t="shared" ca="1" si="189"/>
        <v>111</v>
      </c>
      <c r="U742" s="2305">
        <f t="shared" si="190"/>
        <v>0</v>
      </c>
      <c r="V742" s="2305">
        <f t="shared" si="191"/>
        <v>0</v>
      </c>
      <c r="W742" s="2300"/>
      <c r="X742" s="2305">
        <f t="shared" si="192"/>
        <v>0</v>
      </c>
      <c r="Y742" s="2305">
        <f t="shared" si="193"/>
        <v>0</v>
      </c>
      <c r="Z742" s="2300"/>
    </row>
    <row r="743" spans="1:26">
      <c r="A743" s="292" t="str">
        <f>'7.15'!B721</f>
        <v>12幢2单元201室</v>
      </c>
      <c r="B743" s="207">
        <f>'7.17'!G721</f>
        <v>136.94999999999999</v>
      </c>
      <c r="C743" s="197">
        <f t="shared" si="179"/>
        <v>0.98</v>
      </c>
      <c r="D743" s="995" t="s">
        <v>7606</v>
      </c>
      <c r="E743" s="197">
        <f t="shared" si="180"/>
        <v>1</v>
      </c>
      <c r="F743" s="995" t="str">
        <f>'7.15'!D721</f>
        <v>跃层</v>
      </c>
      <c r="G743" s="197">
        <f t="shared" si="181"/>
        <v>1.02</v>
      </c>
      <c r="H743" s="995" t="str">
        <f>'7.15'!E721</f>
        <v>南北</v>
      </c>
      <c r="I743" s="197">
        <f t="shared" si="182"/>
        <v>1</v>
      </c>
      <c r="J743" s="995"/>
      <c r="K743" s="197">
        <f t="shared" si="183"/>
        <v>1</v>
      </c>
      <c r="L743" s="995"/>
      <c r="M743" s="197">
        <f t="shared" si="184"/>
        <v>1</v>
      </c>
      <c r="N743" s="995"/>
      <c r="O743" s="197">
        <f t="shared" si="185"/>
        <v>1</v>
      </c>
      <c r="P743" s="995"/>
      <c r="Q743" s="197">
        <f t="shared" si="186"/>
        <v>1</v>
      </c>
      <c r="R743" s="991">
        <f t="shared" ca="1" si="187"/>
        <v>15926</v>
      </c>
      <c r="S743" s="552">
        <f t="shared" ca="1" si="188"/>
        <v>2181066</v>
      </c>
      <c r="T743" s="2010">
        <f t="shared" ca="1" si="189"/>
        <v>218</v>
      </c>
      <c r="U743" s="2305">
        <f t="shared" si="190"/>
        <v>0</v>
      </c>
      <c r="V743" s="2305">
        <f t="shared" si="191"/>
        <v>0</v>
      </c>
      <c r="W743" s="2300"/>
      <c r="X743" s="2305">
        <f t="shared" si="192"/>
        <v>0</v>
      </c>
      <c r="Y743" s="2305">
        <f t="shared" si="193"/>
        <v>0</v>
      </c>
      <c r="Z743" s="2300"/>
    </row>
    <row r="744" spans="1:26">
      <c r="A744" s="292" t="str">
        <f>'7.15'!B722</f>
        <v>12幢2单元401室</v>
      </c>
      <c r="B744" s="207">
        <f>'7.17'!G722</f>
        <v>136.94999999999999</v>
      </c>
      <c r="C744" s="197">
        <f t="shared" si="179"/>
        <v>0.98</v>
      </c>
      <c r="D744" s="995" t="s">
        <v>7606</v>
      </c>
      <c r="E744" s="197">
        <f t="shared" si="180"/>
        <v>1</v>
      </c>
      <c r="F744" s="995" t="str">
        <f>'7.15'!D722</f>
        <v>跃层</v>
      </c>
      <c r="G744" s="197">
        <f t="shared" si="181"/>
        <v>1.02</v>
      </c>
      <c r="H744" s="995" t="str">
        <f>'7.15'!E722</f>
        <v>南北</v>
      </c>
      <c r="I744" s="197">
        <f t="shared" si="182"/>
        <v>1</v>
      </c>
      <c r="J744" s="995"/>
      <c r="K744" s="197">
        <f t="shared" si="183"/>
        <v>1</v>
      </c>
      <c r="L744" s="995"/>
      <c r="M744" s="197">
        <f t="shared" si="184"/>
        <v>1</v>
      </c>
      <c r="N744" s="995"/>
      <c r="O744" s="197">
        <f t="shared" si="185"/>
        <v>1</v>
      </c>
      <c r="P744" s="995"/>
      <c r="Q744" s="197">
        <f t="shared" si="186"/>
        <v>1</v>
      </c>
      <c r="R744" s="991">
        <f t="shared" ca="1" si="187"/>
        <v>15926</v>
      </c>
      <c r="S744" s="552">
        <f t="shared" ca="1" si="188"/>
        <v>2181066</v>
      </c>
      <c r="T744" s="2010">
        <f t="shared" ca="1" si="189"/>
        <v>218</v>
      </c>
      <c r="U744" s="2305">
        <f t="shared" si="190"/>
        <v>0</v>
      </c>
      <c r="V744" s="2305">
        <f t="shared" si="191"/>
        <v>0</v>
      </c>
      <c r="W744" s="2300"/>
      <c r="X744" s="2305">
        <f t="shared" si="192"/>
        <v>0</v>
      </c>
      <c r="Y744" s="2305">
        <f t="shared" si="193"/>
        <v>0</v>
      </c>
      <c r="Z744" s="2300"/>
    </row>
    <row r="745" spans="1:26">
      <c r="A745" s="292" t="str">
        <f>'7.15'!B723</f>
        <v>12幢2单元601室</v>
      </c>
      <c r="B745" s="207">
        <f>'7.17'!G723</f>
        <v>136.94999999999999</v>
      </c>
      <c r="C745" s="197">
        <f t="shared" si="179"/>
        <v>0.98</v>
      </c>
      <c r="D745" s="995" t="s">
        <v>7606</v>
      </c>
      <c r="E745" s="197">
        <f t="shared" si="180"/>
        <v>1</v>
      </c>
      <c r="F745" s="995" t="str">
        <f>'7.15'!D723</f>
        <v>跃层</v>
      </c>
      <c r="G745" s="197">
        <f t="shared" si="181"/>
        <v>1.02</v>
      </c>
      <c r="H745" s="995" t="str">
        <f>'7.15'!E723</f>
        <v>南北</v>
      </c>
      <c r="I745" s="197">
        <f t="shared" si="182"/>
        <v>1</v>
      </c>
      <c r="J745" s="995"/>
      <c r="K745" s="197">
        <f t="shared" si="183"/>
        <v>1</v>
      </c>
      <c r="L745" s="995"/>
      <c r="M745" s="197">
        <f t="shared" si="184"/>
        <v>1</v>
      </c>
      <c r="N745" s="995"/>
      <c r="O745" s="197">
        <f t="shared" si="185"/>
        <v>1</v>
      </c>
      <c r="P745" s="995"/>
      <c r="Q745" s="197">
        <f t="shared" si="186"/>
        <v>1</v>
      </c>
      <c r="R745" s="991">
        <f t="shared" ca="1" si="187"/>
        <v>15926</v>
      </c>
      <c r="S745" s="552">
        <f t="shared" ca="1" si="188"/>
        <v>2181066</v>
      </c>
      <c r="T745" s="2010">
        <f t="shared" ca="1" si="189"/>
        <v>218</v>
      </c>
      <c r="U745" s="2305">
        <f t="shared" si="190"/>
        <v>0</v>
      </c>
      <c r="V745" s="2305">
        <f t="shared" si="191"/>
        <v>0</v>
      </c>
      <c r="W745" s="2300"/>
      <c r="X745" s="2305">
        <f t="shared" si="192"/>
        <v>0</v>
      </c>
      <c r="Y745" s="2305">
        <f t="shared" si="193"/>
        <v>0</v>
      </c>
      <c r="Z745" s="2300"/>
    </row>
    <row r="746" spans="1:26">
      <c r="A746" s="292" t="str">
        <f>'7.15'!B724</f>
        <v>12幢2单元801室</v>
      </c>
      <c r="B746" s="207">
        <f>'7.17'!G724</f>
        <v>136.94999999999999</v>
      </c>
      <c r="C746" s="197">
        <f t="shared" si="179"/>
        <v>0.98</v>
      </c>
      <c r="D746" s="995" t="s">
        <v>7606</v>
      </c>
      <c r="E746" s="197">
        <f t="shared" si="180"/>
        <v>1</v>
      </c>
      <c r="F746" s="995" t="str">
        <f>'7.15'!D724</f>
        <v>跃层</v>
      </c>
      <c r="G746" s="197">
        <f t="shared" si="181"/>
        <v>1.02</v>
      </c>
      <c r="H746" s="995" t="str">
        <f>'7.15'!E724</f>
        <v>南北</v>
      </c>
      <c r="I746" s="197">
        <f t="shared" si="182"/>
        <v>1</v>
      </c>
      <c r="J746" s="995"/>
      <c r="K746" s="197">
        <f t="shared" si="183"/>
        <v>1</v>
      </c>
      <c r="L746" s="995"/>
      <c r="M746" s="197">
        <f t="shared" si="184"/>
        <v>1</v>
      </c>
      <c r="N746" s="995"/>
      <c r="O746" s="197">
        <f t="shared" si="185"/>
        <v>1</v>
      </c>
      <c r="P746" s="995"/>
      <c r="Q746" s="197">
        <f t="shared" si="186"/>
        <v>1</v>
      </c>
      <c r="R746" s="991">
        <f t="shared" ca="1" si="187"/>
        <v>15926</v>
      </c>
      <c r="S746" s="552">
        <f t="shared" ca="1" si="188"/>
        <v>2181066</v>
      </c>
      <c r="T746" s="2010">
        <f t="shared" ca="1" si="189"/>
        <v>218</v>
      </c>
      <c r="U746" s="2305">
        <f t="shared" si="190"/>
        <v>0</v>
      </c>
      <c r="V746" s="2305">
        <f t="shared" si="191"/>
        <v>0</v>
      </c>
      <c r="W746" s="2300"/>
      <c r="X746" s="2305">
        <f t="shared" si="192"/>
        <v>0</v>
      </c>
      <c r="Y746" s="2305">
        <f t="shared" si="193"/>
        <v>0</v>
      </c>
      <c r="Z746" s="2300"/>
    </row>
    <row r="747" spans="1:26">
      <c r="A747" s="292" t="str">
        <f>'7.15'!B725</f>
        <v>12幢2单元1001室</v>
      </c>
      <c r="B747" s="207">
        <f>'7.17'!G725</f>
        <v>136.94999999999999</v>
      </c>
      <c r="C747" s="197">
        <f t="shared" si="179"/>
        <v>0.98</v>
      </c>
      <c r="D747" s="995" t="s">
        <v>7606</v>
      </c>
      <c r="E747" s="197">
        <f t="shared" si="180"/>
        <v>1</v>
      </c>
      <c r="F747" s="995" t="str">
        <f>'7.15'!D725</f>
        <v>跃层</v>
      </c>
      <c r="G747" s="197">
        <f t="shared" si="181"/>
        <v>1.02</v>
      </c>
      <c r="H747" s="995" t="str">
        <f>'7.15'!E725</f>
        <v>南北</v>
      </c>
      <c r="I747" s="197">
        <f t="shared" si="182"/>
        <v>1</v>
      </c>
      <c r="J747" s="995"/>
      <c r="K747" s="197">
        <f t="shared" si="183"/>
        <v>1</v>
      </c>
      <c r="L747" s="995"/>
      <c r="M747" s="197">
        <f t="shared" si="184"/>
        <v>1</v>
      </c>
      <c r="N747" s="995"/>
      <c r="O747" s="197">
        <f t="shared" si="185"/>
        <v>1</v>
      </c>
      <c r="P747" s="995"/>
      <c r="Q747" s="197">
        <f t="shared" si="186"/>
        <v>1</v>
      </c>
      <c r="R747" s="991">
        <f t="shared" ca="1" si="187"/>
        <v>15926</v>
      </c>
      <c r="S747" s="552">
        <f t="shared" ca="1" si="188"/>
        <v>2181066</v>
      </c>
      <c r="T747" s="2010">
        <f t="shared" ca="1" si="189"/>
        <v>218</v>
      </c>
      <c r="U747" s="2305">
        <f t="shared" si="190"/>
        <v>0</v>
      </c>
      <c r="V747" s="2305">
        <f t="shared" si="191"/>
        <v>0</v>
      </c>
      <c r="W747" s="2300"/>
      <c r="X747" s="2305">
        <f t="shared" si="192"/>
        <v>0</v>
      </c>
      <c r="Y747" s="2305">
        <f t="shared" si="193"/>
        <v>0</v>
      </c>
      <c r="Z747" s="2300"/>
    </row>
    <row r="748" spans="1:26">
      <c r="A748" s="292" t="str">
        <f>'7.15'!B726</f>
        <v>12幢2单元1201室</v>
      </c>
      <c r="B748" s="207">
        <f>'7.17'!G726</f>
        <v>136.94999999999999</v>
      </c>
      <c r="C748" s="197">
        <f t="shared" si="179"/>
        <v>0.98</v>
      </c>
      <c r="D748" s="995" t="s">
        <v>7609</v>
      </c>
      <c r="E748" s="197">
        <f t="shared" si="180"/>
        <v>1.04</v>
      </c>
      <c r="F748" s="995" t="str">
        <f>'7.15'!D726</f>
        <v>跃层</v>
      </c>
      <c r="G748" s="197">
        <f t="shared" si="181"/>
        <v>1.02</v>
      </c>
      <c r="H748" s="995" t="str">
        <f>'7.15'!E726</f>
        <v>南北</v>
      </c>
      <c r="I748" s="197">
        <f t="shared" si="182"/>
        <v>1</v>
      </c>
      <c r="J748" s="995"/>
      <c r="K748" s="197">
        <f t="shared" si="183"/>
        <v>1</v>
      </c>
      <c r="L748" s="995"/>
      <c r="M748" s="197">
        <f t="shared" si="184"/>
        <v>1</v>
      </c>
      <c r="N748" s="995"/>
      <c r="O748" s="197">
        <f t="shared" si="185"/>
        <v>1</v>
      </c>
      <c r="P748" s="995"/>
      <c r="Q748" s="197">
        <f t="shared" si="186"/>
        <v>1</v>
      </c>
      <c r="R748" s="991">
        <f t="shared" ca="1" si="187"/>
        <v>16563</v>
      </c>
      <c r="S748" s="552">
        <f t="shared" ca="1" si="188"/>
        <v>2268303</v>
      </c>
      <c r="T748" s="2010">
        <f t="shared" ca="1" si="189"/>
        <v>227</v>
      </c>
      <c r="U748" s="2305">
        <f t="shared" si="190"/>
        <v>0</v>
      </c>
      <c r="V748" s="2305">
        <f t="shared" si="191"/>
        <v>0</v>
      </c>
      <c r="W748" s="2300"/>
      <c r="X748" s="2305">
        <f t="shared" si="192"/>
        <v>0</v>
      </c>
      <c r="Y748" s="2305">
        <f t="shared" si="193"/>
        <v>0</v>
      </c>
      <c r="Z748" s="2300"/>
    </row>
    <row r="749" spans="1:26">
      <c r="A749" s="292" t="str">
        <f>'7.15'!B727</f>
        <v>12幢2单元1401室</v>
      </c>
      <c r="B749" s="207">
        <f>'7.17'!G727</f>
        <v>136.94999999999999</v>
      </c>
      <c r="C749" s="197">
        <f t="shared" si="179"/>
        <v>0.98</v>
      </c>
      <c r="D749" s="995" t="s">
        <v>7609</v>
      </c>
      <c r="E749" s="197">
        <f t="shared" si="180"/>
        <v>1.04</v>
      </c>
      <c r="F749" s="995" t="str">
        <f>'7.15'!D727</f>
        <v>跃层</v>
      </c>
      <c r="G749" s="197">
        <f t="shared" si="181"/>
        <v>1.02</v>
      </c>
      <c r="H749" s="995" t="str">
        <f>'7.15'!E727</f>
        <v>南北</v>
      </c>
      <c r="I749" s="197">
        <f t="shared" si="182"/>
        <v>1</v>
      </c>
      <c r="J749" s="995"/>
      <c r="K749" s="197">
        <f t="shared" si="183"/>
        <v>1</v>
      </c>
      <c r="L749" s="995"/>
      <c r="M749" s="197">
        <f t="shared" si="184"/>
        <v>1</v>
      </c>
      <c r="N749" s="995"/>
      <c r="O749" s="197">
        <f t="shared" si="185"/>
        <v>1</v>
      </c>
      <c r="P749" s="995"/>
      <c r="Q749" s="197">
        <f t="shared" si="186"/>
        <v>1</v>
      </c>
      <c r="R749" s="991">
        <f t="shared" ca="1" si="187"/>
        <v>16563</v>
      </c>
      <c r="S749" s="552">
        <f t="shared" ca="1" si="188"/>
        <v>2268303</v>
      </c>
      <c r="T749" s="2010">
        <f t="shared" ca="1" si="189"/>
        <v>227</v>
      </c>
      <c r="U749" s="2305">
        <f t="shared" si="190"/>
        <v>0</v>
      </c>
      <c r="V749" s="2305">
        <f t="shared" si="191"/>
        <v>0</v>
      </c>
      <c r="W749" s="2300"/>
      <c r="X749" s="2305">
        <f t="shared" si="192"/>
        <v>0</v>
      </c>
      <c r="Y749" s="2305">
        <f t="shared" si="193"/>
        <v>0</v>
      </c>
      <c r="Z749" s="2300"/>
    </row>
    <row r="750" spans="1:26">
      <c r="A750" s="292" t="str">
        <f>'7.15'!B728</f>
        <v>12幢2单元1601室</v>
      </c>
      <c r="B750" s="207">
        <f>'7.17'!G728</f>
        <v>136.94999999999999</v>
      </c>
      <c r="C750" s="197">
        <f t="shared" si="179"/>
        <v>0.98</v>
      </c>
      <c r="D750" s="995" t="s">
        <v>7609</v>
      </c>
      <c r="E750" s="197">
        <f t="shared" si="180"/>
        <v>1.04</v>
      </c>
      <c r="F750" s="995" t="str">
        <f>'7.15'!D728</f>
        <v>跃层</v>
      </c>
      <c r="G750" s="197">
        <f t="shared" si="181"/>
        <v>1.02</v>
      </c>
      <c r="H750" s="995" t="str">
        <f>'7.15'!E728</f>
        <v>南北</v>
      </c>
      <c r="I750" s="197">
        <f t="shared" si="182"/>
        <v>1</v>
      </c>
      <c r="J750" s="995"/>
      <c r="K750" s="197">
        <f t="shared" si="183"/>
        <v>1</v>
      </c>
      <c r="L750" s="995"/>
      <c r="M750" s="197">
        <f t="shared" si="184"/>
        <v>1</v>
      </c>
      <c r="N750" s="995"/>
      <c r="O750" s="197">
        <f t="shared" si="185"/>
        <v>1</v>
      </c>
      <c r="P750" s="995"/>
      <c r="Q750" s="197">
        <f t="shared" si="186"/>
        <v>1</v>
      </c>
      <c r="R750" s="991">
        <f t="shared" ca="1" si="187"/>
        <v>16563</v>
      </c>
      <c r="S750" s="552">
        <f t="shared" ca="1" si="188"/>
        <v>2268303</v>
      </c>
      <c r="T750" s="2010">
        <f t="shared" ca="1" si="189"/>
        <v>227</v>
      </c>
      <c r="U750" s="2305">
        <f t="shared" si="190"/>
        <v>0</v>
      </c>
      <c r="V750" s="2305">
        <f t="shared" si="191"/>
        <v>0</v>
      </c>
      <c r="W750" s="2300"/>
      <c r="X750" s="2305">
        <f t="shared" si="192"/>
        <v>0</v>
      </c>
      <c r="Y750" s="2305">
        <f t="shared" si="193"/>
        <v>0</v>
      </c>
      <c r="Z750" s="2300"/>
    </row>
    <row r="751" spans="1:26">
      <c r="A751" s="292" t="str">
        <f>'7.15'!B729</f>
        <v>12幢2单元1801室</v>
      </c>
      <c r="B751" s="207">
        <f>'7.17'!G729</f>
        <v>136.94999999999999</v>
      </c>
      <c r="C751" s="197">
        <f t="shared" si="179"/>
        <v>0.98</v>
      </c>
      <c r="D751" s="995" t="s">
        <v>7609</v>
      </c>
      <c r="E751" s="197">
        <f t="shared" si="180"/>
        <v>1.04</v>
      </c>
      <c r="F751" s="995" t="str">
        <f>'7.15'!D729</f>
        <v>跃层</v>
      </c>
      <c r="G751" s="197">
        <f t="shared" si="181"/>
        <v>1.02</v>
      </c>
      <c r="H751" s="995" t="str">
        <f>'7.15'!E729</f>
        <v>南北</v>
      </c>
      <c r="I751" s="197">
        <f t="shared" si="182"/>
        <v>1</v>
      </c>
      <c r="J751" s="995"/>
      <c r="K751" s="197">
        <f t="shared" si="183"/>
        <v>1</v>
      </c>
      <c r="L751" s="995"/>
      <c r="M751" s="197">
        <f t="shared" si="184"/>
        <v>1</v>
      </c>
      <c r="N751" s="995"/>
      <c r="O751" s="197">
        <f t="shared" si="185"/>
        <v>1</v>
      </c>
      <c r="P751" s="995"/>
      <c r="Q751" s="197">
        <f t="shared" si="186"/>
        <v>1</v>
      </c>
      <c r="R751" s="991">
        <f t="shared" ca="1" si="187"/>
        <v>16563</v>
      </c>
      <c r="S751" s="552">
        <f t="shared" ca="1" si="188"/>
        <v>2268303</v>
      </c>
      <c r="T751" s="2010">
        <f t="shared" ca="1" si="189"/>
        <v>227</v>
      </c>
      <c r="U751" s="2305">
        <f t="shared" si="190"/>
        <v>0</v>
      </c>
      <c r="V751" s="2305">
        <f t="shared" si="191"/>
        <v>0</v>
      </c>
      <c r="W751" s="2300"/>
      <c r="X751" s="2305">
        <f t="shared" si="192"/>
        <v>0</v>
      </c>
      <c r="Y751" s="2305">
        <f t="shared" si="193"/>
        <v>0</v>
      </c>
      <c r="Z751" s="2300"/>
    </row>
    <row r="752" spans="1:26">
      <c r="A752" s="292" t="str">
        <f>'7.15'!B730</f>
        <v>12幢2单元2001室</v>
      </c>
      <c r="B752" s="207">
        <f>'7.17'!G730</f>
        <v>136.94999999999999</v>
      </c>
      <c r="C752" s="197">
        <f t="shared" si="179"/>
        <v>0.98</v>
      </c>
      <c r="D752" s="995" t="s">
        <v>7609</v>
      </c>
      <c r="E752" s="197">
        <f t="shared" si="180"/>
        <v>1.04</v>
      </c>
      <c r="F752" s="995" t="str">
        <f>'7.15'!D730</f>
        <v>跃层</v>
      </c>
      <c r="G752" s="197">
        <f t="shared" si="181"/>
        <v>1.02</v>
      </c>
      <c r="H752" s="995" t="str">
        <f>'7.15'!E730</f>
        <v>南北</v>
      </c>
      <c r="I752" s="197">
        <f t="shared" si="182"/>
        <v>1</v>
      </c>
      <c r="J752" s="995"/>
      <c r="K752" s="197">
        <f t="shared" si="183"/>
        <v>1</v>
      </c>
      <c r="L752" s="995"/>
      <c r="M752" s="197">
        <f t="shared" si="184"/>
        <v>1</v>
      </c>
      <c r="N752" s="995"/>
      <c r="O752" s="197">
        <f t="shared" si="185"/>
        <v>1</v>
      </c>
      <c r="P752" s="995"/>
      <c r="Q752" s="197">
        <f t="shared" si="186"/>
        <v>1</v>
      </c>
      <c r="R752" s="991">
        <f t="shared" ca="1" si="187"/>
        <v>16563</v>
      </c>
      <c r="S752" s="552">
        <f t="shared" ca="1" si="188"/>
        <v>2268303</v>
      </c>
      <c r="T752" s="2010">
        <f t="shared" ca="1" si="189"/>
        <v>227</v>
      </c>
      <c r="U752" s="2305">
        <f t="shared" si="190"/>
        <v>0</v>
      </c>
      <c r="V752" s="2305">
        <f t="shared" si="191"/>
        <v>0</v>
      </c>
      <c r="W752" s="2300"/>
      <c r="X752" s="2305">
        <f t="shared" si="192"/>
        <v>0</v>
      </c>
      <c r="Y752" s="2305">
        <f t="shared" si="193"/>
        <v>0</v>
      </c>
      <c r="Z752" s="2300"/>
    </row>
    <row r="753" spans="1:26">
      <c r="A753" s="292" t="str">
        <f>'7.15'!B731</f>
        <v>12幢2单元2201室</v>
      </c>
      <c r="B753" s="207">
        <f>'7.17'!G731</f>
        <v>136.94999999999999</v>
      </c>
      <c r="C753" s="197">
        <f t="shared" si="179"/>
        <v>0.98</v>
      </c>
      <c r="D753" s="995" t="s">
        <v>7608</v>
      </c>
      <c r="E753" s="197">
        <f t="shared" si="180"/>
        <v>1.02</v>
      </c>
      <c r="F753" s="995" t="str">
        <f>'7.15'!D731</f>
        <v>跃层</v>
      </c>
      <c r="G753" s="197">
        <f t="shared" si="181"/>
        <v>1.02</v>
      </c>
      <c r="H753" s="995" t="str">
        <f>'7.15'!E731</f>
        <v>南北</v>
      </c>
      <c r="I753" s="197">
        <f t="shared" si="182"/>
        <v>1</v>
      </c>
      <c r="J753" s="995"/>
      <c r="K753" s="197">
        <f t="shared" si="183"/>
        <v>1</v>
      </c>
      <c r="L753" s="995"/>
      <c r="M753" s="197">
        <f t="shared" si="184"/>
        <v>1</v>
      </c>
      <c r="N753" s="995"/>
      <c r="O753" s="197">
        <f t="shared" si="185"/>
        <v>1</v>
      </c>
      <c r="P753" s="995"/>
      <c r="Q753" s="197">
        <f t="shared" si="186"/>
        <v>1</v>
      </c>
      <c r="R753" s="991">
        <f t="shared" ca="1" si="187"/>
        <v>16244</v>
      </c>
      <c r="S753" s="552">
        <f t="shared" ca="1" si="188"/>
        <v>2224616</v>
      </c>
      <c r="T753" s="2010">
        <f t="shared" ca="1" si="189"/>
        <v>222</v>
      </c>
      <c r="U753" s="2305">
        <f t="shared" si="190"/>
        <v>0</v>
      </c>
      <c r="V753" s="2305">
        <f t="shared" si="191"/>
        <v>0</v>
      </c>
      <c r="W753" s="2300"/>
      <c r="X753" s="2305">
        <f t="shared" si="192"/>
        <v>0</v>
      </c>
      <c r="Y753" s="2305">
        <f t="shared" si="193"/>
        <v>0</v>
      </c>
      <c r="Z753" s="2300"/>
    </row>
    <row r="754" spans="1:26">
      <c r="A754" s="292" t="str">
        <f>'7.15'!B732</f>
        <v>12幢2单元2401室</v>
      </c>
      <c r="B754" s="207">
        <f>'7.17'!G732</f>
        <v>136.94999999999999</v>
      </c>
      <c r="C754" s="197">
        <f t="shared" si="179"/>
        <v>0.98</v>
      </c>
      <c r="D754" s="995" t="s">
        <v>7608</v>
      </c>
      <c r="E754" s="197">
        <f t="shared" si="180"/>
        <v>1.02</v>
      </c>
      <c r="F754" s="995" t="str">
        <f>'7.15'!D732</f>
        <v>跃层</v>
      </c>
      <c r="G754" s="197">
        <f t="shared" si="181"/>
        <v>1.02</v>
      </c>
      <c r="H754" s="995" t="str">
        <f>'7.15'!E732</f>
        <v>南北</v>
      </c>
      <c r="I754" s="197">
        <f t="shared" si="182"/>
        <v>1</v>
      </c>
      <c r="J754" s="995"/>
      <c r="K754" s="197">
        <f t="shared" si="183"/>
        <v>1</v>
      </c>
      <c r="L754" s="995"/>
      <c r="M754" s="197">
        <f t="shared" si="184"/>
        <v>1</v>
      </c>
      <c r="N754" s="995"/>
      <c r="O754" s="197">
        <f t="shared" si="185"/>
        <v>1</v>
      </c>
      <c r="P754" s="995"/>
      <c r="Q754" s="197">
        <f t="shared" si="186"/>
        <v>1</v>
      </c>
      <c r="R754" s="991">
        <f t="shared" ca="1" si="187"/>
        <v>16244</v>
      </c>
      <c r="S754" s="552">
        <f t="shared" ca="1" si="188"/>
        <v>2224616</v>
      </c>
      <c r="T754" s="2010">
        <f t="shared" ca="1" si="189"/>
        <v>222</v>
      </c>
      <c r="U754" s="2305">
        <f t="shared" si="190"/>
        <v>0</v>
      </c>
      <c r="V754" s="2305">
        <f t="shared" si="191"/>
        <v>0</v>
      </c>
      <c r="W754" s="2300"/>
      <c r="X754" s="2305">
        <f t="shared" si="192"/>
        <v>0</v>
      </c>
      <c r="Y754" s="2305">
        <f t="shared" si="193"/>
        <v>0</v>
      </c>
      <c r="Z754" s="2300"/>
    </row>
    <row r="755" spans="1:26">
      <c r="A755" s="292" t="str">
        <f>'7.15'!B733</f>
        <v>12幢2单元2601室</v>
      </c>
      <c r="B755" s="207">
        <f>'7.17'!G733</f>
        <v>136.94999999999999</v>
      </c>
      <c r="C755" s="197">
        <f t="shared" si="179"/>
        <v>0.98</v>
      </c>
      <c r="D755" s="995" t="s">
        <v>7608</v>
      </c>
      <c r="E755" s="197">
        <f t="shared" si="180"/>
        <v>1.02</v>
      </c>
      <c r="F755" s="995" t="str">
        <f>'7.15'!D733</f>
        <v>跃层</v>
      </c>
      <c r="G755" s="197">
        <f t="shared" si="181"/>
        <v>1.02</v>
      </c>
      <c r="H755" s="995" t="str">
        <f>'7.15'!E733</f>
        <v>南北</v>
      </c>
      <c r="I755" s="197">
        <f t="shared" si="182"/>
        <v>1</v>
      </c>
      <c r="J755" s="995"/>
      <c r="K755" s="197">
        <f t="shared" si="183"/>
        <v>1</v>
      </c>
      <c r="L755" s="995"/>
      <c r="M755" s="197">
        <f t="shared" si="184"/>
        <v>1</v>
      </c>
      <c r="N755" s="995"/>
      <c r="O755" s="197">
        <f t="shared" si="185"/>
        <v>1</v>
      </c>
      <c r="P755" s="995"/>
      <c r="Q755" s="197">
        <f t="shared" si="186"/>
        <v>1</v>
      </c>
      <c r="R755" s="991">
        <f t="shared" ca="1" si="187"/>
        <v>16244</v>
      </c>
      <c r="S755" s="552">
        <f t="shared" ca="1" si="188"/>
        <v>2224616</v>
      </c>
      <c r="T755" s="2010">
        <f t="shared" ca="1" si="189"/>
        <v>222</v>
      </c>
      <c r="U755" s="2305">
        <f t="shared" si="190"/>
        <v>0</v>
      </c>
      <c r="V755" s="2305">
        <f t="shared" si="191"/>
        <v>0</v>
      </c>
      <c r="W755" s="2300"/>
      <c r="X755" s="2305">
        <f t="shared" si="192"/>
        <v>0</v>
      </c>
      <c r="Y755" s="2305">
        <f t="shared" si="193"/>
        <v>0</v>
      </c>
      <c r="Z755" s="2300"/>
    </row>
    <row r="756" spans="1:26">
      <c r="A756" s="292" t="str">
        <f>'7.15'!B734</f>
        <v>12幢2单元2801室</v>
      </c>
      <c r="B756" s="207">
        <f>'7.17'!G734</f>
        <v>136.94999999999999</v>
      </c>
      <c r="C756" s="197">
        <f t="shared" si="179"/>
        <v>0.98</v>
      </c>
      <c r="D756" s="995" t="s">
        <v>7608</v>
      </c>
      <c r="E756" s="197">
        <f t="shared" si="180"/>
        <v>1.02</v>
      </c>
      <c r="F756" s="995" t="str">
        <f>'7.15'!D734</f>
        <v>跃层</v>
      </c>
      <c r="G756" s="197">
        <f t="shared" si="181"/>
        <v>1.02</v>
      </c>
      <c r="H756" s="995" t="str">
        <f>'7.15'!E734</f>
        <v>南北</v>
      </c>
      <c r="I756" s="197">
        <f t="shared" si="182"/>
        <v>1</v>
      </c>
      <c r="J756" s="995"/>
      <c r="K756" s="197">
        <f t="shared" si="183"/>
        <v>1</v>
      </c>
      <c r="L756" s="995"/>
      <c r="M756" s="197">
        <f t="shared" si="184"/>
        <v>1</v>
      </c>
      <c r="N756" s="995"/>
      <c r="O756" s="197">
        <f t="shared" si="185"/>
        <v>1</v>
      </c>
      <c r="P756" s="995"/>
      <c r="Q756" s="197">
        <f t="shared" si="186"/>
        <v>1</v>
      </c>
      <c r="R756" s="991">
        <f t="shared" ca="1" si="187"/>
        <v>16244</v>
      </c>
      <c r="S756" s="552">
        <f t="shared" ca="1" si="188"/>
        <v>2224616</v>
      </c>
      <c r="T756" s="2010">
        <f t="shared" ca="1" si="189"/>
        <v>222</v>
      </c>
      <c r="U756" s="2305">
        <f t="shared" si="190"/>
        <v>0</v>
      </c>
      <c r="V756" s="2305">
        <f t="shared" si="191"/>
        <v>0</v>
      </c>
      <c r="W756" s="2300"/>
      <c r="X756" s="2305">
        <f t="shared" si="192"/>
        <v>0</v>
      </c>
      <c r="Y756" s="2305">
        <f t="shared" si="193"/>
        <v>0</v>
      </c>
      <c r="Z756" s="2300"/>
    </row>
    <row r="757" spans="1:26">
      <c r="A757" s="292" t="str">
        <f>'7.15'!B735</f>
        <v>12幢2单元3001室</v>
      </c>
      <c r="B757" s="207">
        <f>'7.17'!G735</f>
        <v>68.84</v>
      </c>
      <c r="C757" s="197">
        <f t="shared" si="179"/>
        <v>0.99</v>
      </c>
      <c r="D757" s="995" t="s">
        <v>7608</v>
      </c>
      <c r="E757" s="197">
        <f t="shared" si="180"/>
        <v>1.02</v>
      </c>
      <c r="F757" s="995" t="str">
        <f>'7.15'!D735</f>
        <v>平层</v>
      </c>
      <c r="G757" s="197">
        <f t="shared" si="181"/>
        <v>1</v>
      </c>
      <c r="H757" s="995" t="str">
        <f>'7.15'!E735</f>
        <v>南北</v>
      </c>
      <c r="I757" s="197">
        <f t="shared" si="182"/>
        <v>1</v>
      </c>
      <c r="J757" s="995"/>
      <c r="K757" s="197">
        <f t="shared" si="183"/>
        <v>1</v>
      </c>
      <c r="L757" s="995"/>
      <c r="M757" s="197">
        <f t="shared" si="184"/>
        <v>1</v>
      </c>
      <c r="N757" s="995"/>
      <c r="O757" s="197">
        <f t="shared" si="185"/>
        <v>1</v>
      </c>
      <c r="P757" s="995"/>
      <c r="Q757" s="197">
        <f t="shared" si="186"/>
        <v>1</v>
      </c>
      <c r="R757" s="991">
        <f t="shared" ca="1" si="187"/>
        <v>16088</v>
      </c>
      <c r="S757" s="552">
        <f t="shared" ca="1" si="188"/>
        <v>1107498</v>
      </c>
      <c r="T757" s="2010">
        <f t="shared" ca="1" si="189"/>
        <v>111</v>
      </c>
      <c r="U757" s="2305">
        <f t="shared" si="190"/>
        <v>0</v>
      </c>
      <c r="V757" s="2305">
        <f t="shared" si="191"/>
        <v>0</v>
      </c>
      <c r="W757" s="2300"/>
      <c r="X757" s="2305">
        <f t="shared" si="192"/>
        <v>0</v>
      </c>
      <c r="Y757" s="2305">
        <f t="shared" si="193"/>
        <v>0</v>
      </c>
      <c r="Z757" s="2300"/>
    </row>
    <row r="758" spans="1:26">
      <c r="A758" s="292" t="str">
        <f>'7.15'!B736</f>
        <v>12幢2单元202室</v>
      </c>
      <c r="B758" s="207">
        <f>'7.17'!G736</f>
        <v>88.31</v>
      </c>
      <c r="C758" s="197">
        <f t="shared" si="179"/>
        <v>1</v>
      </c>
      <c r="D758" s="995" t="s">
        <v>7606</v>
      </c>
      <c r="E758" s="197">
        <f t="shared" si="180"/>
        <v>1</v>
      </c>
      <c r="F758" s="995" t="str">
        <f>'7.15'!D736</f>
        <v>平层</v>
      </c>
      <c r="G758" s="197">
        <f t="shared" si="181"/>
        <v>1</v>
      </c>
      <c r="H758" s="995" t="str">
        <f>'7.15'!E736</f>
        <v>南北</v>
      </c>
      <c r="I758" s="197">
        <f t="shared" si="182"/>
        <v>1</v>
      </c>
      <c r="J758" s="995"/>
      <c r="K758" s="197">
        <f t="shared" si="183"/>
        <v>1</v>
      </c>
      <c r="L758" s="995"/>
      <c r="M758" s="197">
        <f t="shared" si="184"/>
        <v>1</v>
      </c>
      <c r="N758" s="995"/>
      <c r="O758" s="197">
        <f t="shared" si="185"/>
        <v>1</v>
      </c>
      <c r="P758" s="995"/>
      <c r="Q758" s="197">
        <f t="shared" si="186"/>
        <v>1</v>
      </c>
      <c r="R758" s="991">
        <f t="shared" ca="1" si="187"/>
        <v>15932</v>
      </c>
      <c r="S758" s="552">
        <f t="shared" ca="1" si="188"/>
        <v>1406955</v>
      </c>
      <c r="T758" s="2010">
        <f t="shared" ca="1" si="189"/>
        <v>141</v>
      </c>
      <c r="U758" s="2305">
        <f t="shared" si="190"/>
        <v>0</v>
      </c>
      <c r="V758" s="2305">
        <f t="shared" si="191"/>
        <v>0</v>
      </c>
      <c r="W758" s="2300"/>
      <c r="X758" s="2305">
        <f t="shared" si="192"/>
        <v>0</v>
      </c>
      <c r="Y758" s="2305">
        <f t="shared" si="193"/>
        <v>0</v>
      </c>
      <c r="Z758" s="2300"/>
    </row>
    <row r="759" spans="1:26">
      <c r="A759" s="292" t="str">
        <f>'7.15'!B737</f>
        <v>12幢2单元302室</v>
      </c>
      <c r="B759" s="207">
        <f>'7.17'!G737</f>
        <v>88.31</v>
      </c>
      <c r="C759" s="197">
        <f t="shared" si="179"/>
        <v>1</v>
      </c>
      <c r="D759" s="995" t="s">
        <v>7606</v>
      </c>
      <c r="E759" s="197">
        <f t="shared" si="180"/>
        <v>1</v>
      </c>
      <c r="F759" s="995" t="str">
        <f>'7.15'!D737</f>
        <v>平层</v>
      </c>
      <c r="G759" s="197">
        <f t="shared" si="181"/>
        <v>1</v>
      </c>
      <c r="H759" s="995" t="str">
        <f>'7.15'!E737</f>
        <v>南北</v>
      </c>
      <c r="I759" s="197">
        <f t="shared" si="182"/>
        <v>1</v>
      </c>
      <c r="J759" s="995"/>
      <c r="K759" s="197">
        <f t="shared" si="183"/>
        <v>1</v>
      </c>
      <c r="L759" s="995"/>
      <c r="M759" s="197">
        <f t="shared" si="184"/>
        <v>1</v>
      </c>
      <c r="N759" s="995"/>
      <c r="O759" s="197">
        <f t="shared" si="185"/>
        <v>1</v>
      </c>
      <c r="P759" s="995"/>
      <c r="Q759" s="197">
        <f t="shared" si="186"/>
        <v>1</v>
      </c>
      <c r="R759" s="991">
        <f t="shared" ca="1" si="187"/>
        <v>15932</v>
      </c>
      <c r="S759" s="552">
        <f t="shared" ca="1" si="188"/>
        <v>1406955</v>
      </c>
      <c r="T759" s="2010">
        <f t="shared" ca="1" si="189"/>
        <v>141</v>
      </c>
      <c r="U759" s="2305">
        <f t="shared" si="190"/>
        <v>0</v>
      </c>
      <c r="V759" s="2305">
        <f t="shared" si="191"/>
        <v>0</v>
      </c>
      <c r="W759" s="2300"/>
      <c r="X759" s="2305">
        <f t="shared" si="192"/>
        <v>0</v>
      </c>
      <c r="Y759" s="2305">
        <f t="shared" si="193"/>
        <v>0</v>
      </c>
      <c r="Z759" s="2300"/>
    </row>
    <row r="760" spans="1:26">
      <c r="A760" s="292" t="str">
        <f>'7.15'!B738</f>
        <v>12幢2单元402室</v>
      </c>
      <c r="B760" s="207">
        <f>'7.17'!G738</f>
        <v>88.31</v>
      </c>
      <c r="C760" s="197">
        <f t="shared" si="179"/>
        <v>1</v>
      </c>
      <c r="D760" s="995" t="s">
        <v>7606</v>
      </c>
      <c r="E760" s="197">
        <f t="shared" si="180"/>
        <v>1</v>
      </c>
      <c r="F760" s="995" t="str">
        <f>'7.15'!D738</f>
        <v>平层</v>
      </c>
      <c r="G760" s="197">
        <f t="shared" si="181"/>
        <v>1</v>
      </c>
      <c r="H760" s="995" t="str">
        <f>'7.15'!E738</f>
        <v>南北</v>
      </c>
      <c r="I760" s="197">
        <f t="shared" si="182"/>
        <v>1</v>
      </c>
      <c r="J760" s="995"/>
      <c r="K760" s="197">
        <f t="shared" si="183"/>
        <v>1</v>
      </c>
      <c r="L760" s="995"/>
      <c r="M760" s="197">
        <f t="shared" si="184"/>
        <v>1</v>
      </c>
      <c r="N760" s="995"/>
      <c r="O760" s="197">
        <f t="shared" si="185"/>
        <v>1</v>
      </c>
      <c r="P760" s="995"/>
      <c r="Q760" s="197">
        <f t="shared" si="186"/>
        <v>1</v>
      </c>
      <c r="R760" s="991">
        <f t="shared" ca="1" si="187"/>
        <v>15932</v>
      </c>
      <c r="S760" s="552">
        <f t="shared" ca="1" si="188"/>
        <v>1406955</v>
      </c>
      <c r="T760" s="2010">
        <f t="shared" ca="1" si="189"/>
        <v>141</v>
      </c>
      <c r="U760" s="2305">
        <f t="shared" si="190"/>
        <v>0</v>
      </c>
      <c r="V760" s="2305">
        <f t="shared" si="191"/>
        <v>0</v>
      </c>
      <c r="W760" s="2300"/>
      <c r="X760" s="2305">
        <f t="shared" si="192"/>
        <v>0</v>
      </c>
      <c r="Y760" s="2305">
        <f t="shared" si="193"/>
        <v>0</v>
      </c>
      <c r="Z760" s="2300"/>
    </row>
    <row r="761" spans="1:26">
      <c r="A761" s="292" t="str">
        <f>'7.15'!B739</f>
        <v>12幢2单元502室</v>
      </c>
      <c r="B761" s="207">
        <f>'7.17'!G739</f>
        <v>88.31</v>
      </c>
      <c r="C761" s="197">
        <f t="shared" si="179"/>
        <v>1</v>
      </c>
      <c r="D761" s="995" t="s">
        <v>7606</v>
      </c>
      <c r="E761" s="197">
        <f t="shared" si="180"/>
        <v>1</v>
      </c>
      <c r="F761" s="995" t="str">
        <f>'7.15'!D739</f>
        <v>平层</v>
      </c>
      <c r="G761" s="197">
        <f t="shared" si="181"/>
        <v>1</v>
      </c>
      <c r="H761" s="995" t="str">
        <f>'7.15'!E739</f>
        <v>南北</v>
      </c>
      <c r="I761" s="197">
        <f t="shared" si="182"/>
        <v>1</v>
      </c>
      <c r="J761" s="995"/>
      <c r="K761" s="197">
        <f t="shared" si="183"/>
        <v>1</v>
      </c>
      <c r="L761" s="995"/>
      <c r="M761" s="197">
        <f t="shared" si="184"/>
        <v>1</v>
      </c>
      <c r="N761" s="995"/>
      <c r="O761" s="197">
        <f t="shared" si="185"/>
        <v>1</v>
      </c>
      <c r="P761" s="995"/>
      <c r="Q761" s="197">
        <f t="shared" si="186"/>
        <v>1</v>
      </c>
      <c r="R761" s="991">
        <f t="shared" ca="1" si="187"/>
        <v>15932</v>
      </c>
      <c r="S761" s="552">
        <f t="shared" ca="1" si="188"/>
        <v>1406955</v>
      </c>
      <c r="T761" s="2010">
        <f t="shared" ca="1" si="189"/>
        <v>141</v>
      </c>
      <c r="U761" s="2305">
        <f t="shared" si="190"/>
        <v>0</v>
      </c>
      <c r="V761" s="2305">
        <f t="shared" si="191"/>
        <v>0</v>
      </c>
      <c r="W761" s="2300"/>
      <c r="X761" s="2305">
        <f t="shared" si="192"/>
        <v>0</v>
      </c>
      <c r="Y761" s="2305">
        <f t="shared" si="193"/>
        <v>0</v>
      </c>
      <c r="Z761" s="2300"/>
    </row>
    <row r="762" spans="1:26">
      <c r="A762" s="292" t="str">
        <f>'7.15'!B740</f>
        <v>12幢2单元602室</v>
      </c>
      <c r="B762" s="207">
        <f>'7.17'!G740</f>
        <v>88.31</v>
      </c>
      <c r="C762" s="197">
        <f t="shared" si="179"/>
        <v>1</v>
      </c>
      <c r="D762" s="995" t="s">
        <v>7606</v>
      </c>
      <c r="E762" s="197">
        <f t="shared" si="180"/>
        <v>1</v>
      </c>
      <c r="F762" s="995" t="str">
        <f>'7.15'!D740</f>
        <v>平层</v>
      </c>
      <c r="G762" s="197">
        <f t="shared" si="181"/>
        <v>1</v>
      </c>
      <c r="H762" s="995" t="str">
        <f>'7.15'!E740</f>
        <v>南北</v>
      </c>
      <c r="I762" s="197">
        <f t="shared" si="182"/>
        <v>1</v>
      </c>
      <c r="J762" s="995"/>
      <c r="K762" s="197">
        <f t="shared" si="183"/>
        <v>1</v>
      </c>
      <c r="L762" s="995"/>
      <c r="M762" s="197">
        <f t="shared" si="184"/>
        <v>1</v>
      </c>
      <c r="N762" s="995"/>
      <c r="O762" s="197">
        <f t="shared" si="185"/>
        <v>1</v>
      </c>
      <c r="P762" s="995"/>
      <c r="Q762" s="197">
        <f t="shared" si="186"/>
        <v>1</v>
      </c>
      <c r="R762" s="991">
        <f t="shared" ca="1" si="187"/>
        <v>15932</v>
      </c>
      <c r="S762" s="552">
        <f t="shared" ca="1" si="188"/>
        <v>1406955</v>
      </c>
      <c r="T762" s="2010">
        <f t="shared" ca="1" si="189"/>
        <v>141</v>
      </c>
      <c r="U762" s="2305">
        <f t="shared" si="190"/>
        <v>0</v>
      </c>
      <c r="V762" s="2305">
        <f t="shared" si="191"/>
        <v>0</v>
      </c>
      <c r="W762" s="2300"/>
      <c r="X762" s="2305">
        <f t="shared" si="192"/>
        <v>0</v>
      </c>
      <c r="Y762" s="2305">
        <f t="shared" si="193"/>
        <v>0</v>
      </c>
      <c r="Z762" s="2300"/>
    </row>
    <row r="763" spans="1:26">
      <c r="A763" s="292" t="str">
        <f>'7.15'!B741</f>
        <v>12幢2单元702室</v>
      </c>
      <c r="B763" s="207">
        <f>'7.17'!G741</f>
        <v>88.31</v>
      </c>
      <c r="C763" s="197">
        <f t="shared" si="179"/>
        <v>1</v>
      </c>
      <c r="D763" s="995" t="s">
        <v>7606</v>
      </c>
      <c r="E763" s="197">
        <f t="shared" si="180"/>
        <v>1</v>
      </c>
      <c r="F763" s="995" t="str">
        <f>'7.15'!D741</f>
        <v>平层</v>
      </c>
      <c r="G763" s="197">
        <f t="shared" si="181"/>
        <v>1</v>
      </c>
      <c r="H763" s="995" t="str">
        <f>'7.15'!E741</f>
        <v>南北</v>
      </c>
      <c r="I763" s="197">
        <f t="shared" si="182"/>
        <v>1</v>
      </c>
      <c r="J763" s="995"/>
      <c r="K763" s="197">
        <f t="shared" si="183"/>
        <v>1</v>
      </c>
      <c r="L763" s="995"/>
      <c r="M763" s="197">
        <f t="shared" si="184"/>
        <v>1</v>
      </c>
      <c r="N763" s="995"/>
      <c r="O763" s="197">
        <f t="shared" si="185"/>
        <v>1</v>
      </c>
      <c r="P763" s="995"/>
      <c r="Q763" s="197">
        <f t="shared" si="186"/>
        <v>1</v>
      </c>
      <c r="R763" s="991">
        <f t="shared" ca="1" si="187"/>
        <v>15932</v>
      </c>
      <c r="S763" s="552">
        <f t="shared" ca="1" si="188"/>
        <v>1406955</v>
      </c>
      <c r="T763" s="2010">
        <f t="shared" ca="1" si="189"/>
        <v>141</v>
      </c>
      <c r="U763" s="2305">
        <f t="shared" si="190"/>
        <v>0</v>
      </c>
      <c r="V763" s="2305">
        <f t="shared" si="191"/>
        <v>0</v>
      </c>
      <c r="W763" s="2300"/>
      <c r="X763" s="2305">
        <f t="shared" si="192"/>
        <v>0</v>
      </c>
      <c r="Y763" s="2305">
        <f t="shared" si="193"/>
        <v>0</v>
      </c>
      <c r="Z763" s="2300"/>
    </row>
    <row r="764" spans="1:26">
      <c r="A764" s="292" t="str">
        <f>'7.15'!B742</f>
        <v>12幢2单元802室</v>
      </c>
      <c r="B764" s="207">
        <f>'7.17'!G742</f>
        <v>88.31</v>
      </c>
      <c r="C764" s="197">
        <f t="shared" si="179"/>
        <v>1</v>
      </c>
      <c r="D764" s="995" t="s">
        <v>7606</v>
      </c>
      <c r="E764" s="197">
        <f t="shared" si="180"/>
        <v>1</v>
      </c>
      <c r="F764" s="995" t="str">
        <f>'7.15'!D742</f>
        <v>平层</v>
      </c>
      <c r="G764" s="197">
        <f t="shared" si="181"/>
        <v>1</v>
      </c>
      <c r="H764" s="995" t="str">
        <f>'7.15'!E742</f>
        <v>南北</v>
      </c>
      <c r="I764" s="197">
        <f t="shared" si="182"/>
        <v>1</v>
      </c>
      <c r="J764" s="995"/>
      <c r="K764" s="197">
        <f t="shared" si="183"/>
        <v>1</v>
      </c>
      <c r="L764" s="995"/>
      <c r="M764" s="197">
        <f t="shared" si="184"/>
        <v>1</v>
      </c>
      <c r="N764" s="995"/>
      <c r="O764" s="197">
        <f t="shared" si="185"/>
        <v>1</v>
      </c>
      <c r="P764" s="995"/>
      <c r="Q764" s="197">
        <f t="shared" si="186"/>
        <v>1</v>
      </c>
      <c r="R764" s="991">
        <f t="shared" ca="1" si="187"/>
        <v>15932</v>
      </c>
      <c r="S764" s="552">
        <f t="shared" ca="1" si="188"/>
        <v>1406955</v>
      </c>
      <c r="T764" s="2010">
        <f t="shared" ca="1" si="189"/>
        <v>141</v>
      </c>
      <c r="U764" s="2305">
        <f t="shared" si="190"/>
        <v>0</v>
      </c>
      <c r="V764" s="2305">
        <f t="shared" si="191"/>
        <v>0</v>
      </c>
      <c r="W764" s="2300"/>
      <c r="X764" s="2305">
        <f t="shared" si="192"/>
        <v>0</v>
      </c>
      <c r="Y764" s="2305">
        <f t="shared" si="193"/>
        <v>0</v>
      </c>
      <c r="Z764" s="2300"/>
    </row>
    <row r="765" spans="1:26">
      <c r="A765" s="292" t="str">
        <f>'7.15'!B743</f>
        <v>12幢2单元902室</v>
      </c>
      <c r="B765" s="207">
        <f>'7.17'!G743</f>
        <v>88.31</v>
      </c>
      <c r="C765" s="197">
        <f t="shared" si="179"/>
        <v>1</v>
      </c>
      <c r="D765" s="995" t="s">
        <v>7606</v>
      </c>
      <c r="E765" s="197">
        <f t="shared" si="180"/>
        <v>1</v>
      </c>
      <c r="F765" s="995" t="str">
        <f>'7.15'!D743</f>
        <v>平层</v>
      </c>
      <c r="G765" s="197">
        <f t="shared" si="181"/>
        <v>1</v>
      </c>
      <c r="H765" s="995" t="str">
        <f>'7.15'!E743</f>
        <v>南北</v>
      </c>
      <c r="I765" s="197">
        <f t="shared" si="182"/>
        <v>1</v>
      </c>
      <c r="J765" s="995"/>
      <c r="K765" s="197">
        <f t="shared" si="183"/>
        <v>1</v>
      </c>
      <c r="L765" s="995"/>
      <c r="M765" s="197">
        <f t="shared" si="184"/>
        <v>1</v>
      </c>
      <c r="N765" s="995"/>
      <c r="O765" s="197">
        <f t="shared" si="185"/>
        <v>1</v>
      </c>
      <c r="P765" s="995"/>
      <c r="Q765" s="197">
        <f t="shared" si="186"/>
        <v>1</v>
      </c>
      <c r="R765" s="991">
        <f t="shared" ca="1" si="187"/>
        <v>15932</v>
      </c>
      <c r="S765" s="552">
        <f t="shared" ca="1" si="188"/>
        <v>1406955</v>
      </c>
      <c r="T765" s="2010">
        <f t="shared" ca="1" si="189"/>
        <v>141</v>
      </c>
      <c r="U765" s="2305">
        <f t="shared" si="190"/>
        <v>0</v>
      </c>
      <c r="V765" s="2305">
        <f t="shared" si="191"/>
        <v>0</v>
      </c>
      <c r="W765" s="2300"/>
      <c r="X765" s="2305">
        <f t="shared" si="192"/>
        <v>0</v>
      </c>
      <c r="Y765" s="2305">
        <f t="shared" si="193"/>
        <v>0</v>
      </c>
      <c r="Z765" s="2300"/>
    </row>
    <row r="766" spans="1:26">
      <c r="A766" s="292" t="str">
        <f>'7.15'!B744</f>
        <v>12幢2单元1002室</v>
      </c>
      <c r="B766" s="207">
        <f>'7.17'!G744</f>
        <v>88.31</v>
      </c>
      <c r="C766" s="197">
        <f t="shared" si="179"/>
        <v>1</v>
      </c>
      <c r="D766" s="995" t="s">
        <v>7606</v>
      </c>
      <c r="E766" s="197">
        <f t="shared" si="180"/>
        <v>1</v>
      </c>
      <c r="F766" s="995" t="str">
        <f>'7.15'!D744</f>
        <v>平层</v>
      </c>
      <c r="G766" s="197">
        <f t="shared" si="181"/>
        <v>1</v>
      </c>
      <c r="H766" s="995" t="str">
        <f>'7.15'!E744</f>
        <v>南北</v>
      </c>
      <c r="I766" s="197">
        <f t="shared" si="182"/>
        <v>1</v>
      </c>
      <c r="J766" s="995"/>
      <c r="K766" s="197">
        <f t="shared" si="183"/>
        <v>1</v>
      </c>
      <c r="L766" s="995"/>
      <c r="M766" s="197">
        <f t="shared" si="184"/>
        <v>1</v>
      </c>
      <c r="N766" s="995"/>
      <c r="O766" s="197">
        <f t="shared" si="185"/>
        <v>1</v>
      </c>
      <c r="P766" s="995"/>
      <c r="Q766" s="197">
        <f t="shared" si="186"/>
        <v>1</v>
      </c>
      <c r="R766" s="991">
        <f t="shared" ca="1" si="187"/>
        <v>15932</v>
      </c>
      <c r="S766" s="552">
        <f t="shared" ca="1" si="188"/>
        <v>1406955</v>
      </c>
      <c r="T766" s="2010">
        <f t="shared" ca="1" si="189"/>
        <v>141</v>
      </c>
      <c r="U766" s="2305">
        <f t="shared" si="190"/>
        <v>0</v>
      </c>
      <c r="V766" s="2305">
        <f t="shared" si="191"/>
        <v>0</v>
      </c>
      <c r="W766" s="2300"/>
      <c r="X766" s="2305">
        <f t="shared" si="192"/>
        <v>0</v>
      </c>
      <c r="Y766" s="2305">
        <f t="shared" si="193"/>
        <v>0</v>
      </c>
      <c r="Z766" s="2300"/>
    </row>
    <row r="767" spans="1:26">
      <c r="A767" s="292" t="str">
        <f>'7.15'!B745</f>
        <v>12幢2单元1102室</v>
      </c>
      <c r="B767" s="207">
        <f>'7.17'!G745</f>
        <v>88.31</v>
      </c>
      <c r="C767" s="197">
        <f t="shared" si="179"/>
        <v>1</v>
      </c>
      <c r="D767" s="995" t="s">
        <v>7609</v>
      </c>
      <c r="E767" s="197">
        <f t="shared" si="180"/>
        <v>1.04</v>
      </c>
      <c r="F767" s="995" t="str">
        <f>'7.15'!D745</f>
        <v>平层</v>
      </c>
      <c r="G767" s="197">
        <f t="shared" si="181"/>
        <v>1</v>
      </c>
      <c r="H767" s="995" t="str">
        <f>'7.15'!E745</f>
        <v>南北</v>
      </c>
      <c r="I767" s="197">
        <f t="shared" si="182"/>
        <v>1</v>
      </c>
      <c r="J767" s="995"/>
      <c r="K767" s="197">
        <f t="shared" si="183"/>
        <v>1</v>
      </c>
      <c r="L767" s="995"/>
      <c r="M767" s="197">
        <f t="shared" si="184"/>
        <v>1</v>
      </c>
      <c r="N767" s="995"/>
      <c r="O767" s="197">
        <f t="shared" si="185"/>
        <v>1</v>
      </c>
      <c r="P767" s="995"/>
      <c r="Q767" s="197">
        <f t="shared" si="186"/>
        <v>1</v>
      </c>
      <c r="R767" s="991">
        <f t="shared" ca="1" si="187"/>
        <v>16569</v>
      </c>
      <c r="S767" s="552">
        <f t="shared" ca="1" si="188"/>
        <v>1463208</v>
      </c>
      <c r="T767" s="2010">
        <f t="shared" ca="1" si="189"/>
        <v>146</v>
      </c>
      <c r="U767" s="2305">
        <f t="shared" si="190"/>
        <v>0</v>
      </c>
      <c r="V767" s="2305">
        <f t="shared" si="191"/>
        <v>0</v>
      </c>
      <c r="W767" s="2300"/>
      <c r="X767" s="2305">
        <f t="shared" si="192"/>
        <v>0</v>
      </c>
      <c r="Y767" s="2305">
        <f t="shared" si="193"/>
        <v>0</v>
      </c>
      <c r="Z767" s="2300"/>
    </row>
    <row r="768" spans="1:26">
      <c r="A768" s="292" t="str">
        <f>'7.15'!B746</f>
        <v>12幢2单元1202室</v>
      </c>
      <c r="B768" s="207">
        <f>'7.17'!G746</f>
        <v>88.31</v>
      </c>
      <c r="C768" s="197">
        <f t="shared" si="179"/>
        <v>1</v>
      </c>
      <c r="D768" s="995" t="s">
        <v>7609</v>
      </c>
      <c r="E768" s="197">
        <f t="shared" si="180"/>
        <v>1.04</v>
      </c>
      <c r="F768" s="995" t="str">
        <f>'7.15'!D746</f>
        <v>平层</v>
      </c>
      <c r="G768" s="197">
        <f t="shared" si="181"/>
        <v>1</v>
      </c>
      <c r="H768" s="995" t="str">
        <f>'7.15'!E746</f>
        <v>南北</v>
      </c>
      <c r="I768" s="197">
        <f t="shared" si="182"/>
        <v>1</v>
      </c>
      <c r="J768" s="995"/>
      <c r="K768" s="197">
        <f t="shared" si="183"/>
        <v>1</v>
      </c>
      <c r="L768" s="995"/>
      <c r="M768" s="197">
        <f t="shared" si="184"/>
        <v>1</v>
      </c>
      <c r="N768" s="995"/>
      <c r="O768" s="197">
        <f t="shared" si="185"/>
        <v>1</v>
      </c>
      <c r="P768" s="995"/>
      <c r="Q768" s="197">
        <f t="shared" si="186"/>
        <v>1</v>
      </c>
      <c r="R768" s="991">
        <f t="shared" ca="1" si="187"/>
        <v>16569</v>
      </c>
      <c r="S768" s="552">
        <f t="shared" ca="1" si="188"/>
        <v>1463208</v>
      </c>
      <c r="T768" s="2010">
        <f t="shared" ca="1" si="189"/>
        <v>146</v>
      </c>
      <c r="U768" s="2305">
        <f t="shared" si="190"/>
        <v>0</v>
      </c>
      <c r="V768" s="2305">
        <f t="shared" si="191"/>
        <v>0</v>
      </c>
      <c r="W768" s="2300"/>
      <c r="X768" s="2305">
        <f t="shared" si="192"/>
        <v>0</v>
      </c>
      <c r="Y768" s="2305">
        <f t="shared" si="193"/>
        <v>0</v>
      </c>
      <c r="Z768" s="2300"/>
    </row>
    <row r="769" spans="1:26">
      <c r="A769" s="292" t="str">
        <f>'7.15'!B747</f>
        <v>12幢2单元1302室</v>
      </c>
      <c r="B769" s="207">
        <f>'7.17'!G747</f>
        <v>88.31</v>
      </c>
      <c r="C769" s="197">
        <f t="shared" si="179"/>
        <v>1</v>
      </c>
      <c r="D769" s="995" t="s">
        <v>7609</v>
      </c>
      <c r="E769" s="197">
        <f t="shared" si="180"/>
        <v>1.04</v>
      </c>
      <c r="F769" s="995" t="str">
        <f>'7.15'!D747</f>
        <v>平层</v>
      </c>
      <c r="G769" s="197">
        <f t="shared" si="181"/>
        <v>1</v>
      </c>
      <c r="H769" s="995" t="str">
        <f>'7.15'!E747</f>
        <v>南北</v>
      </c>
      <c r="I769" s="197">
        <f t="shared" si="182"/>
        <v>1</v>
      </c>
      <c r="J769" s="995"/>
      <c r="K769" s="197">
        <f t="shared" si="183"/>
        <v>1</v>
      </c>
      <c r="L769" s="995"/>
      <c r="M769" s="197">
        <f t="shared" si="184"/>
        <v>1</v>
      </c>
      <c r="N769" s="995"/>
      <c r="O769" s="197">
        <f t="shared" si="185"/>
        <v>1</v>
      </c>
      <c r="P769" s="995"/>
      <c r="Q769" s="197">
        <f t="shared" si="186"/>
        <v>1</v>
      </c>
      <c r="R769" s="991">
        <f t="shared" ca="1" si="187"/>
        <v>16569</v>
      </c>
      <c r="S769" s="552">
        <f t="shared" ca="1" si="188"/>
        <v>1463208</v>
      </c>
      <c r="T769" s="2010">
        <f t="shared" ca="1" si="189"/>
        <v>146</v>
      </c>
      <c r="U769" s="2305">
        <f t="shared" si="190"/>
        <v>0</v>
      </c>
      <c r="V769" s="2305">
        <f t="shared" si="191"/>
        <v>0</v>
      </c>
      <c r="W769" s="2300"/>
      <c r="X769" s="2305">
        <f t="shared" si="192"/>
        <v>0</v>
      </c>
      <c r="Y769" s="2305">
        <f t="shared" si="193"/>
        <v>0</v>
      </c>
      <c r="Z769" s="2300"/>
    </row>
    <row r="770" spans="1:26">
      <c r="A770" s="292" t="str">
        <f>'7.15'!B748</f>
        <v>12幢2单元1402室</v>
      </c>
      <c r="B770" s="207">
        <f>'7.17'!G748</f>
        <v>88.31</v>
      </c>
      <c r="C770" s="197">
        <f t="shared" si="179"/>
        <v>1</v>
      </c>
      <c r="D770" s="995" t="s">
        <v>7609</v>
      </c>
      <c r="E770" s="197">
        <f t="shared" si="180"/>
        <v>1.04</v>
      </c>
      <c r="F770" s="995" t="str">
        <f>'7.15'!D748</f>
        <v>平层</v>
      </c>
      <c r="G770" s="197">
        <f t="shared" si="181"/>
        <v>1</v>
      </c>
      <c r="H770" s="995" t="str">
        <f>'7.15'!E748</f>
        <v>南北</v>
      </c>
      <c r="I770" s="197">
        <f t="shared" si="182"/>
        <v>1</v>
      </c>
      <c r="J770" s="995"/>
      <c r="K770" s="197">
        <f t="shared" si="183"/>
        <v>1</v>
      </c>
      <c r="L770" s="995"/>
      <c r="M770" s="197">
        <f t="shared" si="184"/>
        <v>1</v>
      </c>
      <c r="N770" s="995"/>
      <c r="O770" s="197">
        <f t="shared" si="185"/>
        <v>1</v>
      </c>
      <c r="P770" s="995"/>
      <c r="Q770" s="197">
        <f t="shared" si="186"/>
        <v>1</v>
      </c>
      <c r="R770" s="991">
        <f t="shared" ca="1" si="187"/>
        <v>16569</v>
      </c>
      <c r="S770" s="552">
        <f t="shared" ca="1" si="188"/>
        <v>1463208</v>
      </c>
      <c r="T770" s="2010">
        <f t="shared" ca="1" si="189"/>
        <v>146</v>
      </c>
      <c r="U770" s="2305">
        <f t="shared" si="190"/>
        <v>0</v>
      </c>
      <c r="V770" s="2305">
        <f t="shared" si="191"/>
        <v>0</v>
      </c>
      <c r="W770" s="2300"/>
      <c r="X770" s="2305">
        <f t="shared" si="192"/>
        <v>0</v>
      </c>
      <c r="Y770" s="2305">
        <f t="shared" si="193"/>
        <v>0</v>
      </c>
      <c r="Z770" s="2300"/>
    </row>
    <row r="771" spans="1:26">
      <c r="A771" s="292" t="str">
        <f>'7.15'!B749</f>
        <v>12幢2单元1502室</v>
      </c>
      <c r="B771" s="207">
        <f>'7.17'!G749</f>
        <v>88.31</v>
      </c>
      <c r="C771" s="197">
        <f t="shared" si="179"/>
        <v>1</v>
      </c>
      <c r="D771" s="995" t="s">
        <v>7609</v>
      </c>
      <c r="E771" s="197">
        <f t="shared" si="180"/>
        <v>1.04</v>
      </c>
      <c r="F771" s="995" t="str">
        <f>'7.15'!D749</f>
        <v>平层</v>
      </c>
      <c r="G771" s="197">
        <f t="shared" si="181"/>
        <v>1</v>
      </c>
      <c r="H771" s="995" t="str">
        <f>'7.15'!E749</f>
        <v>南北</v>
      </c>
      <c r="I771" s="197">
        <f t="shared" si="182"/>
        <v>1</v>
      </c>
      <c r="J771" s="995"/>
      <c r="K771" s="197">
        <f t="shared" si="183"/>
        <v>1</v>
      </c>
      <c r="L771" s="995"/>
      <c r="M771" s="197">
        <f t="shared" si="184"/>
        <v>1</v>
      </c>
      <c r="N771" s="995"/>
      <c r="O771" s="197">
        <f t="shared" si="185"/>
        <v>1</v>
      </c>
      <c r="P771" s="995"/>
      <c r="Q771" s="197">
        <f t="shared" si="186"/>
        <v>1</v>
      </c>
      <c r="R771" s="991">
        <f t="shared" ca="1" si="187"/>
        <v>16569</v>
      </c>
      <c r="S771" s="552">
        <f t="shared" ca="1" si="188"/>
        <v>1463208</v>
      </c>
      <c r="T771" s="2010">
        <f t="shared" ca="1" si="189"/>
        <v>146</v>
      </c>
      <c r="U771" s="2305">
        <f t="shared" si="190"/>
        <v>0</v>
      </c>
      <c r="V771" s="2305">
        <f t="shared" si="191"/>
        <v>0</v>
      </c>
      <c r="W771" s="2300"/>
      <c r="X771" s="2305">
        <f t="shared" si="192"/>
        <v>0</v>
      </c>
      <c r="Y771" s="2305">
        <f t="shared" si="193"/>
        <v>0</v>
      </c>
      <c r="Z771" s="2300"/>
    </row>
    <row r="772" spans="1:26">
      <c r="A772" s="292" t="str">
        <f>'7.15'!B750</f>
        <v>12幢2单元1602室</v>
      </c>
      <c r="B772" s="207">
        <f>'7.17'!G750</f>
        <v>88.31</v>
      </c>
      <c r="C772" s="197">
        <f t="shared" si="179"/>
        <v>1</v>
      </c>
      <c r="D772" s="995" t="s">
        <v>7609</v>
      </c>
      <c r="E772" s="197">
        <f t="shared" si="180"/>
        <v>1.04</v>
      </c>
      <c r="F772" s="995" t="str">
        <f>'7.15'!D750</f>
        <v>平层</v>
      </c>
      <c r="G772" s="197">
        <f t="shared" si="181"/>
        <v>1</v>
      </c>
      <c r="H772" s="995" t="str">
        <f>'7.15'!E750</f>
        <v>南北</v>
      </c>
      <c r="I772" s="197">
        <f t="shared" si="182"/>
        <v>1</v>
      </c>
      <c r="J772" s="995"/>
      <c r="K772" s="197">
        <f t="shared" si="183"/>
        <v>1</v>
      </c>
      <c r="L772" s="995"/>
      <c r="M772" s="197">
        <f t="shared" si="184"/>
        <v>1</v>
      </c>
      <c r="N772" s="995"/>
      <c r="O772" s="197">
        <f t="shared" si="185"/>
        <v>1</v>
      </c>
      <c r="P772" s="995"/>
      <c r="Q772" s="197">
        <f t="shared" si="186"/>
        <v>1</v>
      </c>
      <c r="R772" s="991">
        <f t="shared" ca="1" si="187"/>
        <v>16569</v>
      </c>
      <c r="S772" s="552">
        <f t="shared" ca="1" si="188"/>
        <v>1463208</v>
      </c>
      <c r="T772" s="2010">
        <f t="shared" ca="1" si="189"/>
        <v>146</v>
      </c>
      <c r="U772" s="2305">
        <f t="shared" si="190"/>
        <v>0</v>
      </c>
      <c r="V772" s="2305">
        <f t="shared" si="191"/>
        <v>0</v>
      </c>
      <c r="W772" s="2300"/>
      <c r="X772" s="2305">
        <f t="shared" si="192"/>
        <v>0</v>
      </c>
      <c r="Y772" s="2305">
        <f t="shared" si="193"/>
        <v>0</v>
      </c>
      <c r="Z772" s="2300"/>
    </row>
    <row r="773" spans="1:26">
      <c r="A773" s="292" t="str">
        <f>'7.15'!B751</f>
        <v>12幢2单元1702室</v>
      </c>
      <c r="B773" s="207">
        <f>'7.17'!G751</f>
        <v>88.31</v>
      </c>
      <c r="C773" s="197">
        <f t="shared" si="179"/>
        <v>1</v>
      </c>
      <c r="D773" s="995" t="s">
        <v>7609</v>
      </c>
      <c r="E773" s="197">
        <f t="shared" si="180"/>
        <v>1.04</v>
      </c>
      <c r="F773" s="995" t="str">
        <f>'7.15'!D751</f>
        <v>平层</v>
      </c>
      <c r="G773" s="197">
        <f t="shared" si="181"/>
        <v>1</v>
      </c>
      <c r="H773" s="995" t="str">
        <f>'7.15'!E751</f>
        <v>南北</v>
      </c>
      <c r="I773" s="197">
        <f t="shared" si="182"/>
        <v>1</v>
      </c>
      <c r="J773" s="995"/>
      <c r="K773" s="197">
        <f t="shared" si="183"/>
        <v>1</v>
      </c>
      <c r="L773" s="995"/>
      <c r="M773" s="197">
        <f t="shared" si="184"/>
        <v>1</v>
      </c>
      <c r="N773" s="995"/>
      <c r="O773" s="197">
        <f t="shared" si="185"/>
        <v>1</v>
      </c>
      <c r="P773" s="995"/>
      <c r="Q773" s="197">
        <f t="shared" si="186"/>
        <v>1</v>
      </c>
      <c r="R773" s="991">
        <f t="shared" ca="1" si="187"/>
        <v>16569</v>
      </c>
      <c r="S773" s="552">
        <f t="shared" ca="1" si="188"/>
        <v>1463208</v>
      </c>
      <c r="T773" s="2010">
        <f t="shared" ca="1" si="189"/>
        <v>146</v>
      </c>
      <c r="U773" s="2305">
        <f t="shared" si="190"/>
        <v>0</v>
      </c>
      <c r="V773" s="2305">
        <f t="shared" si="191"/>
        <v>0</v>
      </c>
      <c r="W773" s="2300"/>
      <c r="X773" s="2305">
        <f t="shared" si="192"/>
        <v>0</v>
      </c>
      <c r="Y773" s="2305">
        <f t="shared" si="193"/>
        <v>0</v>
      </c>
      <c r="Z773" s="2300"/>
    </row>
    <row r="774" spans="1:26">
      <c r="A774" s="292" t="str">
        <f>'7.15'!B752</f>
        <v>12幢2单元1802室</v>
      </c>
      <c r="B774" s="207">
        <f>'7.17'!G752</f>
        <v>88.31</v>
      </c>
      <c r="C774" s="197">
        <f t="shared" si="179"/>
        <v>1</v>
      </c>
      <c r="D774" s="995" t="s">
        <v>7609</v>
      </c>
      <c r="E774" s="197">
        <f t="shared" si="180"/>
        <v>1.04</v>
      </c>
      <c r="F774" s="995" t="str">
        <f>'7.15'!D752</f>
        <v>平层</v>
      </c>
      <c r="G774" s="197">
        <f t="shared" si="181"/>
        <v>1</v>
      </c>
      <c r="H774" s="995" t="str">
        <f>'7.15'!E752</f>
        <v>南北</v>
      </c>
      <c r="I774" s="197">
        <f t="shared" si="182"/>
        <v>1</v>
      </c>
      <c r="J774" s="995"/>
      <c r="K774" s="197">
        <f t="shared" si="183"/>
        <v>1</v>
      </c>
      <c r="L774" s="995"/>
      <c r="M774" s="197">
        <f t="shared" si="184"/>
        <v>1</v>
      </c>
      <c r="N774" s="995"/>
      <c r="O774" s="197">
        <f t="shared" si="185"/>
        <v>1</v>
      </c>
      <c r="P774" s="995"/>
      <c r="Q774" s="197">
        <f t="shared" si="186"/>
        <v>1</v>
      </c>
      <c r="R774" s="991">
        <f t="shared" ca="1" si="187"/>
        <v>16569</v>
      </c>
      <c r="S774" s="552">
        <f t="shared" ca="1" si="188"/>
        <v>1463208</v>
      </c>
      <c r="T774" s="2010">
        <f t="shared" ca="1" si="189"/>
        <v>146</v>
      </c>
      <c r="U774" s="2305">
        <f t="shared" si="190"/>
        <v>0</v>
      </c>
      <c r="V774" s="2305">
        <f t="shared" si="191"/>
        <v>0</v>
      </c>
      <c r="W774" s="2300"/>
      <c r="X774" s="2305">
        <f t="shared" si="192"/>
        <v>0</v>
      </c>
      <c r="Y774" s="2305">
        <f t="shared" si="193"/>
        <v>0</v>
      </c>
      <c r="Z774" s="2300"/>
    </row>
    <row r="775" spans="1:26">
      <c r="A775" s="292" t="str">
        <f>'7.15'!B753</f>
        <v>12幢2单元1902室</v>
      </c>
      <c r="B775" s="207">
        <f>'7.17'!G753</f>
        <v>88.31</v>
      </c>
      <c r="C775" s="197">
        <f t="shared" si="179"/>
        <v>1</v>
      </c>
      <c r="D775" s="995" t="s">
        <v>7609</v>
      </c>
      <c r="E775" s="197">
        <f t="shared" si="180"/>
        <v>1.04</v>
      </c>
      <c r="F775" s="995" t="str">
        <f>'7.15'!D753</f>
        <v>平层</v>
      </c>
      <c r="G775" s="197">
        <f t="shared" si="181"/>
        <v>1</v>
      </c>
      <c r="H775" s="995" t="str">
        <f>'7.15'!E753</f>
        <v>南北</v>
      </c>
      <c r="I775" s="197">
        <f t="shared" si="182"/>
        <v>1</v>
      </c>
      <c r="J775" s="995"/>
      <c r="K775" s="197">
        <f t="shared" si="183"/>
        <v>1</v>
      </c>
      <c r="L775" s="995"/>
      <c r="M775" s="197">
        <f t="shared" si="184"/>
        <v>1</v>
      </c>
      <c r="N775" s="995"/>
      <c r="O775" s="197">
        <f t="shared" si="185"/>
        <v>1</v>
      </c>
      <c r="P775" s="995"/>
      <c r="Q775" s="197">
        <f t="shared" si="186"/>
        <v>1</v>
      </c>
      <c r="R775" s="991">
        <f t="shared" ca="1" si="187"/>
        <v>16569</v>
      </c>
      <c r="S775" s="552">
        <f t="shared" ca="1" si="188"/>
        <v>1463208</v>
      </c>
      <c r="T775" s="2010">
        <f t="shared" ca="1" si="189"/>
        <v>146</v>
      </c>
      <c r="U775" s="2305">
        <f t="shared" si="190"/>
        <v>0</v>
      </c>
      <c r="V775" s="2305">
        <f t="shared" si="191"/>
        <v>0</v>
      </c>
      <c r="W775" s="2300"/>
      <c r="X775" s="2305">
        <f t="shared" si="192"/>
        <v>0</v>
      </c>
      <c r="Y775" s="2305">
        <f t="shared" si="193"/>
        <v>0</v>
      </c>
      <c r="Z775" s="2300"/>
    </row>
    <row r="776" spans="1:26">
      <c r="A776" s="292" t="str">
        <f>'7.15'!B754</f>
        <v>12幢2单元2002室</v>
      </c>
      <c r="B776" s="207">
        <f>'7.17'!G754</f>
        <v>88.31</v>
      </c>
      <c r="C776" s="197">
        <f t="shared" si="179"/>
        <v>1</v>
      </c>
      <c r="D776" s="995" t="s">
        <v>7609</v>
      </c>
      <c r="E776" s="197">
        <f t="shared" si="180"/>
        <v>1.04</v>
      </c>
      <c r="F776" s="995" t="str">
        <f>'7.15'!D754</f>
        <v>平层</v>
      </c>
      <c r="G776" s="197">
        <f t="shared" si="181"/>
        <v>1</v>
      </c>
      <c r="H776" s="995" t="str">
        <f>'7.15'!E754</f>
        <v>南北</v>
      </c>
      <c r="I776" s="197">
        <f t="shared" si="182"/>
        <v>1</v>
      </c>
      <c r="J776" s="995"/>
      <c r="K776" s="197">
        <f t="shared" si="183"/>
        <v>1</v>
      </c>
      <c r="L776" s="995"/>
      <c r="M776" s="197">
        <f t="shared" si="184"/>
        <v>1</v>
      </c>
      <c r="N776" s="995"/>
      <c r="O776" s="197">
        <f t="shared" si="185"/>
        <v>1</v>
      </c>
      <c r="P776" s="995"/>
      <c r="Q776" s="197">
        <f t="shared" si="186"/>
        <v>1</v>
      </c>
      <c r="R776" s="991">
        <f t="shared" ca="1" si="187"/>
        <v>16569</v>
      </c>
      <c r="S776" s="552">
        <f t="shared" ca="1" si="188"/>
        <v>1463208</v>
      </c>
      <c r="T776" s="2010">
        <f t="shared" ca="1" si="189"/>
        <v>146</v>
      </c>
      <c r="U776" s="2305">
        <f t="shared" si="190"/>
        <v>0</v>
      </c>
      <c r="V776" s="2305">
        <f t="shared" si="191"/>
        <v>0</v>
      </c>
      <c r="W776" s="2300"/>
      <c r="X776" s="2305">
        <f t="shared" si="192"/>
        <v>0</v>
      </c>
      <c r="Y776" s="2305">
        <f t="shared" si="193"/>
        <v>0</v>
      </c>
      <c r="Z776" s="2300"/>
    </row>
    <row r="777" spans="1:26">
      <c r="A777" s="292" t="str">
        <f>'7.15'!B755</f>
        <v>12幢2单元2102室</v>
      </c>
      <c r="B777" s="207">
        <f>'7.17'!G755</f>
        <v>88.31</v>
      </c>
      <c r="C777" s="197">
        <f t="shared" si="179"/>
        <v>1</v>
      </c>
      <c r="D777" s="995" t="s">
        <v>7608</v>
      </c>
      <c r="E777" s="197">
        <f t="shared" si="180"/>
        <v>1.02</v>
      </c>
      <c r="F777" s="995" t="str">
        <f>'7.15'!D755</f>
        <v>平层</v>
      </c>
      <c r="G777" s="197">
        <f t="shared" si="181"/>
        <v>1</v>
      </c>
      <c r="H777" s="995" t="str">
        <f>'7.15'!E755</f>
        <v>南北</v>
      </c>
      <c r="I777" s="197">
        <f t="shared" si="182"/>
        <v>1</v>
      </c>
      <c r="J777" s="995"/>
      <c r="K777" s="197">
        <f t="shared" si="183"/>
        <v>1</v>
      </c>
      <c r="L777" s="995"/>
      <c r="M777" s="197">
        <f t="shared" si="184"/>
        <v>1</v>
      </c>
      <c r="N777" s="995"/>
      <c r="O777" s="197">
        <f t="shared" si="185"/>
        <v>1</v>
      </c>
      <c r="P777" s="995"/>
      <c r="Q777" s="197">
        <f t="shared" si="186"/>
        <v>1</v>
      </c>
      <c r="R777" s="991">
        <f t="shared" ca="1" si="187"/>
        <v>16251</v>
      </c>
      <c r="S777" s="552">
        <f t="shared" ca="1" si="188"/>
        <v>1435126</v>
      </c>
      <c r="T777" s="2010">
        <f t="shared" ca="1" si="189"/>
        <v>144</v>
      </c>
      <c r="U777" s="2305">
        <f t="shared" si="190"/>
        <v>0</v>
      </c>
      <c r="V777" s="2305">
        <f t="shared" si="191"/>
        <v>0</v>
      </c>
      <c r="W777" s="2300"/>
      <c r="X777" s="2305">
        <f t="shared" si="192"/>
        <v>0</v>
      </c>
      <c r="Y777" s="2305">
        <f t="shared" si="193"/>
        <v>0</v>
      </c>
      <c r="Z777" s="2300"/>
    </row>
    <row r="778" spans="1:26">
      <c r="A778" s="292" t="str">
        <f>'7.15'!B756</f>
        <v>12幢2单元2202室</v>
      </c>
      <c r="B778" s="207">
        <f>'7.17'!G756</f>
        <v>88.31</v>
      </c>
      <c r="C778" s="197">
        <f t="shared" si="179"/>
        <v>1</v>
      </c>
      <c r="D778" s="995" t="s">
        <v>7608</v>
      </c>
      <c r="E778" s="197">
        <f t="shared" si="180"/>
        <v>1.02</v>
      </c>
      <c r="F778" s="995" t="str">
        <f>'7.15'!D756</f>
        <v>平层</v>
      </c>
      <c r="G778" s="197">
        <f t="shared" si="181"/>
        <v>1</v>
      </c>
      <c r="H778" s="995" t="str">
        <f>'7.15'!E756</f>
        <v>南北</v>
      </c>
      <c r="I778" s="197">
        <f t="shared" si="182"/>
        <v>1</v>
      </c>
      <c r="J778" s="995"/>
      <c r="K778" s="197">
        <f t="shared" si="183"/>
        <v>1</v>
      </c>
      <c r="L778" s="995"/>
      <c r="M778" s="197">
        <f t="shared" si="184"/>
        <v>1</v>
      </c>
      <c r="N778" s="995"/>
      <c r="O778" s="197">
        <f t="shared" si="185"/>
        <v>1</v>
      </c>
      <c r="P778" s="995"/>
      <c r="Q778" s="197">
        <f t="shared" si="186"/>
        <v>1</v>
      </c>
      <c r="R778" s="991">
        <f t="shared" ca="1" si="187"/>
        <v>16251</v>
      </c>
      <c r="S778" s="552">
        <f t="shared" ca="1" si="188"/>
        <v>1435126</v>
      </c>
      <c r="T778" s="2010">
        <f t="shared" ca="1" si="189"/>
        <v>144</v>
      </c>
      <c r="U778" s="2305">
        <f t="shared" si="190"/>
        <v>0</v>
      </c>
      <c r="V778" s="2305">
        <f t="shared" si="191"/>
        <v>0</v>
      </c>
      <c r="W778" s="2300"/>
      <c r="X778" s="2305">
        <f t="shared" si="192"/>
        <v>0</v>
      </c>
      <c r="Y778" s="2305">
        <f t="shared" si="193"/>
        <v>0</v>
      </c>
      <c r="Z778" s="2300"/>
    </row>
    <row r="779" spans="1:26">
      <c r="A779" s="292" t="str">
        <f>'7.15'!B757</f>
        <v>12幢2单元2302室</v>
      </c>
      <c r="B779" s="207">
        <f>'7.17'!G757</f>
        <v>88.31</v>
      </c>
      <c r="C779" s="197">
        <f t="shared" si="179"/>
        <v>1</v>
      </c>
      <c r="D779" s="995" t="s">
        <v>7608</v>
      </c>
      <c r="E779" s="197">
        <f t="shared" si="180"/>
        <v>1.02</v>
      </c>
      <c r="F779" s="995" t="str">
        <f>'7.15'!D757</f>
        <v>平层</v>
      </c>
      <c r="G779" s="197">
        <f t="shared" si="181"/>
        <v>1</v>
      </c>
      <c r="H779" s="995" t="str">
        <f>'7.15'!E757</f>
        <v>南北</v>
      </c>
      <c r="I779" s="197">
        <f t="shared" si="182"/>
        <v>1</v>
      </c>
      <c r="J779" s="995"/>
      <c r="K779" s="197">
        <f t="shared" si="183"/>
        <v>1</v>
      </c>
      <c r="L779" s="995"/>
      <c r="M779" s="197">
        <f t="shared" si="184"/>
        <v>1</v>
      </c>
      <c r="N779" s="995"/>
      <c r="O779" s="197">
        <f t="shared" si="185"/>
        <v>1</v>
      </c>
      <c r="P779" s="995"/>
      <c r="Q779" s="197">
        <f t="shared" si="186"/>
        <v>1</v>
      </c>
      <c r="R779" s="991">
        <f t="shared" ca="1" si="187"/>
        <v>16251</v>
      </c>
      <c r="S779" s="552">
        <f t="shared" ca="1" si="188"/>
        <v>1435126</v>
      </c>
      <c r="T779" s="2010">
        <f t="shared" ca="1" si="189"/>
        <v>144</v>
      </c>
      <c r="U779" s="2305">
        <f t="shared" si="190"/>
        <v>0</v>
      </c>
      <c r="V779" s="2305">
        <f t="shared" si="191"/>
        <v>0</v>
      </c>
      <c r="W779" s="2300"/>
      <c r="X779" s="2305">
        <f t="shared" si="192"/>
        <v>0</v>
      </c>
      <c r="Y779" s="2305">
        <f t="shared" si="193"/>
        <v>0</v>
      </c>
      <c r="Z779" s="2300"/>
    </row>
    <row r="780" spans="1:26">
      <c r="A780" s="292" t="str">
        <f>'7.15'!B758</f>
        <v>12幢2单元2402室</v>
      </c>
      <c r="B780" s="207">
        <f>'7.17'!G758</f>
        <v>88.31</v>
      </c>
      <c r="C780" s="197">
        <f t="shared" si="179"/>
        <v>1</v>
      </c>
      <c r="D780" s="995" t="s">
        <v>7608</v>
      </c>
      <c r="E780" s="197">
        <f t="shared" si="180"/>
        <v>1.02</v>
      </c>
      <c r="F780" s="995" t="str">
        <f>'7.15'!D758</f>
        <v>平层</v>
      </c>
      <c r="G780" s="197">
        <f t="shared" si="181"/>
        <v>1</v>
      </c>
      <c r="H780" s="995" t="str">
        <f>'7.15'!E758</f>
        <v>南北</v>
      </c>
      <c r="I780" s="197">
        <f t="shared" si="182"/>
        <v>1</v>
      </c>
      <c r="J780" s="995"/>
      <c r="K780" s="197">
        <f t="shared" si="183"/>
        <v>1</v>
      </c>
      <c r="L780" s="995"/>
      <c r="M780" s="197">
        <f t="shared" si="184"/>
        <v>1</v>
      </c>
      <c r="N780" s="995"/>
      <c r="O780" s="197">
        <f t="shared" si="185"/>
        <v>1</v>
      </c>
      <c r="P780" s="995"/>
      <c r="Q780" s="197">
        <f t="shared" si="186"/>
        <v>1</v>
      </c>
      <c r="R780" s="991">
        <f t="shared" ca="1" si="187"/>
        <v>16251</v>
      </c>
      <c r="S780" s="552">
        <f t="shared" ca="1" si="188"/>
        <v>1435126</v>
      </c>
      <c r="T780" s="2010">
        <f t="shared" ca="1" si="189"/>
        <v>144</v>
      </c>
      <c r="U780" s="2305">
        <f t="shared" si="190"/>
        <v>0</v>
      </c>
      <c r="V780" s="2305">
        <f t="shared" si="191"/>
        <v>0</v>
      </c>
      <c r="W780" s="2300"/>
      <c r="X780" s="2305">
        <f t="shared" si="192"/>
        <v>0</v>
      </c>
      <c r="Y780" s="2305">
        <f t="shared" si="193"/>
        <v>0</v>
      </c>
      <c r="Z780" s="2300"/>
    </row>
    <row r="781" spans="1:26">
      <c r="A781" s="292" t="str">
        <f>'7.15'!B759</f>
        <v>12幢2单元2502室</v>
      </c>
      <c r="B781" s="207">
        <f>'7.17'!G759</f>
        <v>88.31</v>
      </c>
      <c r="C781" s="197">
        <f t="shared" si="179"/>
        <v>1</v>
      </c>
      <c r="D781" s="995" t="s">
        <v>7608</v>
      </c>
      <c r="E781" s="197">
        <f t="shared" si="180"/>
        <v>1.02</v>
      </c>
      <c r="F781" s="995" t="str">
        <f>'7.15'!D759</f>
        <v>平层</v>
      </c>
      <c r="G781" s="197">
        <f t="shared" si="181"/>
        <v>1</v>
      </c>
      <c r="H781" s="995" t="str">
        <f>'7.15'!E759</f>
        <v>南北</v>
      </c>
      <c r="I781" s="197">
        <f t="shared" si="182"/>
        <v>1</v>
      </c>
      <c r="J781" s="995"/>
      <c r="K781" s="197">
        <f t="shared" si="183"/>
        <v>1</v>
      </c>
      <c r="L781" s="995"/>
      <c r="M781" s="197">
        <f t="shared" si="184"/>
        <v>1</v>
      </c>
      <c r="N781" s="995"/>
      <c r="O781" s="197">
        <f t="shared" si="185"/>
        <v>1</v>
      </c>
      <c r="P781" s="995"/>
      <c r="Q781" s="197">
        <f t="shared" si="186"/>
        <v>1</v>
      </c>
      <c r="R781" s="991">
        <f t="shared" ca="1" si="187"/>
        <v>16251</v>
      </c>
      <c r="S781" s="552">
        <f t="shared" ca="1" si="188"/>
        <v>1435126</v>
      </c>
      <c r="T781" s="2010">
        <f t="shared" ca="1" si="189"/>
        <v>144</v>
      </c>
      <c r="U781" s="2305">
        <f t="shared" si="190"/>
        <v>0</v>
      </c>
      <c r="V781" s="2305">
        <f t="shared" si="191"/>
        <v>0</v>
      </c>
      <c r="W781" s="2300"/>
      <c r="X781" s="2305">
        <f t="shared" si="192"/>
        <v>0</v>
      </c>
      <c r="Y781" s="2305">
        <f t="shared" si="193"/>
        <v>0</v>
      </c>
      <c r="Z781" s="2300"/>
    </row>
    <row r="782" spans="1:26">
      <c r="A782" s="292" t="str">
        <f>'7.15'!B760</f>
        <v>12幢2单元2602室</v>
      </c>
      <c r="B782" s="207">
        <f>'7.17'!G760</f>
        <v>88.31</v>
      </c>
      <c r="C782" s="197">
        <f t="shared" si="179"/>
        <v>1</v>
      </c>
      <c r="D782" s="995" t="s">
        <v>7608</v>
      </c>
      <c r="E782" s="197">
        <f t="shared" si="180"/>
        <v>1.02</v>
      </c>
      <c r="F782" s="995" t="str">
        <f>'7.15'!D760</f>
        <v>平层</v>
      </c>
      <c r="G782" s="197">
        <f t="shared" si="181"/>
        <v>1</v>
      </c>
      <c r="H782" s="995" t="str">
        <f>'7.15'!E760</f>
        <v>南北</v>
      </c>
      <c r="I782" s="197">
        <f t="shared" si="182"/>
        <v>1</v>
      </c>
      <c r="J782" s="995"/>
      <c r="K782" s="197">
        <f t="shared" si="183"/>
        <v>1</v>
      </c>
      <c r="L782" s="995"/>
      <c r="M782" s="197">
        <f t="shared" si="184"/>
        <v>1</v>
      </c>
      <c r="N782" s="995"/>
      <c r="O782" s="197">
        <f t="shared" si="185"/>
        <v>1</v>
      </c>
      <c r="P782" s="995"/>
      <c r="Q782" s="197">
        <f t="shared" si="186"/>
        <v>1</v>
      </c>
      <c r="R782" s="991">
        <f t="shared" ca="1" si="187"/>
        <v>16251</v>
      </c>
      <c r="S782" s="552">
        <f t="shared" ca="1" si="188"/>
        <v>1435126</v>
      </c>
      <c r="T782" s="2010">
        <f t="shared" ca="1" si="189"/>
        <v>144</v>
      </c>
      <c r="U782" s="2305">
        <f t="shared" si="190"/>
        <v>0</v>
      </c>
      <c r="V782" s="2305">
        <f t="shared" si="191"/>
        <v>0</v>
      </c>
      <c r="W782" s="2300"/>
      <c r="X782" s="2305">
        <f t="shared" si="192"/>
        <v>0</v>
      </c>
      <c r="Y782" s="2305">
        <f t="shared" si="193"/>
        <v>0</v>
      </c>
      <c r="Z782" s="2300"/>
    </row>
    <row r="783" spans="1:26">
      <c r="A783" s="292" t="str">
        <f>'7.15'!B761</f>
        <v>12幢2单元2702室</v>
      </c>
      <c r="B783" s="207">
        <f>'7.17'!G761</f>
        <v>88.31</v>
      </c>
      <c r="C783" s="197">
        <f t="shared" si="179"/>
        <v>1</v>
      </c>
      <c r="D783" s="995" t="s">
        <v>7608</v>
      </c>
      <c r="E783" s="197">
        <f t="shared" si="180"/>
        <v>1.02</v>
      </c>
      <c r="F783" s="995" t="str">
        <f>'7.15'!D761</f>
        <v>平层</v>
      </c>
      <c r="G783" s="197">
        <f t="shared" si="181"/>
        <v>1</v>
      </c>
      <c r="H783" s="995" t="str">
        <f>'7.15'!E761</f>
        <v>南北</v>
      </c>
      <c r="I783" s="197">
        <f t="shared" si="182"/>
        <v>1</v>
      </c>
      <c r="J783" s="995"/>
      <c r="K783" s="197">
        <f t="shared" si="183"/>
        <v>1</v>
      </c>
      <c r="L783" s="995"/>
      <c r="M783" s="197">
        <f t="shared" si="184"/>
        <v>1</v>
      </c>
      <c r="N783" s="995"/>
      <c r="O783" s="197">
        <f t="shared" si="185"/>
        <v>1</v>
      </c>
      <c r="P783" s="995"/>
      <c r="Q783" s="197">
        <f t="shared" si="186"/>
        <v>1</v>
      </c>
      <c r="R783" s="991">
        <f t="shared" ca="1" si="187"/>
        <v>16251</v>
      </c>
      <c r="S783" s="552">
        <f t="shared" ca="1" si="188"/>
        <v>1435126</v>
      </c>
      <c r="T783" s="2010">
        <f t="shared" ca="1" si="189"/>
        <v>144</v>
      </c>
      <c r="U783" s="2305">
        <f t="shared" si="190"/>
        <v>0</v>
      </c>
      <c r="V783" s="2305">
        <f t="shared" si="191"/>
        <v>0</v>
      </c>
      <c r="W783" s="2300"/>
      <c r="X783" s="2305">
        <f t="shared" si="192"/>
        <v>0</v>
      </c>
      <c r="Y783" s="2305">
        <f t="shared" si="193"/>
        <v>0</v>
      </c>
      <c r="Z783" s="2300"/>
    </row>
    <row r="784" spans="1:26">
      <c r="A784" s="292" t="str">
        <f>'7.15'!B762</f>
        <v>12幢2单元2802室</v>
      </c>
      <c r="B784" s="207">
        <f>'7.17'!G762</f>
        <v>88.31</v>
      </c>
      <c r="C784" s="197">
        <f t="shared" ref="C784:C847" si="194">IF(B784="",1,(LOOKUP(B784,$6:$6,$7:$7)-LOOKUP($B$27,$6:$6,$7:$7)+100)/100)</f>
        <v>1</v>
      </c>
      <c r="D784" s="995" t="s">
        <v>7608</v>
      </c>
      <c r="E784" s="197">
        <f t="shared" ref="E784:E847" si="195">(SUMIF($8:$8,D784,$9:$9)-SUMIF($8:$8,$D$27,$9:$9)+100)/100</f>
        <v>1.02</v>
      </c>
      <c r="F784" s="995" t="str">
        <f>'7.15'!D762</f>
        <v>平层</v>
      </c>
      <c r="G784" s="197">
        <f t="shared" ref="G784:G847" si="196">(SUMIF($10:$10,F784,$11:$11)-SUMIF($10:$10,$F$27,$11:$11)+100)/100</f>
        <v>1</v>
      </c>
      <c r="H784" s="995" t="str">
        <f>'7.15'!E762</f>
        <v>南北</v>
      </c>
      <c r="I784" s="197">
        <f t="shared" ref="I784:I847" si="197">(SUMIF($12:$12,H784,$13:$13)-SUMIF($12:$12,$H$27,$13:$13)+100)/100</f>
        <v>1</v>
      </c>
      <c r="J784" s="995"/>
      <c r="K784" s="197">
        <f t="shared" ref="K784:K847" si="198">(SUMIF($14:$14,J784,$15:$15)-SUMIF($14:$14,$J$27,$15:$15)+100)/100</f>
        <v>1</v>
      </c>
      <c r="L784" s="995"/>
      <c r="M784" s="197">
        <f t="shared" ref="M784:M847" si="199">(SUMIF($16:$16,L784,$17:$17)-SUMIF($16:$16,$L$27,$17:$17)+100)/100</f>
        <v>1</v>
      </c>
      <c r="N784" s="995"/>
      <c r="O784" s="197">
        <f t="shared" ref="O784:O847" si="200">(SUMIF($18:$18,N784,$19:$19)-SUMIF($18:$18,$N$27,$19:$19)+100)/100</f>
        <v>1</v>
      </c>
      <c r="P784" s="995"/>
      <c r="Q784" s="197">
        <f t="shared" ref="Q784:Q847" si="201">(SUMIF($20:$20,P784,$21:$21)-SUMIF($20:$20,$P$27,$21:$21)+100)/100</f>
        <v>1</v>
      </c>
      <c r="R784" s="991">
        <f t="shared" ref="R784:R847" ca="1" si="202">IF(B784="",0,ROUND($R$27*C784*E784*G784*I784*K784*M784*O784*Q784,0))</f>
        <v>16251</v>
      </c>
      <c r="S784" s="552">
        <f t="shared" ref="S784:S847" ca="1" si="203">ROUND(R784*B784,0)</f>
        <v>1435126</v>
      </c>
      <c r="T784" s="2010">
        <f t="shared" ref="T784:T847" ca="1" si="204">ROUND(R784*B784/10000,0)</f>
        <v>144</v>
      </c>
      <c r="U784" s="2305">
        <f t="shared" ref="U784:U847" si="205">ROUND(W784*B784,0)</f>
        <v>0</v>
      </c>
      <c r="V784" s="2305">
        <f t="shared" ref="V784:V847" si="206">ROUND(W784*B784/10000,0)</f>
        <v>0</v>
      </c>
      <c r="W784" s="2300"/>
      <c r="X784" s="2305">
        <f t="shared" ref="X784:X847" si="207">ROUND(Z784*B784,0)</f>
        <v>0</v>
      </c>
      <c r="Y784" s="2305">
        <f t="shared" ref="Y784:Y847" si="208">ROUND(Z784*B784/10000,0)</f>
        <v>0</v>
      </c>
      <c r="Z784" s="2300"/>
    </row>
    <row r="785" spans="1:26">
      <c r="A785" s="292" t="str">
        <f>'7.15'!B763</f>
        <v>12幢2单元2902室</v>
      </c>
      <c r="B785" s="207">
        <f>'7.17'!G763</f>
        <v>88.31</v>
      </c>
      <c r="C785" s="197">
        <f t="shared" si="194"/>
        <v>1</v>
      </c>
      <c r="D785" s="995" t="s">
        <v>7608</v>
      </c>
      <c r="E785" s="197">
        <f t="shared" si="195"/>
        <v>1.02</v>
      </c>
      <c r="F785" s="995" t="str">
        <f>'7.15'!D763</f>
        <v>平层</v>
      </c>
      <c r="G785" s="197">
        <f t="shared" si="196"/>
        <v>1</v>
      </c>
      <c r="H785" s="995" t="str">
        <f>'7.15'!E763</f>
        <v>南北</v>
      </c>
      <c r="I785" s="197">
        <f t="shared" si="197"/>
        <v>1</v>
      </c>
      <c r="J785" s="995"/>
      <c r="K785" s="197">
        <f t="shared" si="198"/>
        <v>1</v>
      </c>
      <c r="L785" s="995"/>
      <c r="M785" s="197">
        <f t="shared" si="199"/>
        <v>1</v>
      </c>
      <c r="N785" s="995"/>
      <c r="O785" s="197">
        <f t="shared" si="200"/>
        <v>1</v>
      </c>
      <c r="P785" s="995"/>
      <c r="Q785" s="197">
        <f t="shared" si="201"/>
        <v>1</v>
      </c>
      <c r="R785" s="991">
        <f t="shared" ca="1" si="202"/>
        <v>16251</v>
      </c>
      <c r="S785" s="552">
        <f t="shared" ca="1" si="203"/>
        <v>1435126</v>
      </c>
      <c r="T785" s="2010">
        <f t="shared" ca="1" si="204"/>
        <v>144</v>
      </c>
      <c r="U785" s="2305">
        <f t="shared" si="205"/>
        <v>0</v>
      </c>
      <c r="V785" s="2305">
        <f t="shared" si="206"/>
        <v>0</v>
      </c>
      <c r="W785" s="2300"/>
      <c r="X785" s="2305">
        <f t="shared" si="207"/>
        <v>0</v>
      </c>
      <c r="Y785" s="2305">
        <f t="shared" si="208"/>
        <v>0</v>
      </c>
      <c r="Z785" s="2300"/>
    </row>
    <row r="786" spans="1:26">
      <c r="A786" s="292" t="str">
        <f>'7.15'!B764</f>
        <v>12幢2单元3002室</v>
      </c>
      <c r="B786" s="207">
        <f>'7.17'!G764</f>
        <v>88.31</v>
      </c>
      <c r="C786" s="197">
        <f t="shared" si="194"/>
        <v>1</v>
      </c>
      <c r="D786" s="995" t="s">
        <v>7608</v>
      </c>
      <c r="E786" s="197">
        <f t="shared" si="195"/>
        <v>1.02</v>
      </c>
      <c r="F786" s="995" t="str">
        <f>'7.15'!D764</f>
        <v>平层</v>
      </c>
      <c r="G786" s="197">
        <f t="shared" si="196"/>
        <v>1</v>
      </c>
      <c r="H786" s="995" t="str">
        <f>'7.15'!E764</f>
        <v>南北</v>
      </c>
      <c r="I786" s="197">
        <f t="shared" si="197"/>
        <v>1</v>
      </c>
      <c r="J786" s="995"/>
      <c r="K786" s="197">
        <f t="shared" si="198"/>
        <v>1</v>
      </c>
      <c r="L786" s="995"/>
      <c r="M786" s="197">
        <f t="shared" si="199"/>
        <v>1</v>
      </c>
      <c r="N786" s="995"/>
      <c r="O786" s="197">
        <f t="shared" si="200"/>
        <v>1</v>
      </c>
      <c r="P786" s="995"/>
      <c r="Q786" s="197">
        <f t="shared" si="201"/>
        <v>1</v>
      </c>
      <c r="R786" s="991">
        <f t="shared" ca="1" si="202"/>
        <v>16251</v>
      </c>
      <c r="S786" s="552">
        <f t="shared" ca="1" si="203"/>
        <v>1435126</v>
      </c>
      <c r="T786" s="2010">
        <f t="shared" ca="1" si="204"/>
        <v>144</v>
      </c>
      <c r="U786" s="2305">
        <f t="shared" si="205"/>
        <v>0</v>
      </c>
      <c r="V786" s="2305">
        <f t="shared" si="206"/>
        <v>0</v>
      </c>
      <c r="W786" s="2300"/>
      <c r="X786" s="2305">
        <f t="shared" si="207"/>
        <v>0</v>
      </c>
      <c r="Y786" s="2305">
        <f t="shared" si="208"/>
        <v>0</v>
      </c>
      <c r="Z786" s="2300"/>
    </row>
    <row r="787" spans="1:26">
      <c r="A787" s="292" t="str">
        <f>'7.15'!B765</f>
        <v>12幢2单元203室</v>
      </c>
      <c r="B787" s="207">
        <f>'7.17'!G765</f>
        <v>88.18</v>
      </c>
      <c r="C787" s="197">
        <f t="shared" si="194"/>
        <v>1</v>
      </c>
      <c r="D787" s="995" t="s">
        <v>7606</v>
      </c>
      <c r="E787" s="197">
        <f t="shared" si="195"/>
        <v>1</v>
      </c>
      <c r="F787" s="995" t="str">
        <f>'7.15'!D765</f>
        <v>平层</v>
      </c>
      <c r="G787" s="197">
        <f t="shared" si="196"/>
        <v>1</v>
      </c>
      <c r="H787" s="995" t="str">
        <f>'7.15'!E765</f>
        <v>南北</v>
      </c>
      <c r="I787" s="197">
        <f t="shared" si="197"/>
        <v>1</v>
      </c>
      <c r="J787" s="995"/>
      <c r="K787" s="197">
        <f t="shared" si="198"/>
        <v>1</v>
      </c>
      <c r="L787" s="995"/>
      <c r="M787" s="197">
        <f t="shared" si="199"/>
        <v>1</v>
      </c>
      <c r="N787" s="995"/>
      <c r="O787" s="197">
        <f t="shared" si="200"/>
        <v>1</v>
      </c>
      <c r="P787" s="995"/>
      <c r="Q787" s="197">
        <f t="shared" si="201"/>
        <v>1</v>
      </c>
      <c r="R787" s="991">
        <f t="shared" ca="1" si="202"/>
        <v>15932</v>
      </c>
      <c r="S787" s="552">
        <f t="shared" ca="1" si="203"/>
        <v>1404884</v>
      </c>
      <c r="T787" s="2010">
        <f t="shared" ca="1" si="204"/>
        <v>140</v>
      </c>
      <c r="U787" s="2305">
        <f t="shared" si="205"/>
        <v>0</v>
      </c>
      <c r="V787" s="2305">
        <f t="shared" si="206"/>
        <v>0</v>
      </c>
      <c r="W787" s="2300"/>
      <c r="X787" s="2305">
        <f t="shared" si="207"/>
        <v>0</v>
      </c>
      <c r="Y787" s="2305">
        <f t="shared" si="208"/>
        <v>0</v>
      </c>
      <c r="Z787" s="2300"/>
    </row>
    <row r="788" spans="1:26">
      <c r="A788" s="292" t="str">
        <f>'7.15'!B766</f>
        <v>12幢2单元303室</v>
      </c>
      <c r="B788" s="207">
        <f>'7.17'!G766</f>
        <v>88.18</v>
      </c>
      <c r="C788" s="197">
        <f t="shared" si="194"/>
        <v>1</v>
      </c>
      <c r="D788" s="995" t="s">
        <v>7606</v>
      </c>
      <c r="E788" s="197">
        <f t="shared" si="195"/>
        <v>1</v>
      </c>
      <c r="F788" s="995" t="str">
        <f>'7.15'!D766</f>
        <v>平层</v>
      </c>
      <c r="G788" s="197">
        <f t="shared" si="196"/>
        <v>1</v>
      </c>
      <c r="H788" s="995" t="str">
        <f>'7.15'!E766</f>
        <v>南北</v>
      </c>
      <c r="I788" s="197">
        <f t="shared" si="197"/>
        <v>1</v>
      </c>
      <c r="J788" s="995"/>
      <c r="K788" s="197">
        <f t="shared" si="198"/>
        <v>1</v>
      </c>
      <c r="L788" s="995"/>
      <c r="M788" s="197">
        <f t="shared" si="199"/>
        <v>1</v>
      </c>
      <c r="N788" s="995"/>
      <c r="O788" s="197">
        <f t="shared" si="200"/>
        <v>1</v>
      </c>
      <c r="P788" s="995"/>
      <c r="Q788" s="197">
        <f t="shared" si="201"/>
        <v>1</v>
      </c>
      <c r="R788" s="991">
        <f t="shared" ca="1" si="202"/>
        <v>15932</v>
      </c>
      <c r="S788" s="552">
        <f t="shared" ca="1" si="203"/>
        <v>1404884</v>
      </c>
      <c r="T788" s="2010">
        <f t="shared" ca="1" si="204"/>
        <v>140</v>
      </c>
      <c r="U788" s="2305">
        <f t="shared" si="205"/>
        <v>0</v>
      </c>
      <c r="V788" s="2305">
        <f t="shared" si="206"/>
        <v>0</v>
      </c>
      <c r="W788" s="2300"/>
      <c r="X788" s="2305">
        <f t="shared" si="207"/>
        <v>0</v>
      </c>
      <c r="Y788" s="2305">
        <f t="shared" si="208"/>
        <v>0</v>
      </c>
      <c r="Z788" s="2300"/>
    </row>
    <row r="789" spans="1:26">
      <c r="A789" s="292" t="str">
        <f>'7.15'!B767</f>
        <v>12幢2单元403室</v>
      </c>
      <c r="B789" s="207">
        <f>'7.17'!G767</f>
        <v>88.18</v>
      </c>
      <c r="C789" s="197">
        <f t="shared" si="194"/>
        <v>1</v>
      </c>
      <c r="D789" s="995" t="s">
        <v>7606</v>
      </c>
      <c r="E789" s="197">
        <f t="shared" si="195"/>
        <v>1</v>
      </c>
      <c r="F789" s="995" t="str">
        <f>'7.15'!D767</f>
        <v>平层</v>
      </c>
      <c r="G789" s="197">
        <f t="shared" si="196"/>
        <v>1</v>
      </c>
      <c r="H789" s="995" t="str">
        <f>'7.15'!E767</f>
        <v>南北</v>
      </c>
      <c r="I789" s="197">
        <f t="shared" si="197"/>
        <v>1</v>
      </c>
      <c r="J789" s="995"/>
      <c r="K789" s="197">
        <f t="shared" si="198"/>
        <v>1</v>
      </c>
      <c r="L789" s="995"/>
      <c r="M789" s="197">
        <f t="shared" si="199"/>
        <v>1</v>
      </c>
      <c r="N789" s="995"/>
      <c r="O789" s="197">
        <f t="shared" si="200"/>
        <v>1</v>
      </c>
      <c r="P789" s="995"/>
      <c r="Q789" s="197">
        <f t="shared" si="201"/>
        <v>1</v>
      </c>
      <c r="R789" s="991">
        <f t="shared" ca="1" si="202"/>
        <v>15932</v>
      </c>
      <c r="S789" s="552">
        <f t="shared" ca="1" si="203"/>
        <v>1404884</v>
      </c>
      <c r="T789" s="2010">
        <f t="shared" ca="1" si="204"/>
        <v>140</v>
      </c>
      <c r="U789" s="2305">
        <f t="shared" si="205"/>
        <v>0</v>
      </c>
      <c r="V789" s="2305">
        <f t="shared" si="206"/>
        <v>0</v>
      </c>
      <c r="W789" s="2300"/>
      <c r="X789" s="2305">
        <f t="shared" si="207"/>
        <v>0</v>
      </c>
      <c r="Y789" s="2305">
        <f t="shared" si="208"/>
        <v>0</v>
      </c>
      <c r="Z789" s="2300"/>
    </row>
    <row r="790" spans="1:26">
      <c r="A790" s="292" t="str">
        <f>'7.15'!B768</f>
        <v>12幢2单元503室</v>
      </c>
      <c r="B790" s="207">
        <f>'7.17'!G768</f>
        <v>88.18</v>
      </c>
      <c r="C790" s="197">
        <f t="shared" si="194"/>
        <v>1</v>
      </c>
      <c r="D790" s="995" t="s">
        <v>7606</v>
      </c>
      <c r="E790" s="197">
        <f t="shared" si="195"/>
        <v>1</v>
      </c>
      <c r="F790" s="995" t="str">
        <f>'7.15'!D768</f>
        <v>平层</v>
      </c>
      <c r="G790" s="197">
        <f t="shared" si="196"/>
        <v>1</v>
      </c>
      <c r="H790" s="995" t="str">
        <f>'7.15'!E768</f>
        <v>南北</v>
      </c>
      <c r="I790" s="197">
        <f t="shared" si="197"/>
        <v>1</v>
      </c>
      <c r="J790" s="995"/>
      <c r="K790" s="197">
        <f t="shared" si="198"/>
        <v>1</v>
      </c>
      <c r="L790" s="995"/>
      <c r="M790" s="197">
        <f t="shared" si="199"/>
        <v>1</v>
      </c>
      <c r="N790" s="995"/>
      <c r="O790" s="197">
        <f t="shared" si="200"/>
        <v>1</v>
      </c>
      <c r="P790" s="995"/>
      <c r="Q790" s="197">
        <f t="shared" si="201"/>
        <v>1</v>
      </c>
      <c r="R790" s="991">
        <f t="shared" ca="1" si="202"/>
        <v>15932</v>
      </c>
      <c r="S790" s="552">
        <f t="shared" ca="1" si="203"/>
        <v>1404884</v>
      </c>
      <c r="T790" s="2010">
        <f t="shared" ca="1" si="204"/>
        <v>140</v>
      </c>
      <c r="U790" s="2305">
        <f t="shared" si="205"/>
        <v>0</v>
      </c>
      <c r="V790" s="2305">
        <f t="shared" si="206"/>
        <v>0</v>
      </c>
      <c r="W790" s="2300"/>
      <c r="X790" s="2305">
        <f t="shared" si="207"/>
        <v>0</v>
      </c>
      <c r="Y790" s="2305">
        <f t="shared" si="208"/>
        <v>0</v>
      </c>
      <c r="Z790" s="2300"/>
    </row>
    <row r="791" spans="1:26">
      <c r="A791" s="292" t="str">
        <f>'7.15'!B769</f>
        <v>12幢2单元603室</v>
      </c>
      <c r="B791" s="207">
        <f>'7.17'!G769</f>
        <v>88.18</v>
      </c>
      <c r="C791" s="197">
        <f t="shared" si="194"/>
        <v>1</v>
      </c>
      <c r="D791" s="995" t="s">
        <v>7606</v>
      </c>
      <c r="E791" s="197">
        <f t="shared" si="195"/>
        <v>1</v>
      </c>
      <c r="F791" s="995" t="str">
        <f>'7.15'!D769</f>
        <v>平层</v>
      </c>
      <c r="G791" s="197">
        <f t="shared" si="196"/>
        <v>1</v>
      </c>
      <c r="H791" s="995" t="str">
        <f>'7.15'!E769</f>
        <v>南北</v>
      </c>
      <c r="I791" s="197">
        <f t="shared" si="197"/>
        <v>1</v>
      </c>
      <c r="J791" s="995"/>
      <c r="K791" s="197">
        <f t="shared" si="198"/>
        <v>1</v>
      </c>
      <c r="L791" s="995"/>
      <c r="M791" s="197">
        <f t="shared" si="199"/>
        <v>1</v>
      </c>
      <c r="N791" s="995"/>
      <c r="O791" s="197">
        <f t="shared" si="200"/>
        <v>1</v>
      </c>
      <c r="P791" s="995"/>
      <c r="Q791" s="197">
        <f t="shared" si="201"/>
        <v>1</v>
      </c>
      <c r="R791" s="991">
        <f t="shared" ca="1" si="202"/>
        <v>15932</v>
      </c>
      <c r="S791" s="552">
        <f t="shared" ca="1" si="203"/>
        <v>1404884</v>
      </c>
      <c r="T791" s="2010">
        <f t="shared" ca="1" si="204"/>
        <v>140</v>
      </c>
      <c r="U791" s="2305">
        <f t="shared" si="205"/>
        <v>0</v>
      </c>
      <c r="V791" s="2305">
        <f t="shared" si="206"/>
        <v>0</v>
      </c>
      <c r="W791" s="2300"/>
      <c r="X791" s="2305">
        <f t="shared" si="207"/>
        <v>0</v>
      </c>
      <c r="Y791" s="2305">
        <f t="shared" si="208"/>
        <v>0</v>
      </c>
      <c r="Z791" s="2300"/>
    </row>
    <row r="792" spans="1:26">
      <c r="A792" s="292" t="str">
        <f>'7.15'!B770</f>
        <v>12幢2单元703室</v>
      </c>
      <c r="B792" s="207">
        <f>'7.17'!G770</f>
        <v>88.18</v>
      </c>
      <c r="C792" s="197">
        <f t="shared" si="194"/>
        <v>1</v>
      </c>
      <c r="D792" s="995" t="s">
        <v>7606</v>
      </c>
      <c r="E792" s="197">
        <f t="shared" si="195"/>
        <v>1</v>
      </c>
      <c r="F792" s="995" t="str">
        <f>'7.15'!D770</f>
        <v>平层</v>
      </c>
      <c r="G792" s="197">
        <f t="shared" si="196"/>
        <v>1</v>
      </c>
      <c r="H792" s="995" t="str">
        <f>'7.15'!E770</f>
        <v>南北</v>
      </c>
      <c r="I792" s="197">
        <f t="shared" si="197"/>
        <v>1</v>
      </c>
      <c r="J792" s="995"/>
      <c r="K792" s="197">
        <f t="shared" si="198"/>
        <v>1</v>
      </c>
      <c r="L792" s="995"/>
      <c r="M792" s="197">
        <f t="shared" si="199"/>
        <v>1</v>
      </c>
      <c r="N792" s="995"/>
      <c r="O792" s="197">
        <f t="shared" si="200"/>
        <v>1</v>
      </c>
      <c r="P792" s="995"/>
      <c r="Q792" s="197">
        <f t="shared" si="201"/>
        <v>1</v>
      </c>
      <c r="R792" s="991">
        <f t="shared" ca="1" si="202"/>
        <v>15932</v>
      </c>
      <c r="S792" s="552">
        <f t="shared" ca="1" si="203"/>
        <v>1404884</v>
      </c>
      <c r="T792" s="2010">
        <f t="shared" ca="1" si="204"/>
        <v>140</v>
      </c>
      <c r="U792" s="2305">
        <f t="shared" si="205"/>
        <v>0</v>
      </c>
      <c r="V792" s="2305">
        <f t="shared" si="206"/>
        <v>0</v>
      </c>
      <c r="W792" s="2300"/>
      <c r="X792" s="2305">
        <f t="shared" si="207"/>
        <v>0</v>
      </c>
      <c r="Y792" s="2305">
        <f t="shared" si="208"/>
        <v>0</v>
      </c>
      <c r="Z792" s="2300"/>
    </row>
    <row r="793" spans="1:26">
      <c r="A793" s="292" t="str">
        <f>'7.15'!B771</f>
        <v>12幢2单元803室</v>
      </c>
      <c r="B793" s="207">
        <f>'7.17'!G771</f>
        <v>88.18</v>
      </c>
      <c r="C793" s="197">
        <f t="shared" si="194"/>
        <v>1</v>
      </c>
      <c r="D793" s="995" t="s">
        <v>7606</v>
      </c>
      <c r="E793" s="197">
        <f t="shared" si="195"/>
        <v>1</v>
      </c>
      <c r="F793" s="995" t="str">
        <f>'7.15'!D771</f>
        <v>平层</v>
      </c>
      <c r="G793" s="197">
        <f t="shared" si="196"/>
        <v>1</v>
      </c>
      <c r="H793" s="995" t="str">
        <f>'7.15'!E771</f>
        <v>南北</v>
      </c>
      <c r="I793" s="197">
        <f t="shared" si="197"/>
        <v>1</v>
      </c>
      <c r="J793" s="995"/>
      <c r="K793" s="197">
        <f t="shared" si="198"/>
        <v>1</v>
      </c>
      <c r="L793" s="995"/>
      <c r="M793" s="197">
        <f t="shared" si="199"/>
        <v>1</v>
      </c>
      <c r="N793" s="995"/>
      <c r="O793" s="197">
        <f t="shared" si="200"/>
        <v>1</v>
      </c>
      <c r="P793" s="995"/>
      <c r="Q793" s="197">
        <f t="shared" si="201"/>
        <v>1</v>
      </c>
      <c r="R793" s="991">
        <f t="shared" ca="1" si="202"/>
        <v>15932</v>
      </c>
      <c r="S793" s="552">
        <f t="shared" ca="1" si="203"/>
        <v>1404884</v>
      </c>
      <c r="T793" s="2010">
        <f t="shared" ca="1" si="204"/>
        <v>140</v>
      </c>
      <c r="U793" s="2305">
        <f t="shared" si="205"/>
        <v>0</v>
      </c>
      <c r="V793" s="2305">
        <f t="shared" si="206"/>
        <v>0</v>
      </c>
      <c r="W793" s="2300"/>
      <c r="X793" s="2305">
        <f t="shared" si="207"/>
        <v>0</v>
      </c>
      <c r="Y793" s="2305">
        <f t="shared" si="208"/>
        <v>0</v>
      </c>
      <c r="Z793" s="2300"/>
    </row>
    <row r="794" spans="1:26">
      <c r="A794" s="292" t="str">
        <f>'7.15'!B772</f>
        <v>12幢2单元903室</v>
      </c>
      <c r="B794" s="207">
        <f>'7.17'!G772</f>
        <v>88.18</v>
      </c>
      <c r="C794" s="197">
        <f t="shared" si="194"/>
        <v>1</v>
      </c>
      <c r="D794" s="995" t="s">
        <v>7606</v>
      </c>
      <c r="E794" s="197">
        <f t="shared" si="195"/>
        <v>1</v>
      </c>
      <c r="F794" s="995" t="str">
        <f>'7.15'!D772</f>
        <v>平层</v>
      </c>
      <c r="G794" s="197">
        <f t="shared" si="196"/>
        <v>1</v>
      </c>
      <c r="H794" s="995" t="str">
        <f>'7.15'!E772</f>
        <v>南北</v>
      </c>
      <c r="I794" s="197">
        <f t="shared" si="197"/>
        <v>1</v>
      </c>
      <c r="J794" s="995"/>
      <c r="K794" s="197">
        <f t="shared" si="198"/>
        <v>1</v>
      </c>
      <c r="L794" s="995"/>
      <c r="M794" s="197">
        <f t="shared" si="199"/>
        <v>1</v>
      </c>
      <c r="N794" s="995"/>
      <c r="O794" s="197">
        <f t="shared" si="200"/>
        <v>1</v>
      </c>
      <c r="P794" s="995"/>
      <c r="Q794" s="197">
        <f t="shared" si="201"/>
        <v>1</v>
      </c>
      <c r="R794" s="991">
        <f t="shared" ca="1" si="202"/>
        <v>15932</v>
      </c>
      <c r="S794" s="552">
        <f t="shared" ca="1" si="203"/>
        <v>1404884</v>
      </c>
      <c r="T794" s="2010">
        <f t="shared" ca="1" si="204"/>
        <v>140</v>
      </c>
      <c r="U794" s="2305">
        <f t="shared" si="205"/>
        <v>0</v>
      </c>
      <c r="V794" s="2305">
        <f t="shared" si="206"/>
        <v>0</v>
      </c>
      <c r="W794" s="2300"/>
      <c r="X794" s="2305">
        <f t="shared" si="207"/>
        <v>0</v>
      </c>
      <c r="Y794" s="2305">
        <f t="shared" si="208"/>
        <v>0</v>
      </c>
      <c r="Z794" s="2300"/>
    </row>
    <row r="795" spans="1:26">
      <c r="A795" s="292" t="str">
        <f>'7.15'!B773</f>
        <v>12幢2单元1003室</v>
      </c>
      <c r="B795" s="207">
        <f>'7.17'!G773</f>
        <v>88.18</v>
      </c>
      <c r="C795" s="197">
        <f t="shared" si="194"/>
        <v>1</v>
      </c>
      <c r="D795" s="995" t="s">
        <v>7606</v>
      </c>
      <c r="E795" s="197">
        <f t="shared" si="195"/>
        <v>1</v>
      </c>
      <c r="F795" s="995" t="str">
        <f>'7.15'!D773</f>
        <v>平层</v>
      </c>
      <c r="G795" s="197">
        <f t="shared" si="196"/>
        <v>1</v>
      </c>
      <c r="H795" s="995" t="str">
        <f>'7.15'!E773</f>
        <v>南北</v>
      </c>
      <c r="I795" s="197">
        <f t="shared" si="197"/>
        <v>1</v>
      </c>
      <c r="J795" s="995"/>
      <c r="K795" s="197">
        <f t="shared" si="198"/>
        <v>1</v>
      </c>
      <c r="L795" s="995"/>
      <c r="M795" s="197">
        <f t="shared" si="199"/>
        <v>1</v>
      </c>
      <c r="N795" s="995"/>
      <c r="O795" s="197">
        <f t="shared" si="200"/>
        <v>1</v>
      </c>
      <c r="P795" s="995"/>
      <c r="Q795" s="197">
        <f t="shared" si="201"/>
        <v>1</v>
      </c>
      <c r="R795" s="991">
        <f t="shared" ca="1" si="202"/>
        <v>15932</v>
      </c>
      <c r="S795" s="552">
        <f t="shared" ca="1" si="203"/>
        <v>1404884</v>
      </c>
      <c r="T795" s="2010">
        <f t="shared" ca="1" si="204"/>
        <v>140</v>
      </c>
      <c r="U795" s="2305">
        <f t="shared" si="205"/>
        <v>0</v>
      </c>
      <c r="V795" s="2305">
        <f t="shared" si="206"/>
        <v>0</v>
      </c>
      <c r="W795" s="2300"/>
      <c r="X795" s="2305">
        <f t="shared" si="207"/>
        <v>0</v>
      </c>
      <c r="Y795" s="2305">
        <f t="shared" si="208"/>
        <v>0</v>
      </c>
      <c r="Z795" s="2300"/>
    </row>
    <row r="796" spans="1:26">
      <c r="A796" s="292" t="str">
        <f>'7.15'!B774</f>
        <v>12幢2单元1103室</v>
      </c>
      <c r="B796" s="207">
        <f>'7.17'!G774</f>
        <v>88.18</v>
      </c>
      <c r="C796" s="197">
        <f t="shared" si="194"/>
        <v>1</v>
      </c>
      <c r="D796" s="995" t="s">
        <v>7609</v>
      </c>
      <c r="E796" s="197">
        <f t="shared" si="195"/>
        <v>1.04</v>
      </c>
      <c r="F796" s="995" t="str">
        <f>'7.15'!D774</f>
        <v>平层</v>
      </c>
      <c r="G796" s="197">
        <f t="shared" si="196"/>
        <v>1</v>
      </c>
      <c r="H796" s="995" t="str">
        <f>'7.15'!E774</f>
        <v>南北</v>
      </c>
      <c r="I796" s="197">
        <f t="shared" si="197"/>
        <v>1</v>
      </c>
      <c r="J796" s="995"/>
      <c r="K796" s="197">
        <f t="shared" si="198"/>
        <v>1</v>
      </c>
      <c r="L796" s="995"/>
      <c r="M796" s="197">
        <f t="shared" si="199"/>
        <v>1</v>
      </c>
      <c r="N796" s="995"/>
      <c r="O796" s="197">
        <f t="shared" si="200"/>
        <v>1</v>
      </c>
      <c r="P796" s="995"/>
      <c r="Q796" s="197">
        <f t="shared" si="201"/>
        <v>1</v>
      </c>
      <c r="R796" s="991">
        <f t="shared" ca="1" si="202"/>
        <v>16569</v>
      </c>
      <c r="S796" s="552">
        <f t="shared" ca="1" si="203"/>
        <v>1461054</v>
      </c>
      <c r="T796" s="2010">
        <f t="shared" ca="1" si="204"/>
        <v>146</v>
      </c>
      <c r="U796" s="2305">
        <f t="shared" si="205"/>
        <v>0</v>
      </c>
      <c r="V796" s="2305">
        <f t="shared" si="206"/>
        <v>0</v>
      </c>
      <c r="W796" s="2300"/>
      <c r="X796" s="2305">
        <f t="shared" si="207"/>
        <v>0</v>
      </c>
      <c r="Y796" s="2305">
        <f t="shared" si="208"/>
        <v>0</v>
      </c>
      <c r="Z796" s="2300"/>
    </row>
    <row r="797" spans="1:26">
      <c r="A797" s="292" t="str">
        <f>'7.15'!B775</f>
        <v>12幢2单元1203室</v>
      </c>
      <c r="B797" s="207">
        <f>'7.17'!G775</f>
        <v>88.18</v>
      </c>
      <c r="C797" s="197">
        <f t="shared" si="194"/>
        <v>1</v>
      </c>
      <c r="D797" s="995" t="s">
        <v>7609</v>
      </c>
      <c r="E797" s="197">
        <f t="shared" si="195"/>
        <v>1.04</v>
      </c>
      <c r="F797" s="995" t="str">
        <f>'7.15'!D775</f>
        <v>平层</v>
      </c>
      <c r="G797" s="197">
        <f t="shared" si="196"/>
        <v>1</v>
      </c>
      <c r="H797" s="995" t="str">
        <f>'7.15'!E775</f>
        <v>南北</v>
      </c>
      <c r="I797" s="197">
        <f t="shared" si="197"/>
        <v>1</v>
      </c>
      <c r="J797" s="995"/>
      <c r="K797" s="197">
        <f t="shared" si="198"/>
        <v>1</v>
      </c>
      <c r="L797" s="995"/>
      <c r="M797" s="197">
        <f t="shared" si="199"/>
        <v>1</v>
      </c>
      <c r="N797" s="995"/>
      <c r="O797" s="197">
        <f t="shared" si="200"/>
        <v>1</v>
      </c>
      <c r="P797" s="995"/>
      <c r="Q797" s="197">
        <f t="shared" si="201"/>
        <v>1</v>
      </c>
      <c r="R797" s="991">
        <f t="shared" ca="1" si="202"/>
        <v>16569</v>
      </c>
      <c r="S797" s="552">
        <f t="shared" ca="1" si="203"/>
        <v>1461054</v>
      </c>
      <c r="T797" s="2010">
        <f t="shared" ca="1" si="204"/>
        <v>146</v>
      </c>
      <c r="U797" s="2305">
        <f t="shared" si="205"/>
        <v>0</v>
      </c>
      <c r="V797" s="2305">
        <f t="shared" si="206"/>
        <v>0</v>
      </c>
      <c r="W797" s="2300"/>
      <c r="X797" s="2305">
        <f t="shared" si="207"/>
        <v>0</v>
      </c>
      <c r="Y797" s="2305">
        <f t="shared" si="208"/>
        <v>0</v>
      </c>
      <c r="Z797" s="2300"/>
    </row>
    <row r="798" spans="1:26">
      <c r="A798" s="292" t="str">
        <f>'7.15'!B776</f>
        <v>12幢2单元1303室</v>
      </c>
      <c r="B798" s="207">
        <f>'7.17'!G776</f>
        <v>88.18</v>
      </c>
      <c r="C798" s="197">
        <f t="shared" si="194"/>
        <v>1</v>
      </c>
      <c r="D798" s="995" t="s">
        <v>7609</v>
      </c>
      <c r="E798" s="197">
        <f t="shared" si="195"/>
        <v>1.04</v>
      </c>
      <c r="F798" s="995" t="str">
        <f>'7.15'!D776</f>
        <v>平层</v>
      </c>
      <c r="G798" s="197">
        <f t="shared" si="196"/>
        <v>1</v>
      </c>
      <c r="H798" s="995" t="str">
        <f>'7.15'!E776</f>
        <v>南北</v>
      </c>
      <c r="I798" s="197">
        <f t="shared" si="197"/>
        <v>1</v>
      </c>
      <c r="J798" s="995"/>
      <c r="K798" s="197">
        <f t="shared" si="198"/>
        <v>1</v>
      </c>
      <c r="L798" s="995"/>
      <c r="M798" s="197">
        <f t="shared" si="199"/>
        <v>1</v>
      </c>
      <c r="N798" s="995"/>
      <c r="O798" s="197">
        <f t="shared" si="200"/>
        <v>1</v>
      </c>
      <c r="P798" s="995"/>
      <c r="Q798" s="197">
        <f t="shared" si="201"/>
        <v>1</v>
      </c>
      <c r="R798" s="991">
        <f t="shared" ca="1" si="202"/>
        <v>16569</v>
      </c>
      <c r="S798" s="552">
        <f t="shared" ca="1" si="203"/>
        <v>1461054</v>
      </c>
      <c r="T798" s="2010">
        <f t="shared" ca="1" si="204"/>
        <v>146</v>
      </c>
      <c r="U798" s="2305">
        <f t="shared" si="205"/>
        <v>0</v>
      </c>
      <c r="V798" s="2305">
        <f t="shared" si="206"/>
        <v>0</v>
      </c>
      <c r="W798" s="2300"/>
      <c r="X798" s="2305">
        <f t="shared" si="207"/>
        <v>0</v>
      </c>
      <c r="Y798" s="2305">
        <f t="shared" si="208"/>
        <v>0</v>
      </c>
      <c r="Z798" s="2300"/>
    </row>
    <row r="799" spans="1:26">
      <c r="A799" s="292" t="str">
        <f>'7.15'!B777</f>
        <v>12幢2单元1403室</v>
      </c>
      <c r="B799" s="207">
        <f>'7.17'!G777</f>
        <v>88.18</v>
      </c>
      <c r="C799" s="197">
        <f t="shared" si="194"/>
        <v>1</v>
      </c>
      <c r="D799" s="995" t="s">
        <v>7609</v>
      </c>
      <c r="E799" s="197">
        <f t="shared" si="195"/>
        <v>1.04</v>
      </c>
      <c r="F799" s="995" t="str">
        <f>'7.15'!D777</f>
        <v>平层</v>
      </c>
      <c r="G799" s="197">
        <f t="shared" si="196"/>
        <v>1</v>
      </c>
      <c r="H799" s="995" t="str">
        <f>'7.15'!E777</f>
        <v>南北</v>
      </c>
      <c r="I799" s="197">
        <f t="shared" si="197"/>
        <v>1</v>
      </c>
      <c r="J799" s="995"/>
      <c r="K799" s="197">
        <f t="shared" si="198"/>
        <v>1</v>
      </c>
      <c r="L799" s="995"/>
      <c r="M799" s="197">
        <f t="shared" si="199"/>
        <v>1</v>
      </c>
      <c r="N799" s="995"/>
      <c r="O799" s="197">
        <f t="shared" si="200"/>
        <v>1</v>
      </c>
      <c r="P799" s="995"/>
      <c r="Q799" s="197">
        <f t="shared" si="201"/>
        <v>1</v>
      </c>
      <c r="R799" s="991">
        <f t="shared" ca="1" si="202"/>
        <v>16569</v>
      </c>
      <c r="S799" s="552">
        <f t="shared" ca="1" si="203"/>
        <v>1461054</v>
      </c>
      <c r="T799" s="2010">
        <f t="shared" ca="1" si="204"/>
        <v>146</v>
      </c>
      <c r="U799" s="2305">
        <f t="shared" si="205"/>
        <v>0</v>
      </c>
      <c r="V799" s="2305">
        <f t="shared" si="206"/>
        <v>0</v>
      </c>
      <c r="W799" s="2300"/>
      <c r="X799" s="2305">
        <f t="shared" si="207"/>
        <v>0</v>
      </c>
      <c r="Y799" s="2305">
        <f t="shared" si="208"/>
        <v>0</v>
      </c>
      <c r="Z799" s="2300"/>
    </row>
    <row r="800" spans="1:26">
      <c r="A800" s="292" t="str">
        <f>'7.15'!B778</f>
        <v>12幢2单元1503室</v>
      </c>
      <c r="B800" s="207">
        <f>'7.17'!G778</f>
        <v>88.18</v>
      </c>
      <c r="C800" s="197">
        <f t="shared" si="194"/>
        <v>1</v>
      </c>
      <c r="D800" s="995" t="s">
        <v>7609</v>
      </c>
      <c r="E800" s="197">
        <f t="shared" si="195"/>
        <v>1.04</v>
      </c>
      <c r="F800" s="995" t="str">
        <f>'7.15'!D778</f>
        <v>平层</v>
      </c>
      <c r="G800" s="197">
        <f t="shared" si="196"/>
        <v>1</v>
      </c>
      <c r="H800" s="995" t="str">
        <f>'7.15'!E778</f>
        <v>南北</v>
      </c>
      <c r="I800" s="197">
        <f t="shared" si="197"/>
        <v>1</v>
      </c>
      <c r="J800" s="995"/>
      <c r="K800" s="197">
        <f t="shared" si="198"/>
        <v>1</v>
      </c>
      <c r="L800" s="995"/>
      <c r="M800" s="197">
        <f t="shared" si="199"/>
        <v>1</v>
      </c>
      <c r="N800" s="995"/>
      <c r="O800" s="197">
        <f t="shared" si="200"/>
        <v>1</v>
      </c>
      <c r="P800" s="995"/>
      <c r="Q800" s="197">
        <f t="shared" si="201"/>
        <v>1</v>
      </c>
      <c r="R800" s="991">
        <f t="shared" ca="1" si="202"/>
        <v>16569</v>
      </c>
      <c r="S800" s="552">
        <f t="shared" ca="1" si="203"/>
        <v>1461054</v>
      </c>
      <c r="T800" s="2010">
        <f t="shared" ca="1" si="204"/>
        <v>146</v>
      </c>
      <c r="U800" s="2305">
        <f t="shared" si="205"/>
        <v>0</v>
      </c>
      <c r="V800" s="2305">
        <f t="shared" si="206"/>
        <v>0</v>
      </c>
      <c r="W800" s="2300"/>
      <c r="X800" s="2305">
        <f t="shared" si="207"/>
        <v>0</v>
      </c>
      <c r="Y800" s="2305">
        <f t="shared" si="208"/>
        <v>0</v>
      </c>
      <c r="Z800" s="2300"/>
    </row>
    <row r="801" spans="1:26">
      <c r="A801" s="292" t="str">
        <f>'7.15'!B779</f>
        <v>12幢2单元1603室</v>
      </c>
      <c r="B801" s="207">
        <f>'7.17'!G779</f>
        <v>88.18</v>
      </c>
      <c r="C801" s="197">
        <f t="shared" si="194"/>
        <v>1</v>
      </c>
      <c r="D801" s="995" t="s">
        <v>7609</v>
      </c>
      <c r="E801" s="197">
        <f t="shared" si="195"/>
        <v>1.04</v>
      </c>
      <c r="F801" s="995" t="str">
        <f>'7.15'!D779</f>
        <v>平层</v>
      </c>
      <c r="G801" s="197">
        <f t="shared" si="196"/>
        <v>1</v>
      </c>
      <c r="H801" s="995" t="str">
        <f>'7.15'!E779</f>
        <v>南北</v>
      </c>
      <c r="I801" s="197">
        <f t="shared" si="197"/>
        <v>1</v>
      </c>
      <c r="J801" s="995"/>
      <c r="K801" s="197">
        <f t="shared" si="198"/>
        <v>1</v>
      </c>
      <c r="L801" s="995"/>
      <c r="M801" s="197">
        <f t="shared" si="199"/>
        <v>1</v>
      </c>
      <c r="N801" s="995"/>
      <c r="O801" s="197">
        <f t="shared" si="200"/>
        <v>1</v>
      </c>
      <c r="P801" s="995"/>
      <c r="Q801" s="197">
        <f t="shared" si="201"/>
        <v>1</v>
      </c>
      <c r="R801" s="991">
        <f t="shared" ca="1" si="202"/>
        <v>16569</v>
      </c>
      <c r="S801" s="552">
        <f t="shared" ca="1" si="203"/>
        <v>1461054</v>
      </c>
      <c r="T801" s="2010">
        <f t="shared" ca="1" si="204"/>
        <v>146</v>
      </c>
      <c r="U801" s="2305">
        <f t="shared" si="205"/>
        <v>0</v>
      </c>
      <c r="V801" s="2305">
        <f t="shared" si="206"/>
        <v>0</v>
      </c>
      <c r="W801" s="2300"/>
      <c r="X801" s="2305">
        <f t="shared" si="207"/>
        <v>0</v>
      </c>
      <c r="Y801" s="2305">
        <f t="shared" si="208"/>
        <v>0</v>
      </c>
      <c r="Z801" s="2300"/>
    </row>
    <row r="802" spans="1:26">
      <c r="A802" s="292" t="str">
        <f>'7.15'!B780</f>
        <v>12幢2单元1703室</v>
      </c>
      <c r="B802" s="207">
        <f>'7.17'!G780</f>
        <v>88.18</v>
      </c>
      <c r="C802" s="197">
        <f t="shared" si="194"/>
        <v>1</v>
      </c>
      <c r="D802" s="995" t="s">
        <v>7609</v>
      </c>
      <c r="E802" s="197">
        <f t="shared" si="195"/>
        <v>1.04</v>
      </c>
      <c r="F802" s="995" t="str">
        <f>'7.15'!D780</f>
        <v>平层</v>
      </c>
      <c r="G802" s="197">
        <f t="shared" si="196"/>
        <v>1</v>
      </c>
      <c r="H802" s="995" t="str">
        <f>'7.15'!E780</f>
        <v>南北</v>
      </c>
      <c r="I802" s="197">
        <f t="shared" si="197"/>
        <v>1</v>
      </c>
      <c r="J802" s="995"/>
      <c r="K802" s="197">
        <f t="shared" si="198"/>
        <v>1</v>
      </c>
      <c r="L802" s="995"/>
      <c r="M802" s="197">
        <f t="shared" si="199"/>
        <v>1</v>
      </c>
      <c r="N802" s="995"/>
      <c r="O802" s="197">
        <f t="shared" si="200"/>
        <v>1</v>
      </c>
      <c r="P802" s="995"/>
      <c r="Q802" s="197">
        <f t="shared" si="201"/>
        <v>1</v>
      </c>
      <c r="R802" s="991">
        <f t="shared" ca="1" si="202"/>
        <v>16569</v>
      </c>
      <c r="S802" s="552">
        <f t="shared" ca="1" si="203"/>
        <v>1461054</v>
      </c>
      <c r="T802" s="2010">
        <f t="shared" ca="1" si="204"/>
        <v>146</v>
      </c>
      <c r="U802" s="2305">
        <f t="shared" si="205"/>
        <v>0</v>
      </c>
      <c r="V802" s="2305">
        <f t="shared" si="206"/>
        <v>0</v>
      </c>
      <c r="W802" s="2300"/>
      <c r="X802" s="2305">
        <f t="shared" si="207"/>
        <v>0</v>
      </c>
      <c r="Y802" s="2305">
        <f t="shared" si="208"/>
        <v>0</v>
      </c>
      <c r="Z802" s="2300"/>
    </row>
    <row r="803" spans="1:26">
      <c r="A803" s="292" t="str">
        <f>'7.15'!B781</f>
        <v>12幢2单元1803室</v>
      </c>
      <c r="B803" s="207">
        <f>'7.17'!G781</f>
        <v>88.18</v>
      </c>
      <c r="C803" s="197">
        <f t="shared" si="194"/>
        <v>1</v>
      </c>
      <c r="D803" s="995" t="s">
        <v>7609</v>
      </c>
      <c r="E803" s="197">
        <f t="shared" si="195"/>
        <v>1.04</v>
      </c>
      <c r="F803" s="995" t="str">
        <f>'7.15'!D781</f>
        <v>平层</v>
      </c>
      <c r="G803" s="197">
        <f t="shared" si="196"/>
        <v>1</v>
      </c>
      <c r="H803" s="995" t="str">
        <f>'7.15'!E781</f>
        <v>南北</v>
      </c>
      <c r="I803" s="197">
        <f t="shared" si="197"/>
        <v>1</v>
      </c>
      <c r="J803" s="995"/>
      <c r="K803" s="197">
        <f t="shared" si="198"/>
        <v>1</v>
      </c>
      <c r="L803" s="995"/>
      <c r="M803" s="197">
        <f t="shared" si="199"/>
        <v>1</v>
      </c>
      <c r="N803" s="995"/>
      <c r="O803" s="197">
        <f t="shared" si="200"/>
        <v>1</v>
      </c>
      <c r="P803" s="995"/>
      <c r="Q803" s="197">
        <f t="shared" si="201"/>
        <v>1</v>
      </c>
      <c r="R803" s="991">
        <f t="shared" ca="1" si="202"/>
        <v>16569</v>
      </c>
      <c r="S803" s="552">
        <f t="shared" ca="1" si="203"/>
        <v>1461054</v>
      </c>
      <c r="T803" s="2010">
        <f t="shared" ca="1" si="204"/>
        <v>146</v>
      </c>
      <c r="U803" s="2305">
        <f t="shared" si="205"/>
        <v>0</v>
      </c>
      <c r="V803" s="2305">
        <f t="shared" si="206"/>
        <v>0</v>
      </c>
      <c r="W803" s="2300"/>
      <c r="X803" s="2305">
        <f t="shared" si="207"/>
        <v>0</v>
      </c>
      <c r="Y803" s="2305">
        <f t="shared" si="208"/>
        <v>0</v>
      </c>
      <c r="Z803" s="2300"/>
    </row>
    <row r="804" spans="1:26">
      <c r="A804" s="292" t="str">
        <f>'7.15'!B782</f>
        <v>12幢2单元1903室</v>
      </c>
      <c r="B804" s="207">
        <f>'7.17'!G782</f>
        <v>88.18</v>
      </c>
      <c r="C804" s="197">
        <f t="shared" si="194"/>
        <v>1</v>
      </c>
      <c r="D804" s="995" t="s">
        <v>7609</v>
      </c>
      <c r="E804" s="197">
        <f t="shared" si="195"/>
        <v>1.04</v>
      </c>
      <c r="F804" s="995" t="str">
        <f>'7.15'!D782</f>
        <v>平层</v>
      </c>
      <c r="G804" s="197">
        <f t="shared" si="196"/>
        <v>1</v>
      </c>
      <c r="H804" s="995" t="str">
        <f>'7.15'!E782</f>
        <v>南北</v>
      </c>
      <c r="I804" s="197">
        <f t="shared" si="197"/>
        <v>1</v>
      </c>
      <c r="J804" s="995"/>
      <c r="K804" s="197">
        <f t="shared" si="198"/>
        <v>1</v>
      </c>
      <c r="L804" s="995"/>
      <c r="M804" s="197">
        <f t="shared" si="199"/>
        <v>1</v>
      </c>
      <c r="N804" s="995"/>
      <c r="O804" s="197">
        <f t="shared" si="200"/>
        <v>1</v>
      </c>
      <c r="P804" s="995"/>
      <c r="Q804" s="197">
        <f t="shared" si="201"/>
        <v>1</v>
      </c>
      <c r="R804" s="991">
        <f t="shared" ca="1" si="202"/>
        <v>16569</v>
      </c>
      <c r="S804" s="552">
        <f t="shared" ca="1" si="203"/>
        <v>1461054</v>
      </c>
      <c r="T804" s="2010">
        <f t="shared" ca="1" si="204"/>
        <v>146</v>
      </c>
      <c r="U804" s="2305">
        <f t="shared" si="205"/>
        <v>0</v>
      </c>
      <c r="V804" s="2305">
        <f t="shared" si="206"/>
        <v>0</v>
      </c>
      <c r="W804" s="2300"/>
      <c r="X804" s="2305">
        <f t="shared" si="207"/>
        <v>0</v>
      </c>
      <c r="Y804" s="2305">
        <f t="shared" si="208"/>
        <v>0</v>
      </c>
      <c r="Z804" s="2300"/>
    </row>
    <row r="805" spans="1:26">
      <c r="A805" s="292" t="str">
        <f>'7.15'!B783</f>
        <v>12幢2单元2003室</v>
      </c>
      <c r="B805" s="207">
        <f>'7.17'!G783</f>
        <v>88.18</v>
      </c>
      <c r="C805" s="197">
        <f t="shared" si="194"/>
        <v>1</v>
      </c>
      <c r="D805" s="995" t="s">
        <v>7609</v>
      </c>
      <c r="E805" s="197">
        <f t="shared" si="195"/>
        <v>1.04</v>
      </c>
      <c r="F805" s="995" t="str">
        <f>'7.15'!D783</f>
        <v>平层</v>
      </c>
      <c r="G805" s="197">
        <f t="shared" si="196"/>
        <v>1</v>
      </c>
      <c r="H805" s="995" t="str">
        <f>'7.15'!E783</f>
        <v>南北</v>
      </c>
      <c r="I805" s="197">
        <f t="shared" si="197"/>
        <v>1</v>
      </c>
      <c r="J805" s="995"/>
      <c r="K805" s="197">
        <f t="shared" si="198"/>
        <v>1</v>
      </c>
      <c r="L805" s="995"/>
      <c r="M805" s="197">
        <f t="shared" si="199"/>
        <v>1</v>
      </c>
      <c r="N805" s="995"/>
      <c r="O805" s="197">
        <f t="shared" si="200"/>
        <v>1</v>
      </c>
      <c r="P805" s="995"/>
      <c r="Q805" s="197">
        <f t="shared" si="201"/>
        <v>1</v>
      </c>
      <c r="R805" s="991">
        <f t="shared" ca="1" si="202"/>
        <v>16569</v>
      </c>
      <c r="S805" s="552">
        <f t="shared" ca="1" si="203"/>
        <v>1461054</v>
      </c>
      <c r="T805" s="2010">
        <f t="shared" ca="1" si="204"/>
        <v>146</v>
      </c>
      <c r="U805" s="2305">
        <f t="shared" si="205"/>
        <v>0</v>
      </c>
      <c r="V805" s="2305">
        <f t="shared" si="206"/>
        <v>0</v>
      </c>
      <c r="W805" s="2300"/>
      <c r="X805" s="2305">
        <f t="shared" si="207"/>
        <v>0</v>
      </c>
      <c r="Y805" s="2305">
        <f t="shared" si="208"/>
        <v>0</v>
      </c>
      <c r="Z805" s="2300"/>
    </row>
    <row r="806" spans="1:26">
      <c r="A806" s="292" t="str">
        <f>'7.15'!B784</f>
        <v>12幢2单元2103室</v>
      </c>
      <c r="B806" s="207">
        <f>'7.17'!G784</f>
        <v>88.18</v>
      </c>
      <c r="C806" s="197">
        <f t="shared" si="194"/>
        <v>1</v>
      </c>
      <c r="D806" s="995" t="s">
        <v>7608</v>
      </c>
      <c r="E806" s="197">
        <f t="shared" si="195"/>
        <v>1.02</v>
      </c>
      <c r="F806" s="995" t="str">
        <f>'7.15'!D784</f>
        <v>平层</v>
      </c>
      <c r="G806" s="197">
        <f t="shared" si="196"/>
        <v>1</v>
      </c>
      <c r="H806" s="995" t="str">
        <f>'7.15'!E784</f>
        <v>南北</v>
      </c>
      <c r="I806" s="197">
        <f t="shared" si="197"/>
        <v>1</v>
      </c>
      <c r="J806" s="995"/>
      <c r="K806" s="197">
        <f t="shared" si="198"/>
        <v>1</v>
      </c>
      <c r="L806" s="995"/>
      <c r="M806" s="197">
        <f t="shared" si="199"/>
        <v>1</v>
      </c>
      <c r="N806" s="995"/>
      <c r="O806" s="197">
        <f t="shared" si="200"/>
        <v>1</v>
      </c>
      <c r="P806" s="995"/>
      <c r="Q806" s="197">
        <f t="shared" si="201"/>
        <v>1</v>
      </c>
      <c r="R806" s="991">
        <f t="shared" ca="1" si="202"/>
        <v>16251</v>
      </c>
      <c r="S806" s="552">
        <f t="shared" ca="1" si="203"/>
        <v>1433013</v>
      </c>
      <c r="T806" s="2010">
        <f t="shared" ca="1" si="204"/>
        <v>143</v>
      </c>
      <c r="U806" s="2305">
        <f t="shared" si="205"/>
        <v>0</v>
      </c>
      <c r="V806" s="2305">
        <f t="shared" si="206"/>
        <v>0</v>
      </c>
      <c r="W806" s="2300"/>
      <c r="X806" s="2305">
        <f t="shared" si="207"/>
        <v>0</v>
      </c>
      <c r="Y806" s="2305">
        <f t="shared" si="208"/>
        <v>0</v>
      </c>
      <c r="Z806" s="2300"/>
    </row>
    <row r="807" spans="1:26">
      <c r="A807" s="292" t="str">
        <f>'7.15'!B785</f>
        <v>12幢2单元2203室</v>
      </c>
      <c r="B807" s="207">
        <f>'7.17'!G785</f>
        <v>88.18</v>
      </c>
      <c r="C807" s="197">
        <f t="shared" si="194"/>
        <v>1</v>
      </c>
      <c r="D807" s="995" t="s">
        <v>7608</v>
      </c>
      <c r="E807" s="197">
        <f t="shared" si="195"/>
        <v>1.02</v>
      </c>
      <c r="F807" s="995" t="str">
        <f>'7.15'!D785</f>
        <v>平层</v>
      </c>
      <c r="G807" s="197">
        <f t="shared" si="196"/>
        <v>1</v>
      </c>
      <c r="H807" s="995" t="str">
        <f>'7.15'!E785</f>
        <v>南北</v>
      </c>
      <c r="I807" s="197">
        <f t="shared" si="197"/>
        <v>1</v>
      </c>
      <c r="J807" s="995"/>
      <c r="K807" s="197">
        <f t="shared" si="198"/>
        <v>1</v>
      </c>
      <c r="L807" s="995"/>
      <c r="M807" s="197">
        <f t="shared" si="199"/>
        <v>1</v>
      </c>
      <c r="N807" s="995"/>
      <c r="O807" s="197">
        <f t="shared" si="200"/>
        <v>1</v>
      </c>
      <c r="P807" s="995"/>
      <c r="Q807" s="197">
        <f t="shared" si="201"/>
        <v>1</v>
      </c>
      <c r="R807" s="991">
        <f t="shared" ca="1" si="202"/>
        <v>16251</v>
      </c>
      <c r="S807" s="552">
        <f t="shared" ca="1" si="203"/>
        <v>1433013</v>
      </c>
      <c r="T807" s="2010">
        <f t="shared" ca="1" si="204"/>
        <v>143</v>
      </c>
      <c r="U807" s="2305">
        <f t="shared" si="205"/>
        <v>0</v>
      </c>
      <c r="V807" s="2305">
        <f t="shared" si="206"/>
        <v>0</v>
      </c>
      <c r="W807" s="2300"/>
      <c r="X807" s="2305">
        <f t="shared" si="207"/>
        <v>0</v>
      </c>
      <c r="Y807" s="2305">
        <f t="shared" si="208"/>
        <v>0</v>
      </c>
      <c r="Z807" s="2300"/>
    </row>
    <row r="808" spans="1:26">
      <c r="A808" s="292" t="str">
        <f>'7.15'!B786</f>
        <v>12幢2单元2303室</v>
      </c>
      <c r="B808" s="207">
        <f>'7.17'!G786</f>
        <v>88.18</v>
      </c>
      <c r="C808" s="197">
        <f t="shared" si="194"/>
        <v>1</v>
      </c>
      <c r="D808" s="995" t="s">
        <v>7608</v>
      </c>
      <c r="E808" s="197">
        <f t="shared" si="195"/>
        <v>1.02</v>
      </c>
      <c r="F808" s="995" t="str">
        <f>'7.15'!D786</f>
        <v>平层</v>
      </c>
      <c r="G808" s="197">
        <f t="shared" si="196"/>
        <v>1</v>
      </c>
      <c r="H808" s="995" t="str">
        <f>'7.15'!E786</f>
        <v>南北</v>
      </c>
      <c r="I808" s="197">
        <f t="shared" si="197"/>
        <v>1</v>
      </c>
      <c r="J808" s="995"/>
      <c r="K808" s="197">
        <f t="shared" si="198"/>
        <v>1</v>
      </c>
      <c r="L808" s="995"/>
      <c r="M808" s="197">
        <f t="shared" si="199"/>
        <v>1</v>
      </c>
      <c r="N808" s="995"/>
      <c r="O808" s="197">
        <f t="shared" si="200"/>
        <v>1</v>
      </c>
      <c r="P808" s="995"/>
      <c r="Q808" s="197">
        <f t="shared" si="201"/>
        <v>1</v>
      </c>
      <c r="R808" s="991">
        <f t="shared" ca="1" si="202"/>
        <v>16251</v>
      </c>
      <c r="S808" s="552">
        <f t="shared" ca="1" si="203"/>
        <v>1433013</v>
      </c>
      <c r="T808" s="2010">
        <f t="shared" ca="1" si="204"/>
        <v>143</v>
      </c>
      <c r="U808" s="2305">
        <f t="shared" si="205"/>
        <v>0</v>
      </c>
      <c r="V808" s="2305">
        <f t="shared" si="206"/>
        <v>0</v>
      </c>
      <c r="W808" s="2300"/>
      <c r="X808" s="2305">
        <f t="shared" si="207"/>
        <v>0</v>
      </c>
      <c r="Y808" s="2305">
        <f t="shared" si="208"/>
        <v>0</v>
      </c>
      <c r="Z808" s="2300"/>
    </row>
    <row r="809" spans="1:26">
      <c r="A809" s="292" t="str">
        <f>'7.15'!B787</f>
        <v>12幢2单元2403室</v>
      </c>
      <c r="B809" s="207">
        <f>'7.17'!G787</f>
        <v>88.18</v>
      </c>
      <c r="C809" s="197">
        <f t="shared" si="194"/>
        <v>1</v>
      </c>
      <c r="D809" s="995" t="s">
        <v>7608</v>
      </c>
      <c r="E809" s="197">
        <f t="shared" si="195"/>
        <v>1.02</v>
      </c>
      <c r="F809" s="995" t="str">
        <f>'7.15'!D787</f>
        <v>平层</v>
      </c>
      <c r="G809" s="197">
        <f t="shared" si="196"/>
        <v>1</v>
      </c>
      <c r="H809" s="995" t="str">
        <f>'7.15'!E787</f>
        <v>南北</v>
      </c>
      <c r="I809" s="197">
        <f t="shared" si="197"/>
        <v>1</v>
      </c>
      <c r="J809" s="995"/>
      <c r="K809" s="197">
        <f t="shared" si="198"/>
        <v>1</v>
      </c>
      <c r="L809" s="995"/>
      <c r="M809" s="197">
        <f t="shared" si="199"/>
        <v>1</v>
      </c>
      <c r="N809" s="995"/>
      <c r="O809" s="197">
        <f t="shared" si="200"/>
        <v>1</v>
      </c>
      <c r="P809" s="995"/>
      <c r="Q809" s="197">
        <f t="shared" si="201"/>
        <v>1</v>
      </c>
      <c r="R809" s="991">
        <f t="shared" ca="1" si="202"/>
        <v>16251</v>
      </c>
      <c r="S809" s="552">
        <f t="shared" ca="1" si="203"/>
        <v>1433013</v>
      </c>
      <c r="T809" s="2010">
        <f t="shared" ca="1" si="204"/>
        <v>143</v>
      </c>
      <c r="U809" s="2305">
        <f t="shared" si="205"/>
        <v>0</v>
      </c>
      <c r="V809" s="2305">
        <f t="shared" si="206"/>
        <v>0</v>
      </c>
      <c r="W809" s="2300"/>
      <c r="X809" s="2305">
        <f t="shared" si="207"/>
        <v>0</v>
      </c>
      <c r="Y809" s="2305">
        <f t="shared" si="208"/>
        <v>0</v>
      </c>
      <c r="Z809" s="2300"/>
    </row>
    <row r="810" spans="1:26">
      <c r="A810" s="292" t="str">
        <f>'7.15'!B788</f>
        <v>12幢2单元2503室</v>
      </c>
      <c r="B810" s="207">
        <f>'7.17'!G788</f>
        <v>88.18</v>
      </c>
      <c r="C810" s="197">
        <f t="shared" si="194"/>
        <v>1</v>
      </c>
      <c r="D810" s="995" t="s">
        <v>7608</v>
      </c>
      <c r="E810" s="197">
        <f t="shared" si="195"/>
        <v>1.02</v>
      </c>
      <c r="F810" s="995" t="str">
        <f>'7.15'!D788</f>
        <v>平层</v>
      </c>
      <c r="G810" s="197">
        <f t="shared" si="196"/>
        <v>1</v>
      </c>
      <c r="H810" s="995" t="str">
        <f>'7.15'!E788</f>
        <v>南北</v>
      </c>
      <c r="I810" s="197">
        <f t="shared" si="197"/>
        <v>1</v>
      </c>
      <c r="J810" s="995"/>
      <c r="K810" s="197">
        <f t="shared" si="198"/>
        <v>1</v>
      </c>
      <c r="L810" s="995"/>
      <c r="M810" s="197">
        <f t="shared" si="199"/>
        <v>1</v>
      </c>
      <c r="N810" s="995"/>
      <c r="O810" s="197">
        <f t="shared" si="200"/>
        <v>1</v>
      </c>
      <c r="P810" s="995"/>
      <c r="Q810" s="197">
        <f t="shared" si="201"/>
        <v>1</v>
      </c>
      <c r="R810" s="991">
        <f t="shared" ca="1" si="202"/>
        <v>16251</v>
      </c>
      <c r="S810" s="552">
        <f t="shared" ca="1" si="203"/>
        <v>1433013</v>
      </c>
      <c r="T810" s="2010">
        <f t="shared" ca="1" si="204"/>
        <v>143</v>
      </c>
      <c r="U810" s="2305">
        <f t="shared" si="205"/>
        <v>0</v>
      </c>
      <c r="V810" s="2305">
        <f t="shared" si="206"/>
        <v>0</v>
      </c>
      <c r="W810" s="2300"/>
      <c r="X810" s="2305">
        <f t="shared" si="207"/>
        <v>0</v>
      </c>
      <c r="Y810" s="2305">
        <f t="shared" si="208"/>
        <v>0</v>
      </c>
      <c r="Z810" s="2300"/>
    </row>
    <row r="811" spans="1:26">
      <c r="A811" s="292" t="str">
        <f>'7.15'!B789</f>
        <v>12幢2单元2603室</v>
      </c>
      <c r="B811" s="207">
        <f>'7.17'!G789</f>
        <v>88.18</v>
      </c>
      <c r="C811" s="197">
        <f t="shared" si="194"/>
        <v>1</v>
      </c>
      <c r="D811" s="995" t="s">
        <v>7608</v>
      </c>
      <c r="E811" s="197">
        <f t="shared" si="195"/>
        <v>1.02</v>
      </c>
      <c r="F811" s="995" t="str">
        <f>'7.15'!D789</f>
        <v>平层</v>
      </c>
      <c r="G811" s="197">
        <f t="shared" si="196"/>
        <v>1</v>
      </c>
      <c r="H811" s="995" t="str">
        <f>'7.15'!E789</f>
        <v>南北</v>
      </c>
      <c r="I811" s="197">
        <f t="shared" si="197"/>
        <v>1</v>
      </c>
      <c r="J811" s="995"/>
      <c r="K811" s="197">
        <f t="shared" si="198"/>
        <v>1</v>
      </c>
      <c r="L811" s="995"/>
      <c r="M811" s="197">
        <f t="shared" si="199"/>
        <v>1</v>
      </c>
      <c r="N811" s="995"/>
      <c r="O811" s="197">
        <f t="shared" si="200"/>
        <v>1</v>
      </c>
      <c r="P811" s="995"/>
      <c r="Q811" s="197">
        <f t="shared" si="201"/>
        <v>1</v>
      </c>
      <c r="R811" s="991">
        <f t="shared" ca="1" si="202"/>
        <v>16251</v>
      </c>
      <c r="S811" s="552">
        <f t="shared" ca="1" si="203"/>
        <v>1433013</v>
      </c>
      <c r="T811" s="2010">
        <f t="shared" ca="1" si="204"/>
        <v>143</v>
      </c>
      <c r="U811" s="2305">
        <f t="shared" si="205"/>
        <v>0</v>
      </c>
      <c r="V811" s="2305">
        <f t="shared" si="206"/>
        <v>0</v>
      </c>
      <c r="W811" s="2300"/>
      <c r="X811" s="2305">
        <f t="shared" si="207"/>
        <v>0</v>
      </c>
      <c r="Y811" s="2305">
        <f t="shared" si="208"/>
        <v>0</v>
      </c>
      <c r="Z811" s="2300"/>
    </row>
    <row r="812" spans="1:26">
      <c r="A812" s="292" t="str">
        <f>'7.15'!B790</f>
        <v>12幢2单元2703室</v>
      </c>
      <c r="B812" s="207">
        <f>'7.17'!G790</f>
        <v>88.18</v>
      </c>
      <c r="C812" s="197">
        <f t="shared" si="194"/>
        <v>1</v>
      </c>
      <c r="D812" s="995" t="s">
        <v>7608</v>
      </c>
      <c r="E812" s="197">
        <f t="shared" si="195"/>
        <v>1.02</v>
      </c>
      <c r="F812" s="995" t="str">
        <f>'7.15'!D790</f>
        <v>平层</v>
      </c>
      <c r="G812" s="197">
        <f t="shared" si="196"/>
        <v>1</v>
      </c>
      <c r="H812" s="995" t="str">
        <f>'7.15'!E790</f>
        <v>南北</v>
      </c>
      <c r="I812" s="197">
        <f t="shared" si="197"/>
        <v>1</v>
      </c>
      <c r="J812" s="995"/>
      <c r="K812" s="197">
        <f t="shared" si="198"/>
        <v>1</v>
      </c>
      <c r="L812" s="995"/>
      <c r="M812" s="197">
        <f t="shared" si="199"/>
        <v>1</v>
      </c>
      <c r="N812" s="995"/>
      <c r="O812" s="197">
        <f t="shared" si="200"/>
        <v>1</v>
      </c>
      <c r="P812" s="995"/>
      <c r="Q812" s="197">
        <f t="shared" si="201"/>
        <v>1</v>
      </c>
      <c r="R812" s="991">
        <f t="shared" ca="1" si="202"/>
        <v>16251</v>
      </c>
      <c r="S812" s="552">
        <f t="shared" ca="1" si="203"/>
        <v>1433013</v>
      </c>
      <c r="T812" s="2010">
        <f t="shared" ca="1" si="204"/>
        <v>143</v>
      </c>
      <c r="U812" s="2305">
        <f t="shared" si="205"/>
        <v>0</v>
      </c>
      <c r="V812" s="2305">
        <f t="shared" si="206"/>
        <v>0</v>
      </c>
      <c r="W812" s="2300"/>
      <c r="X812" s="2305">
        <f t="shared" si="207"/>
        <v>0</v>
      </c>
      <c r="Y812" s="2305">
        <f t="shared" si="208"/>
        <v>0</v>
      </c>
      <c r="Z812" s="2300"/>
    </row>
    <row r="813" spans="1:26">
      <c r="A813" s="292" t="str">
        <f>'7.15'!B791</f>
        <v>12幢2单元2803室</v>
      </c>
      <c r="B813" s="207">
        <f>'7.17'!G791</f>
        <v>88.18</v>
      </c>
      <c r="C813" s="197">
        <f t="shared" si="194"/>
        <v>1</v>
      </c>
      <c r="D813" s="995" t="s">
        <v>7608</v>
      </c>
      <c r="E813" s="197">
        <f t="shared" si="195"/>
        <v>1.02</v>
      </c>
      <c r="F813" s="995" t="str">
        <f>'7.15'!D791</f>
        <v>平层</v>
      </c>
      <c r="G813" s="197">
        <f t="shared" si="196"/>
        <v>1</v>
      </c>
      <c r="H813" s="995" t="str">
        <f>'7.15'!E791</f>
        <v>南北</v>
      </c>
      <c r="I813" s="197">
        <f t="shared" si="197"/>
        <v>1</v>
      </c>
      <c r="J813" s="995"/>
      <c r="K813" s="197">
        <f t="shared" si="198"/>
        <v>1</v>
      </c>
      <c r="L813" s="995"/>
      <c r="M813" s="197">
        <f t="shared" si="199"/>
        <v>1</v>
      </c>
      <c r="N813" s="995"/>
      <c r="O813" s="197">
        <f t="shared" si="200"/>
        <v>1</v>
      </c>
      <c r="P813" s="995"/>
      <c r="Q813" s="197">
        <f t="shared" si="201"/>
        <v>1</v>
      </c>
      <c r="R813" s="991">
        <f t="shared" ca="1" si="202"/>
        <v>16251</v>
      </c>
      <c r="S813" s="552">
        <f t="shared" ca="1" si="203"/>
        <v>1433013</v>
      </c>
      <c r="T813" s="2010">
        <f t="shared" ca="1" si="204"/>
        <v>143</v>
      </c>
      <c r="U813" s="2305">
        <f t="shared" si="205"/>
        <v>0</v>
      </c>
      <c r="V813" s="2305">
        <f t="shared" si="206"/>
        <v>0</v>
      </c>
      <c r="W813" s="2300"/>
      <c r="X813" s="2305">
        <f t="shared" si="207"/>
        <v>0</v>
      </c>
      <c r="Y813" s="2305">
        <f t="shared" si="208"/>
        <v>0</v>
      </c>
      <c r="Z813" s="2300"/>
    </row>
    <row r="814" spans="1:26">
      <c r="A814" s="292" t="str">
        <f>'7.15'!B792</f>
        <v>12幢2单元2903室</v>
      </c>
      <c r="B814" s="207">
        <f>'7.17'!G792</f>
        <v>88.18</v>
      </c>
      <c r="C814" s="197">
        <f t="shared" si="194"/>
        <v>1</v>
      </c>
      <c r="D814" s="995" t="s">
        <v>7608</v>
      </c>
      <c r="E814" s="197">
        <f t="shared" si="195"/>
        <v>1.02</v>
      </c>
      <c r="F814" s="995" t="str">
        <f>'7.15'!D792</f>
        <v>平层</v>
      </c>
      <c r="G814" s="197">
        <f t="shared" si="196"/>
        <v>1</v>
      </c>
      <c r="H814" s="995" t="str">
        <f>'7.15'!E792</f>
        <v>南北</v>
      </c>
      <c r="I814" s="197">
        <f t="shared" si="197"/>
        <v>1</v>
      </c>
      <c r="J814" s="995"/>
      <c r="K814" s="197">
        <f t="shared" si="198"/>
        <v>1</v>
      </c>
      <c r="L814" s="995"/>
      <c r="M814" s="197">
        <f t="shared" si="199"/>
        <v>1</v>
      </c>
      <c r="N814" s="995"/>
      <c r="O814" s="197">
        <f t="shared" si="200"/>
        <v>1</v>
      </c>
      <c r="P814" s="995"/>
      <c r="Q814" s="197">
        <f t="shared" si="201"/>
        <v>1</v>
      </c>
      <c r="R814" s="991">
        <f t="shared" ca="1" si="202"/>
        <v>16251</v>
      </c>
      <c r="S814" s="552">
        <f t="shared" ca="1" si="203"/>
        <v>1433013</v>
      </c>
      <c r="T814" s="2010">
        <f t="shared" ca="1" si="204"/>
        <v>143</v>
      </c>
      <c r="U814" s="2305">
        <f t="shared" si="205"/>
        <v>0</v>
      </c>
      <c r="V814" s="2305">
        <f t="shared" si="206"/>
        <v>0</v>
      </c>
      <c r="W814" s="2300"/>
      <c r="X814" s="2305">
        <f t="shared" si="207"/>
        <v>0</v>
      </c>
      <c r="Y814" s="2305">
        <f t="shared" si="208"/>
        <v>0</v>
      </c>
      <c r="Z814" s="2300"/>
    </row>
    <row r="815" spans="1:26">
      <c r="A815" s="292" t="str">
        <f>'7.15'!B793</f>
        <v>12幢2单元3003室</v>
      </c>
      <c r="B815" s="207">
        <f>'7.17'!G793</f>
        <v>88.18</v>
      </c>
      <c r="C815" s="197">
        <f t="shared" si="194"/>
        <v>1</v>
      </c>
      <c r="D815" s="995" t="s">
        <v>7608</v>
      </c>
      <c r="E815" s="197">
        <f t="shared" si="195"/>
        <v>1.02</v>
      </c>
      <c r="F815" s="995" t="str">
        <f>'7.15'!D793</f>
        <v>平层</v>
      </c>
      <c r="G815" s="197">
        <f t="shared" si="196"/>
        <v>1</v>
      </c>
      <c r="H815" s="995" t="str">
        <f>'7.15'!E793</f>
        <v>南北</v>
      </c>
      <c r="I815" s="197">
        <f t="shared" si="197"/>
        <v>1</v>
      </c>
      <c r="J815" s="995"/>
      <c r="K815" s="197">
        <f t="shared" si="198"/>
        <v>1</v>
      </c>
      <c r="L815" s="995"/>
      <c r="M815" s="197">
        <f t="shared" si="199"/>
        <v>1</v>
      </c>
      <c r="N815" s="995"/>
      <c r="O815" s="197">
        <f t="shared" si="200"/>
        <v>1</v>
      </c>
      <c r="P815" s="995"/>
      <c r="Q815" s="197">
        <f t="shared" si="201"/>
        <v>1</v>
      </c>
      <c r="R815" s="991">
        <f t="shared" ca="1" si="202"/>
        <v>16251</v>
      </c>
      <c r="S815" s="552">
        <f t="shared" ca="1" si="203"/>
        <v>1433013</v>
      </c>
      <c r="T815" s="2010">
        <f t="shared" ca="1" si="204"/>
        <v>143</v>
      </c>
      <c r="U815" s="2305">
        <f t="shared" si="205"/>
        <v>0</v>
      </c>
      <c r="V815" s="2305">
        <f t="shared" si="206"/>
        <v>0</v>
      </c>
      <c r="W815" s="2300"/>
      <c r="X815" s="2305">
        <f t="shared" si="207"/>
        <v>0</v>
      </c>
      <c r="Y815" s="2305">
        <f t="shared" si="208"/>
        <v>0</v>
      </c>
      <c r="Z815" s="2300"/>
    </row>
    <row r="816" spans="1:26">
      <c r="A816" s="292" t="str">
        <f>'7.15'!B794</f>
        <v>12幢2单元204室</v>
      </c>
      <c r="B816" s="207">
        <f>'7.17'!G794</f>
        <v>138.16999999999999</v>
      </c>
      <c r="C816" s="197">
        <f t="shared" si="194"/>
        <v>0.98</v>
      </c>
      <c r="D816" s="995" t="s">
        <v>7606</v>
      </c>
      <c r="E816" s="197">
        <f t="shared" si="195"/>
        <v>1</v>
      </c>
      <c r="F816" s="995" t="str">
        <f>'7.15'!D794</f>
        <v>平层</v>
      </c>
      <c r="G816" s="197">
        <f t="shared" si="196"/>
        <v>1</v>
      </c>
      <c r="H816" s="995" t="str">
        <f>'7.15'!E794</f>
        <v>南北西</v>
      </c>
      <c r="I816" s="197">
        <f t="shared" si="197"/>
        <v>1.01</v>
      </c>
      <c r="J816" s="995"/>
      <c r="K816" s="197">
        <f t="shared" si="198"/>
        <v>1</v>
      </c>
      <c r="L816" s="995"/>
      <c r="M816" s="197">
        <f t="shared" si="199"/>
        <v>1</v>
      </c>
      <c r="N816" s="995"/>
      <c r="O816" s="197">
        <f t="shared" si="200"/>
        <v>1</v>
      </c>
      <c r="P816" s="995"/>
      <c r="Q816" s="197">
        <f t="shared" si="201"/>
        <v>1</v>
      </c>
      <c r="R816" s="991">
        <f t="shared" ca="1" si="202"/>
        <v>15769</v>
      </c>
      <c r="S816" s="552">
        <f t="shared" ca="1" si="203"/>
        <v>2178803</v>
      </c>
      <c r="T816" s="2010">
        <f t="shared" ca="1" si="204"/>
        <v>218</v>
      </c>
      <c r="U816" s="2305">
        <f t="shared" si="205"/>
        <v>0</v>
      </c>
      <c r="V816" s="2305">
        <f t="shared" si="206"/>
        <v>0</v>
      </c>
      <c r="W816" s="2300"/>
      <c r="X816" s="2305">
        <f t="shared" si="207"/>
        <v>0</v>
      </c>
      <c r="Y816" s="2305">
        <f t="shared" si="208"/>
        <v>0</v>
      </c>
      <c r="Z816" s="2300"/>
    </row>
    <row r="817" spans="1:26">
      <c r="A817" s="292" t="str">
        <f>'7.15'!B795</f>
        <v>12幢2单元304室</v>
      </c>
      <c r="B817" s="207">
        <f>'7.17'!G795</f>
        <v>138.16999999999999</v>
      </c>
      <c r="C817" s="197">
        <f t="shared" si="194"/>
        <v>0.98</v>
      </c>
      <c r="D817" s="995" t="s">
        <v>7606</v>
      </c>
      <c r="E817" s="197">
        <f t="shared" si="195"/>
        <v>1</v>
      </c>
      <c r="F817" s="995" t="str">
        <f>'7.15'!D795</f>
        <v>平层</v>
      </c>
      <c r="G817" s="197">
        <f t="shared" si="196"/>
        <v>1</v>
      </c>
      <c r="H817" s="995" t="str">
        <f>'7.15'!E795</f>
        <v>南北西</v>
      </c>
      <c r="I817" s="197">
        <f t="shared" si="197"/>
        <v>1.01</v>
      </c>
      <c r="J817" s="995"/>
      <c r="K817" s="197">
        <f t="shared" si="198"/>
        <v>1</v>
      </c>
      <c r="L817" s="995"/>
      <c r="M817" s="197">
        <f t="shared" si="199"/>
        <v>1</v>
      </c>
      <c r="N817" s="995"/>
      <c r="O817" s="197">
        <f t="shared" si="200"/>
        <v>1</v>
      </c>
      <c r="P817" s="995"/>
      <c r="Q817" s="197">
        <f t="shared" si="201"/>
        <v>1</v>
      </c>
      <c r="R817" s="991">
        <f t="shared" ca="1" si="202"/>
        <v>15769</v>
      </c>
      <c r="S817" s="552">
        <f t="shared" ca="1" si="203"/>
        <v>2178803</v>
      </c>
      <c r="T817" s="2010">
        <f t="shared" ca="1" si="204"/>
        <v>218</v>
      </c>
      <c r="U817" s="2305">
        <f t="shared" si="205"/>
        <v>0</v>
      </c>
      <c r="V817" s="2305">
        <f t="shared" si="206"/>
        <v>0</v>
      </c>
      <c r="W817" s="2300"/>
      <c r="X817" s="2305">
        <f t="shared" si="207"/>
        <v>0</v>
      </c>
      <c r="Y817" s="2305">
        <f t="shared" si="208"/>
        <v>0</v>
      </c>
      <c r="Z817" s="2300"/>
    </row>
    <row r="818" spans="1:26">
      <c r="A818" s="292" t="str">
        <f>'7.15'!B796</f>
        <v>12幢2单元404室</v>
      </c>
      <c r="B818" s="207">
        <f>'7.17'!G796</f>
        <v>138.16999999999999</v>
      </c>
      <c r="C818" s="197">
        <f t="shared" si="194"/>
        <v>0.98</v>
      </c>
      <c r="D818" s="995" t="s">
        <v>7606</v>
      </c>
      <c r="E818" s="197">
        <f t="shared" si="195"/>
        <v>1</v>
      </c>
      <c r="F818" s="995" t="str">
        <f>'7.15'!D796</f>
        <v>平层</v>
      </c>
      <c r="G818" s="197">
        <f t="shared" si="196"/>
        <v>1</v>
      </c>
      <c r="H818" s="995" t="str">
        <f>'7.15'!E796</f>
        <v>南北西</v>
      </c>
      <c r="I818" s="197">
        <f t="shared" si="197"/>
        <v>1.01</v>
      </c>
      <c r="J818" s="995"/>
      <c r="K818" s="197">
        <f t="shared" si="198"/>
        <v>1</v>
      </c>
      <c r="L818" s="995"/>
      <c r="M818" s="197">
        <f t="shared" si="199"/>
        <v>1</v>
      </c>
      <c r="N818" s="995"/>
      <c r="O818" s="197">
        <f t="shared" si="200"/>
        <v>1</v>
      </c>
      <c r="P818" s="995"/>
      <c r="Q818" s="197">
        <f t="shared" si="201"/>
        <v>1</v>
      </c>
      <c r="R818" s="991">
        <f t="shared" ca="1" si="202"/>
        <v>15769</v>
      </c>
      <c r="S818" s="552">
        <f t="shared" ca="1" si="203"/>
        <v>2178803</v>
      </c>
      <c r="T818" s="2010">
        <f t="shared" ca="1" si="204"/>
        <v>218</v>
      </c>
      <c r="U818" s="2305">
        <f t="shared" si="205"/>
        <v>0</v>
      </c>
      <c r="V818" s="2305">
        <f t="shared" si="206"/>
        <v>0</v>
      </c>
      <c r="W818" s="2300"/>
      <c r="X818" s="2305">
        <f t="shared" si="207"/>
        <v>0</v>
      </c>
      <c r="Y818" s="2305">
        <f t="shared" si="208"/>
        <v>0</v>
      </c>
      <c r="Z818" s="2300"/>
    </row>
    <row r="819" spans="1:26">
      <c r="A819" s="292" t="str">
        <f>'7.15'!B797</f>
        <v>12幢2单元504室</v>
      </c>
      <c r="B819" s="207">
        <f>'7.17'!G797</f>
        <v>138.16999999999999</v>
      </c>
      <c r="C819" s="197">
        <f t="shared" si="194"/>
        <v>0.98</v>
      </c>
      <c r="D819" s="995" t="s">
        <v>7606</v>
      </c>
      <c r="E819" s="197">
        <f t="shared" si="195"/>
        <v>1</v>
      </c>
      <c r="F819" s="995" t="str">
        <f>'7.15'!D797</f>
        <v>平层</v>
      </c>
      <c r="G819" s="197">
        <f t="shared" si="196"/>
        <v>1</v>
      </c>
      <c r="H819" s="995" t="str">
        <f>'7.15'!E797</f>
        <v>南北西</v>
      </c>
      <c r="I819" s="197">
        <f t="shared" si="197"/>
        <v>1.01</v>
      </c>
      <c r="J819" s="995"/>
      <c r="K819" s="197">
        <f t="shared" si="198"/>
        <v>1</v>
      </c>
      <c r="L819" s="995"/>
      <c r="M819" s="197">
        <f t="shared" si="199"/>
        <v>1</v>
      </c>
      <c r="N819" s="995"/>
      <c r="O819" s="197">
        <f t="shared" si="200"/>
        <v>1</v>
      </c>
      <c r="P819" s="995"/>
      <c r="Q819" s="197">
        <f t="shared" si="201"/>
        <v>1</v>
      </c>
      <c r="R819" s="991">
        <f t="shared" ca="1" si="202"/>
        <v>15769</v>
      </c>
      <c r="S819" s="552">
        <f t="shared" ca="1" si="203"/>
        <v>2178803</v>
      </c>
      <c r="T819" s="2010">
        <f t="shared" ca="1" si="204"/>
        <v>218</v>
      </c>
      <c r="U819" s="2305">
        <f t="shared" si="205"/>
        <v>0</v>
      </c>
      <c r="V819" s="2305">
        <f t="shared" si="206"/>
        <v>0</v>
      </c>
      <c r="W819" s="2300"/>
      <c r="X819" s="2305">
        <f t="shared" si="207"/>
        <v>0</v>
      </c>
      <c r="Y819" s="2305">
        <f t="shared" si="208"/>
        <v>0</v>
      </c>
      <c r="Z819" s="2300"/>
    </row>
    <row r="820" spans="1:26">
      <c r="A820" s="292" t="str">
        <f>'7.15'!B798</f>
        <v>12幢2单元604室</v>
      </c>
      <c r="B820" s="207">
        <f>'7.17'!G798</f>
        <v>138.16999999999999</v>
      </c>
      <c r="C820" s="197">
        <f t="shared" si="194"/>
        <v>0.98</v>
      </c>
      <c r="D820" s="995" t="s">
        <v>7606</v>
      </c>
      <c r="E820" s="197">
        <f t="shared" si="195"/>
        <v>1</v>
      </c>
      <c r="F820" s="995" t="str">
        <f>'7.15'!D798</f>
        <v>平层</v>
      </c>
      <c r="G820" s="197">
        <f t="shared" si="196"/>
        <v>1</v>
      </c>
      <c r="H820" s="995" t="str">
        <f>'7.15'!E798</f>
        <v>南北西</v>
      </c>
      <c r="I820" s="197">
        <f t="shared" si="197"/>
        <v>1.01</v>
      </c>
      <c r="J820" s="995"/>
      <c r="K820" s="197">
        <f t="shared" si="198"/>
        <v>1</v>
      </c>
      <c r="L820" s="995"/>
      <c r="M820" s="197">
        <f t="shared" si="199"/>
        <v>1</v>
      </c>
      <c r="N820" s="995"/>
      <c r="O820" s="197">
        <f t="shared" si="200"/>
        <v>1</v>
      </c>
      <c r="P820" s="995"/>
      <c r="Q820" s="197">
        <f t="shared" si="201"/>
        <v>1</v>
      </c>
      <c r="R820" s="991">
        <f t="shared" ca="1" si="202"/>
        <v>15769</v>
      </c>
      <c r="S820" s="552">
        <f t="shared" ca="1" si="203"/>
        <v>2178803</v>
      </c>
      <c r="T820" s="2010">
        <f t="shared" ca="1" si="204"/>
        <v>218</v>
      </c>
      <c r="U820" s="2305">
        <f t="shared" si="205"/>
        <v>0</v>
      </c>
      <c r="V820" s="2305">
        <f t="shared" si="206"/>
        <v>0</v>
      </c>
      <c r="W820" s="2300"/>
      <c r="X820" s="2305">
        <f t="shared" si="207"/>
        <v>0</v>
      </c>
      <c r="Y820" s="2305">
        <f t="shared" si="208"/>
        <v>0</v>
      </c>
      <c r="Z820" s="2300"/>
    </row>
    <row r="821" spans="1:26">
      <c r="A821" s="292" t="str">
        <f>'7.15'!B799</f>
        <v>12幢2单元704室</v>
      </c>
      <c r="B821" s="207">
        <f>'7.17'!G799</f>
        <v>138.16999999999999</v>
      </c>
      <c r="C821" s="197">
        <f t="shared" si="194"/>
        <v>0.98</v>
      </c>
      <c r="D821" s="995" t="s">
        <v>7606</v>
      </c>
      <c r="E821" s="197">
        <f t="shared" si="195"/>
        <v>1</v>
      </c>
      <c r="F821" s="995" t="str">
        <f>'7.15'!D799</f>
        <v>平层</v>
      </c>
      <c r="G821" s="197">
        <f t="shared" si="196"/>
        <v>1</v>
      </c>
      <c r="H821" s="995" t="str">
        <f>'7.15'!E799</f>
        <v>南北西</v>
      </c>
      <c r="I821" s="197">
        <f t="shared" si="197"/>
        <v>1.01</v>
      </c>
      <c r="J821" s="995"/>
      <c r="K821" s="197">
        <f t="shared" si="198"/>
        <v>1</v>
      </c>
      <c r="L821" s="995"/>
      <c r="M821" s="197">
        <f t="shared" si="199"/>
        <v>1</v>
      </c>
      <c r="N821" s="995"/>
      <c r="O821" s="197">
        <f t="shared" si="200"/>
        <v>1</v>
      </c>
      <c r="P821" s="995"/>
      <c r="Q821" s="197">
        <f t="shared" si="201"/>
        <v>1</v>
      </c>
      <c r="R821" s="991">
        <f t="shared" ca="1" si="202"/>
        <v>15769</v>
      </c>
      <c r="S821" s="552">
        <f t="shared" ca="1" si="203"/>
        <v>2178803</v>
      </c>
      <c r="T821" s="2010">
        <f t="shared" ca="1" si="204"/>
        <v>218</v>
      </c>
      <c r="U821" s="2305">
        <f t="shared" si="205"/>
        <v>0</v>
      </c>
      <c r="V821" s="2305">
        <f t="shared" si="206"/>
        <v>0</v>
      </c>
      <c r="W821" s="2300"/>
      <c r="X821" s="2305">
        <f t="shared" si="207"/>
        <v>0</v>
      </c>
      <c r="Y821" s="2305">
        <f t="shared" si="208"/>
        <v>0</v>
      </c>
      <c r="Z821" s="2300"/>
    </row>
    <row r="822" spans="1:26">
      <c r="A822" s="292" t="str">
        <f>'7.15'!B800</f>
        <v>12幢2单元804室</v>
      </c>
      <c r="B822" s="207">
        <f>'7.17'!G800</f>
        <v>138.16999999999999</v>
      </c>
      <c r="C822" s="197">
        <f t="shared" si="194"/>
        <v>0.98</v>
      </c>
      <c r="D822" s="995" t="s">
        <v>7606</v>
      </c>
      <c r="E822" s="197">
        <f t="shared" si="195"/>
        <v>1</v>
      </c>
      <c r="F822" s="995" t="str">
        <f>'7.15'!D800</f>
        <v>平层</v>
      </c>
      <c r="G822" s="197">
        <f t="shared" si="196"/>
        <v>1</v>
      </c>
      <c r="H822" s="995" t="str">
        <f>'7.15'!E800</f>
        <v>南北西</v>
      </c>
      <c r="I822" s="197">
        <f t="shared" si="197"/>
        <v>1.01</v>
      </c>
      <c r="J822" s="995"/>
      <c r="K822" s="197">
        <f t="shared" si="198"/>
        <v>1</v>
      </c>
      <c r="L822" s="995"/>
      <c r="M822" s="197">
        <f t="shared" si="199"/>
        <v>1</v>
      </c>
      <c r="N822" s="995"/>
      <c r="O822" s="197">
        <f t="shared" si="200"/>
        <v>1</v>
      </c>
      <c r="P822" s="995"/>
      <c r="Q822" s="197">
        <f t="shared" si="201"/>
        <v>1</v>
      </c>
      <c r="R822" s="991">
        <f t="shared" ca="1" si="202"/>
        <v>15769</v>
      </c>
      <c r="S822" s="552">
        <f t="shared" ca="1" si="203"/>
        <v>2178803</v>
      </c>
      <c r="T822" s="2010">
        <f t="shared" ca="1" si="204"/>
        <v>218</v>
      </c>
      <c r="U822" s="2305">
        <f t="shared" si="205"/>
        <v>0</v>
      </c>
      <c r="V822" s="2305">
        <f t="shared" si="206"/>
        <v>0</v>
      </c>
      <c r="W822" s="2300"/>
      <c r="X822" s="2305">
        <f t="shared" si="207"/>
        <v>0</v>
      </c>
      <c r="Y822" s="2305">
        <f t="shared" si="208"/>
        <v>0</v>
      </c>
      <c r="Z822" s="2300"/>
    </row>
    <row r="823" spans="1:26">
      <c r="A823" s="292" t="str">
        <f>'7.15'!B801</f>
        <v>12幢2单元904室</v>
      </c>
      <c r="B823" s="207">
        <f>'7.17'!G801</f>
        <v>138.16999999999999</v>
      </c>
      <c r="C823" s="197">
        <f t="shared" si="194"/>
        <v>0.98</v>
      </c>
      <c r="D823" s="995" t="s">
        <v>7606</v>
      </c>
      <c r="E823" s="197">
        <f t="shared" si="195"/>
        <v>1</v>
      </c>
      <c r="F823" s="995" t="str">
        <f>'7.15'!D801</f>
        <v>平层</v>
      </c>
      <c r="G823" s="197">
        <f t="shared" si="196"/>
        <v>1</v>
      </c>
      <c r="H823" s="995" t="str">
        <f>'7.15'!E801</f>
        <v>南北西</v>
      </c>
      <c r="I823" s="197">
        <f t="shared" si="197"/>
        <v>1.01</v>
      </c>
      <c r="J823" s="995"/>
      <c r="K823" s="197">
        <f t="shared" si="198"/>
        <v>1</v>
      </c>
      <c r="L823" s="995"/>
      <c r="M823" s="197">
        <f t="shared" si="199"/>
        <v>1</v>
      </c>
      <c r="N823" s="995"/>
      <c r="O823" s="197">
        <f t="shared" si="200"/>
        <v>1</v>
      </c>
      <c r="P823" s="995"/>
      <c r="Q823" s="197">
        <f t="shared" si="201"/>
        <v>1</v>
      </c>
      <c r="R823" s="991">
        <f t="shared" ca="1" si="202"/>
        <v>15769</v>
      </c>
      <c r="S823" s="552">
        <f t="shared" ca="1" si="203"/>
        <v>2178803</v>
      </c>
      <c r="T823" s="2010">
        <f t="shared" ca="1" si="204"/>
        <v>218</v>
      </c>
      <c r="U823" s="2305">
        <f t="shared" si="205"/>
        <v>0</v>
      </c>
      <c r="V823" s="2305">
        <f t="shared" si="206"/>
        <v>0</v>
      </c>
      <c r="W823" s="2300"/>
      <c r="X823" s="2305">
        <f t="shared" si="207"/>
        <v>0</v>
      </c>
      <c r="Y823" s="2305">
        <f t="shared" si="208"/>
        <v>0</v>
      </c>
      <c r="Z823" s="2300"/>
    </row>
    <row r="824" spans="1:26">
      <c r="A824" s="292" t="str">
        <f>'7.15'!B802</f>
        <v>12幢2单元1004室</v>
      </c>
      <c r="B824" s="207">
        <f>'7.17'!G802</f>
        <v>138.16999999999999</v>
      </c>
      <c r="C824" s="197">
        <f t="shared" si="194"/>
        <v>0.98</v>
      </c>
      <c r="D824" s="995" t="s">
        <v>7606</v>
      </c>
      <c r="E824" s="197">
        <f t="shared" si="195"/>
        <v>1</v>
      </c>
      <c r="F824" s="995" t="str">
        <f>'7.15'!D802</f>
        <v>平层</v>
      </c>
      <c r="G824" s="197">
        <f t="shared" si="196"/>
        <v>1</v>
      </c>
      <c r="H824" s="995" t="str">
        <f>'7.15'!E802</f>
        <v>南北西</v>
      </c>
      <c r="I824" s="197">
        <f t="shared" si="197"/>
        <v>1.01</v>
      </c>
      <c r="J824" s="995"/>
      <c r="K824" s="197">
        <f t="shared" si="198"/>
        <v>1</v>
      </c>
      <c r="L824" s="995"/>
      <c r="M824" s="197">
        <f t="shared" si="199"/>
        <v>1</v>
      </c>
      <c r="N824" s="995"/>
      <c r="O824" s="197">
        <f t="shared" si="200"/>
        <v>1</v>
      </c>
      <c r="P824" s="995"/>
      <c r="Q824" s="197">
        <f t="shared" si="201"/>
        <v>1</v>
      </c>
      <c r="R824" s="991">
        <f t="shared" ca="1" si="202"/>
        <v>15769</v>
      </c>
      <c r="S824" s="552">
        <f t="shared" ca="1" si="203"/>
        <v>2178803</v>
      </c>
      <c r="T824" s="2010">
        <f t="shared" ca="1" si="204"/>
        <v>218</v>
      </c>
      <c r="U824" s="2305">
        <f t="shared" si="205"/>
        <v>0</v>
      </c>
      <c r="V824" s="2305">
        <f t="shared" si="206"/>
        <v>0</v>
      </c>
      <c r="W824" s="2300"/>
      <c r="X824" s="2305">
        <f t="shared" si="207"/>
        <v>0</v>
      </c>
      <c r="Y824" s="2305">
        <f t="shared" si="208"/>
        <v>0</v>
      </c>
      <c r="Z824" s="2300"/>
    </row>
    <row r="825" spans="1:26">
      <c r="A825" s="292" t="str">
        <f>'7.15'!B803</f>
        <v>12幢2单元1104室</v>
      </c>
      <c r="B825" s="207">
        <f>'7.17'!G803</f>
        <v>138.16999999999999</v>
      </c>
      <c r="C825" s="197">
        <f t="shared" si="194"/>
        <v>0.98</v>
      </c>
      <c r="D825" s="995" t="s">
        <v>7609</v>
      </c>
      <c r="E825" s="197">
        <f t="shared" si="195"/>
        <v>1.04</v>
      </c>
      <c r="F825" s="995" t="str">
        <f>'7.15'!D803</f>
        <v>平层</v>
      </c>
      <c r="G825" s="197">
        <f t="shared" si="196"/>
        <v>1</v>
      </c>
      <c r="H825" s="995" t="str">
        <f>'7.15'!E803</f>
        <v>南北西</v>
      </c>
      <c r="I825" s="197">
        <f t="shared" si="197"/>
        <v>1.01</v>
      </c>
      <c r="J825" s="995"/>
      <c r="K825" s="197">
        <f t="shared" si="198"/>
        <v>1</v>
      </c>
      <c r="L825" s="995"/>
      <c r="M825" s="197">
        <f t="shared" si="199"/>
        <v>1</v>
      </c>
      <c r="N825" s="995"/>
      <c r="O825" s="197">
        <f t="shared" si="200"/>
        <v>1</v>
      </c>
      <c r="P825" s="995"/>
      <c r="Q825" s="197">
        <f t="shared" si="201"/>
        <v>1</v>
      </c>
      <c r="R825" s="991">
        <f t="shared" ca="1" si="202"/>
        <v>16400</v>
      </c>
      <c r="S825" s="552">
        <f t="shared" ca="1" si="203"/>
        <v>2265988</v>
      </c>
      <c r="T825" s="2010">
        <f t="shared" ca="1" si="204"/>
        <v>227</v>
      </c>
      <c r="U825" s="2305">
        <f t="shared" si="205"/>
        <v>0</v>
      </c>
      <c r="V825" s="2305">
        <f t="shared" si="206"/>
        <v>0</v>
      </c>
      <c r="W825" s="2300"/>
      <c r="X825" s="2305">
        <f t="shared" si="207"/>
        <v>0</v>
      </c>
      <c r="Y825" s="2305">
        <f t="shared" si="208"/>
        <v>0</v>
      </c>
      <c r="Z825" s="2300"/>
    </row>
    <row r="826" spans="1:26">
      <c r="A826" s="292" t="str">
        <f>'7.15'!B804</f>
        <v>12幢2单元1204室</v>
      </c>
      <c r="B826" s="207">
        <f>'7.17'!G804</f>
        <v>138.16999999999999</v>
      </c>
      <c r="C826" s="197">
        <f t="shared" si="194"/>
        <v>0.98</v>
      </c>
      <c r="D826" s="995" t="s">
        <v>7609</v>
      </c>
      <c r="E826" s="197">
        <f t="shared" si="195"/>
        <v>1.04</v>
      </c>
      <c r="F826" s="995" t="str">
        <f>'7.15'!D804</f>
        <v>平层</v>
      </c>
      <c r="G826" s="197">
        <f t="shared" si="196"/>
        <v>1</v>
      </c>
      <c r="H826" s="995" t="str">
        <f>'7.15'!E804</f>
        <v>南北西</v>
      </c>
      <c r="I826" s="197">
        <f t="shared" si="197"/>
        <v>1.01</v>
      </c>
      <c r="J826" s="995"/>
      <c r="K826" s="197">
        <f t="shared" si="198"/>
        <v>1</v>
      </c>
      <c r="L826" s="995"/>
      <c r="M826" s="197">
        <f t="shared" si="199"/>
        <v>1</v>
      </c>
      <c r="N826" s="995"/>
      <c r="O826" s="197">
        <f t="shared" si="200"/>
        <v>1</v>
      </c>
      <c r="P826" s="995"/>
      <c r="Q826" s="197">
        <f t="shared" si="201"/>
        <v>1</v>
      </c>
      <c r="R826" s="991">
        <f t="shared" ca="1" si="202"/>
        <v>16400</v>
      </c>
      <c r="S826" s="552">
        <f t="shared" ca="1" si="203"/>
        <v>2265988</v>
      </c>
      <c r="T826" s="2010">
        <f t="shared" ca="1" si="204"/>
        <v>227</v>
      </c>
      <c r="U826" s="2305">
        <f t="shared" si="205"/>
        <v>0</v>
      </c>
      <c r="V826" s="2305">
        <f t="shared" si="206"/>
        <v>0</v>
      </c>
      <c r="W826" s="2300"/>
      <c r="X826" s="2305">
        <f t="shared" si="207"/>
        <v>0</v>
      </c>
      <c r="Y826" s="2305">
        <f t="shared" si="208"/>
        <v>0</v>
      </c>
      <c r="Z826" s="2300"/>
    </row>
    <row r="827" spans="1:26">
      <c r="A827" s="292" t="str">
        <f>'7.15'!B805</f>
        <v>12幢2单元1304室</v>
      </c>
      <c r="B827" s="207">
        <f>'7.17'!G805</f>
        <v>138.16999999999999</v>
      </c>
      <c r="C827" s="197">
        <f t="shared" si="194"/>
        <v>0.98</v>
      </c>
      <c r="D827" s="995" t="s">
        <v>7609</v>
      </c>
      <c r="E827" s="197">
        <f t="shared" si="195"/>
        <v>1.04</v>
      </c>
      <c r="F827" s="995" t="str">
        <f>'7.15'!D805</f>
        <v>平层</v>
      </c>
      <c r="G827" s="197">
        <f t="shared" si="196"/>
        <v>1</v>
      </c>
      <c r="H827" s="995" t="str">
        <f>'7.15'!E805</f>
        <v>南北西</v>
      </c>
      <c r="I827" s="197">
        <f t="shared" si="197"/>
        <v>1.01</v>
      </c>
      <c r="J827" s="995"/>
      <c r="K827" s="197">
        <f t="shared" si="198"/>
        <v>1</v>
      </c>
      <c r="L827" s="995"/>
      <c r="M827" s="197">
        <f t="shared" si="199"/>
        <v>1</v>
      </c>
      <c r="N827" s="995"/>
      <c r="O827" s="197">
        <f t="shared" si="200"/>
        <v>1</v>
      </c>
      <c r="P827" s="995"/>
      <c r="Q827" s="197">
        <f t="shared" si="201"/>
        <v>1</v>
      </c>
      <c r="R827" s="991">
        <f t="shared" ca="1" si="202"/>
        <v>16400</v>
      </c>
      <c r="S827" s="552">
        <f t="shared" ca="1" si="203"/>
        <v>2265988</v>
      </c>
      <c r="T827" s="2010">
        <f t="shared" ca="1" si="204"/>
        <v>227</v>
      </c>
      <c r="U827" s="2305">
        <f t="shared" si="205"/>
        <v>0</v>
      </c>
      <c r="V827" s="2305">
        <f t="shared" si="206"/>
        <v>0</v>
      </c>
      <c r="W827" s="2300"/>
      <c r="X827" s="2305">
        <f t="shared" si="207"/>
        <v>0</v>
      </c>
      <c r="Y827" s="2305">
        <f t="shared" si="208"/>
        <v>0</v>
      </c>
      <c r="Z827" s="2300"/>
    </row>
    <row r="828" spans="1:26">
      <c r="A828" s="292" t="str">
        <f>'7.15'!B806</f>
        <v>12幢2单元1404室</v>
      </c>
      <c r="B828" s="207">
        <f>'7.17'!G806</f>
        <v>138.16999999999999</v>
      </c>
      <c r="C828" s="197">
        <f t="shared" si="194"/>
        <v>0.98</v>
      </c>
      <c r="D828" s="995" t="s">
        <v>7609</v>
      </c>
      <c r="E828" s="197">
        <f t="shared" si="195"/>
        <v>1.04</v>
      </c>
      <c r="F828" s="995" t="str">
        <f>'7.15'!D806</f>
        <v>平层</v>
      </c>
      <c r="G828" s="197">
        <f t="shared" si="196"/>
        <v>1</v>
      </c>
      <c r="H828" s="995" t="str">
        <f>'7.15'!E806</f>
        <v>南北西</v>
      </c>
      <c r="I828" s="197">
        <f t="shared" si="197"/>
        <v>1.01</v>
      </c>
      <c r="J828" s="995"/>
      <c r="K828" s="197">
        <f t="shared" si="198"/>
        <v>1</v>
      </c>
      <c r="L828" s="995"/>
      <c r="M828" s="197">
        <f t="shared" si="199"/>
        <v>1</v>
      </c>
      <c r="N828" s="995"/>
      <c r="O828" s="197">
        <f t="shared" si="200"/>
        <v>1</v>
      </c>
      <c r="P828" s="995"/>
      <c r="Q828" s="197">
        <f t="shared" si="201"/>
        <v>1</v>
      </c>
      <c r="R828" s="991">
        <f t="shared" ca="1" si="202"/>
        <v>16400</v>
      </c>
      <c r="S828" s="552">
        <f t="shared" ca="1" si="203"/>
        <v>2265988</v>
      </c>
      <c r="T828" s="2010">
        <f t="shared" ca="1" si="204"/>
        <v>227</v>
      </c>
      <c r="U828" s="2305">
        <f t="shared" si="205"/>
        <v>0</v>
      </c>
      <c r="V828" s="2305">
        <f t="shared" si="206"/>
        <v>0</v>
      </c>
      <c r="W828" s="2300"/>
      <c r="X828" s="2305">
        <f t="shared" si="207"/>
        <v>0</v>
      </c>
      <c r="Y828" s="2305">
        <f t="shared" si="208"/>
        <v>0</v>
      </c>
      <c r="Z828" s="2300"/>
    </row>
    <row r="829" spans="1:26">
      <c r="A829" s="292" t="str">
        <f>'7.15'!B807</f>
        <v>12幢2单元1504室</v>
      </c>
      <c r="B829" s="207">
        <f>'7.17'!G807</f>
        <v>138.16999999999999</v>
      </c>
      <c r="C829" s="197">
        <f t="shared" si="194"/>
        <v>0.98</v>
      </c>
      <c r="D829" s="995" t="s">
        <v>7609</v>
      </c>
      <c r="E829" s="197">
        <f t="shared" si="195"/>
        <v>1.04</v>
      </c>
      <c r="F829" s="995" t="str">
        <f>'7.15'!D807</f>
        <v>平层</v>
      </c>
      <c r="G829" s="197">
        <f t="shared" si="196"/>
        <v>1</v>
      </c>
      <c r="H829" s="995" t="str">
        <f>'7.15'!E807</f>
        <v>南北西</v>
      </c>
      <c r="I829" s="197">
        <f t="shared" si="197"/>
        <v>1.01</v>
      </c>
      <c r="J829" s="995"/>
      <c r="K829" s="197">
        <f t="shared" si="198"/>
        <v>1</v>
      </c>
      <c r="L829" s="995"/>
      <c r="M829" s="197">
        <f t="shared" si="199"/>
        <v>1</v>
      </c>
      <c r="N829" s="995"/>
      <c r="O829" s="197">
        <f t="shared" si="200"/>
        <v>1</v>
      </c>
      <c r="P829" s="995"/>
      <c r="Q829" s="197">
        <f t="shared" si="201"/>
        <v>1</v>
      </c>
      <c r="R829" s="991">
        <f t="shared" ca="1" si="202"/>
        <v>16400</v>
      </c>
      <c r="S829" s="552">
        <f t="shared" ca="1" si="203"/>
        <v>2265988</v>
      </c>
      <c r="T829" s="2010">
        <f t="shared" ca="1" si="204"/>
        <v>227</v>
      </c>
      <c r="U829" s="2305">
        <f t="shared" si="205"/>
        <v>0</v>
      </c>
      <c r="V829" s="2305">
        <f t="shared" si="206"/>
        <v>0</v>
      </c>
      <c r="W829" s="2300"/>
      <c r="X829" s="2305">
        <f t="shared" si="207"/>
        <v>0</v>
      </c>
      <c r="Y829" s="2305">
        <f t="shared" si="208"/>
        <v>0</v>
      </c>
      <c r="Z829" s="2300"/>
    </row>
    <row r="830" spans="1:26">
      <c r="A830" s="292" t="str">
        <f>'7.15'!B808</f>
        <v>12幢2单元1604室</v>
      </c>
      <c r="B830" s="207">
        <f>'7.17'!G808</f>
        <v>138.16999999999999</v>
      </c>
      <c r="C830" s="197">
        <f t="shared" si="194"/>
        <v>0.98</v>
      </c>
      <c r="D830" s="995" t="s">
        <v>7609</v>
      </c>
      <c r="E830" s="197">
        <f t="shared" si="195"/>
        <v>1.04</v>
      </c>
      <c r="F830" s="995" t="str">
        <f>'7.15'!D808</f>
        <v>平层</v>
      </c>
      <c r="G830" s="197">
        <f t="shared" si="196"/>
        <v>1</v>
      </c>
      <c r="H830" s="995" t="str">
        <f>'7.15'!E808</f>
        <v>南北西</v>
      </c>
      <c r="I830" s="197">
        <f t="shared" si="197"/>
        <v>1.01</v>
      </c>
      <c r="J830" s="995"/>
      <c r="K830" s="197">
        <f t="shared" si="198"/>
        <v>1</v>
      </c>
      <c r="L830" s="995"/>
      <c r="M830" s="197">
        <f t="shared" si="199"/>
        <v>1</v>
      </c>
      <c r="N830" s="995"/>
      <c r="O830" s="197">
        <f t="shared" si="200"/>
        <v>1</v>
      </c>
      <c r="P830" s="995"/>
      <c r="Q830" s="197">
        <f t="shared" si="201"/>
        <v>1</v>
      </c>
      <c r="R830" s="991">
        <f t="shared" ca="1" si="202"/>
        <v>16400</v>
      </c>
      <c r="S830" s="552">
        <f t="shared" ca="1" si="203"/>
        <v>2265988</v>
      </c>
      <c r="T830" s="2010">
        <f t="shared" ca="1" si="204"/>
        <v>227</v>
      </c>
      <c r="U830" s="2305">
        <f t="shared" si="205"/>
        <v>0</v>
      </c>
      <c r="V830" s="2305">
        <f t="shared" si="206"/>
        <v>0</v>
      </c>
      <c r="W830" s="2300"/>
      <c r="X830" s="2305">
        <f t="shared" si="207"/>
        <v>0</v>
      </c>
      <c r="Y830" s="2305">
        <f t="shared" si="208"/>
        <v>0</v>
      </c>
      <c r="Z830" s="2300"/>
    </row>
    <row r="831" spans="1:26">
      <c r="A831" s="292" t="str">
        <f>'7.15'!B809</f>
        <v>12幢2单元1704室</v>
      </c>
      <c r="B831" s="207">
        <f>'7.17'!G809</f>
        <v>138.16999999999999</v>
      </c>
      <c r="C831" s="197">
        <f t="shared" si="194"/>
        <v>0.98</v>
      </c>
      <c r="D831" s="995" t="s">
        <v>7609</v>
      </c>
      <c r="E831" s="197">
        <f t="shared" si="195"/>
        <v>1.04</v>
      </c>
      <c r="F831" s="995" t="str">
        <f>'7.15'!D809</f>
        <v>平层</v>
      </c>
      <c r="G831" s="197">
        <f t="shared" si="196"/>
        <v>1</v>
      </c>
      <c r="H831" s="995" t="str">
        <f>'7.15'!E809</f>
        <v>南北西</v>
      </c>
      <c r="I831" s="197">
        <f t="shared" si="197"/>
        <v>1.01</v>
      </c>
      <c r="J831" s="995"/>
      <c r="K831" s="197">
        <f t="shared" si="198"/>
        <v>1</v>
      </c>
      <c r="L831" s="995"/>
      <c r="M831" s="197">
        <f t="shared" si="199"/>
        <v>1</v>
      </c>
      <c r="N831" s="995"/>
      <c r="O831" s="197">
        <f t="shared" si="200"/>
        <v>1</v>
      </c>
      <c r="P831" s="995"/>
      <c r="Q831" s="197">
        <f t="shared" si="201"/>
        <v>1</v>
      </c>
      <c r="R831" s="991">
        <f t="shared" ca="1" si="202"/>
        <v>16400</v>
      </c>
      <c r="S831" s="552">
        <f t="shared" ca="1" si="203"/>
        <v>2265988</v>
      </c>
      <c r="T831" s="2010">
        <f t="shared" ca="1" si="204"/>
        <v>227</v>
      </c>
      <c r="U831" s="2305">
        <f t="shared" si="205"/>
        <v>0</v>
      </c>
      <c r="V831" s="2305">
        <f t="shared" si="206"/>
        <v>0</v>
      </c>
      <c r="W831" s="2300"/>
      <c r="X831" s="2305">
        <f t="shared" si="207"/>
        <v>0</v>
      </c>
      <c r="Y831" s="2305">
        <f t="shared" si="208"/>
        <v>0</v>
      </c>
      <c r="Z831" s="2300"/>
    </row>
    <row r="832" spans="1:26">
      <c r="A832" s="292" t="str">
        <f>'7.15'!B810</f>
        <v>12幢2单元1804室</v>
      </c>
      <c r="B832" s="207">
        <f>'7.17'!G810</f>
        <v>138.16999999999999</v>
      </c>
      <c r="C832" s="197">
        <f t="shared" si="194"/>
        <v>0.98</v>
      </c>
      <c r="D832" s="995" t="s">
        <v>7609</v>
      </c>
      <c r="E832" s="197">
        <f t="shared" si="195"/>
        <v>1.04</v>
      </c>
      <c r="F832" s="995" t="str">
        <f>'7.15'!D810</f>
        <v>平层</v>
      </c>
      <c r="G832" s="197">
        <f t="shared" si="196"/>
        <v>1</v>
      </c>
      <c r="H832" s="995" t="str">
        <f>'7.15'!E810</f>
        <v>南北西</v>
      </c>
      <c r="I832" s="197">
        <f t="shared" si="197"/>
        <v>1.01</v>
      </c>
      <c r="J832" s="995"/>
      <c r="K832" s="197">
        <f t="shared" si="198"/>
        <v>1</v>
      </c>
      <c r="L832" s="995"/>
      <c r="M832" s="197">
        <f t="shared" si="199"/>
        <v>1</v>
      </c>
      <c r="N832" s="995"/>
      <c r="O832" s="197">
        <f t="shared" si="200"/>
        <v>1</v>
      </c>
      <c r="P832" s="995"/>
      <c r="Q832" s="197">
        <f t="shared" si="201"/>
        <v>1</v>
      </c>
      <c r="R832" s="991">
        <f t="shared" ca="1" si="202"/>
        <v>16400</v>
      </c>
      <c r="S832" s="552">
        <f t="shared" ca="1" si="203"/>
        <v>2265988</v>
      </c>
      <c r="T832" s="2010">
        <f t="shared" ca="1" si="204"/>
        <v>227</v>
      </c>
      <c r="U832" s="2305">
        <f t="shared" si="205"/>
        <v>0</v>
      </c>
      <c r="V832" s="2305">
        <f t="shared" si="206"/>
        <v>0</v>
      </c>
      <c r="W832" s="2300"/>
      <c r="X832" s="2305">
        <f t="shared" si="207"/>
        <v>0</v>
      </c>
      <c r="Y832" s="2305">
        <f t="shared" si="208"/>
        <v>0</v>
      </c>
      <c r="Z832" s="2300"/>
    </row>
    <row r="833" spans="1:26">
      <c r="A833" s="292" t="str">
        <f>'7.15'!B811</f>
        <v>12幢2单元1904室</v>
      </c>
      <c r="B833" s="207">
        <f>'7.17'!G811</f>
        <v>138.16999999999999</v>
      </c>
      <c r="C833" s="197">
        <f t="shared" si="194"/>
        <v>0.98</v>
      </c>
      <c r="D833" s="995" t="s">
        <v>7609</v>
      </c>
      <c r="E833" s="197">
        <f t="shared" si="195"/>
        <v>1.04</v>
      </c>
      <c r="F833" s="995" t="str">
        <f>'7.15'!D811</f>
        <v>平层</v>
      </c>
      <c r="G833" s="197">
        <f t="shared" si="196"/>
        <v>1</v>
      </c>
      <c r="H833" s="995" t="str">
        <f>'7.15'!E811</f>
        <v>南北西</v>
      </c>
      <c r="I833" s="197">
        <f t="shared" si="197"/>
        <v>1.01</v>
      </c>
      <c r="J833" s="995"/>
      <c r="K833" s="197">
        <f t="shared" si="198"/>
        <v>1</v>
      </c>
      <c r="L833" s="995"/>
      <c r="M833" s="197">
        <f t="shared" si="199"/>
        <v>1</v>
      </c>
      <c r="N833" s="995"/>
      <c r="O833" s="197">
        <f t="shared" si="200"/>
        <v>1</v>
      </c>
      <c r="P833" s="995"/>
      <c r="Q833" s="197">
        <f t="shared" si="201"/>
        <v>1</v>
      </c>
      <c r="R833" s="991">
        <f t="shared" ca="1" si="202"/>
        <v>16400</v>
      </c>
      <c r="S833" s="552">
        <f t="shared" ca="1" si="203"/>
        <v>2265988</v>
      </c>
      <c r="T833" s="2010">
        <f t="shared" ca="1" si="204"/>
        <v>227</v>
      </c>
      <c r="U833" s="2305">
        <f t="shared" si="205"/>
        <v>0</v>
      </c>
      <c r="V833" s="2305">
        <f t="shared" si="206"/>
        <v>0</v>
      </c>
      <c r="W833" s="2300"/>
      <c r="X833" s="2305">
        <f t="shared" si="207"/>
        <v>0</v>
      </c>
      <c r="Y833" s="2305">
        <f t="shared" si="208"/>
        <v>0</v>
      </c>
      <c r="Z833" s="2300"/>
    </row>
    <row r="834" spans="1:26">
      <c r="A834" s="292" t="str">
        <f>'7.15'!B812</f>
        <v>12幢2单元2004室</v>
      </c>
      <c r="B834" s="207">
        <f>'7.17'!G812</f>
        <v>138.16999999999999</v>
      </c>
      <c r="C834" s="197">
        <f t="shared" si="194"/>
        <v>0.98</v>
      </c>
      <c r="D834" s="995" t="s">
        <v>7609</v>
      </c>
      <c r="E834" s="197">
        <f t="shared" si="195"/>
        <v>1.04</v>
      </c>
      <c r="F834" s="995" t="str">
        <f>'7.15'!D812</f>
        <v>平层</v>
      </c>
      <c r="G834" s="197">
        <f t="shared" si="196"/>
        <v>1</v>
      </c>
      <c r="H834" s="995" t="str">
        <f>'7.15'!E812</f>
        <v>南北西</v>
      </c>
      <c r="I834" s="197">
        <f t="shared" si="197"/>
        <v>1.01</v>
      </c>
      <c r="J834" s="995"/>
      <c r="K834" s="197">
        <f t="shared" si="198"/>
        <v>1</v>
      </c>
      <c r="L834" s="995"/>
      <c r="M834" s="197">
        <f t="shared" si="199"/>
        <v>1</v>
      </c>
      <c r="N834" s="995"/>
      <c r="O834" s="197">
        <f t="shared" si="200"/>
        <v>1</v>
      </c>
      <c r="P834" s="995"/>
      <c r="Q834" s="197">
        <f t="shared" si="201"/>
        <v>1</v>
      </c>
      <c r="R834" s="991">
        <f t="shared" ca="1" si="202"/>
        <v>16400</v>
      </c>
      <c r="S834" s="552">
        <f t="shared" ca="1" si="203"/>
        <v>2265988</v>
      </c>
      <c r="T834" s="2010">
        <f t="shared" ca="1" si="204"/>
        <v>227</v>
      </c>
      <c r="U834" s="2305">
        <f t="shared" si="205"/>
        <v>0</v>
      </c>
      <c r="V834" s="2305">
        <f t="shared" si="206"/>
        <v>0</v>
      </c>
      <c r="W834" s="2300"/>
      <c r="X834" s="2305">
        <f t="shared" si="207"/>
        <v>0</v>
      </c>
      <c r="Y834" s="2305">
        <f t="shared" si="208"/>
        <v>0</v>
      </c>
      <c r="Z834" s="2300"/>
    </row>
    <row r="835" spans="1:26">
      <c r="A835" s="292" t="str">
        <f>'7.15'!B813</f>
        <v>12幢2单元2104室</v>
      </c>
      <c r="B835" s="207">
        <f>'7.17'!G813</f>
        <v>138.16999999999999</v>
      </c>
      <c r="C835" s="197">
        <f t="shared" si="194"/>
        <v>0.98</v>
      </c>
      <c r="D835" s="995" t="s">
        <v>7608</v>
      </c>
      <c r="E835" s="197">
        <f t="shared" si="195"/>
        <v>1.02</v>
      </c>
      <c r="F835" s="995" t="str">
        <f>'7.15'!D813</f>
        <v>平层</v>
      </c>
      <c r="G835" s="197">
        <f t="shared" si="196"/>
        <v>1</v>
      </c>
      <c r="H835" s="995" t="str">
        <f>'7.15'!E813</f>
        <v>南北西</v>
      </c>
      <c r="I835" s="197">
        <f t="shared" si="197"/>
        <v>1.01</v>
      </c>
      <c r="J835" s="995"/>
      <c r="K835" s="197">
        <f t="shared" si="198"/>
        <v>1</v>
      </c>
      <c r="L835" s="995"/>
      <c r="M835" s="197">
        <f t="shared" si="199"/>
        <v>1</v>
      </c>
      <c r="N835" s="995"/>
      <c r="O835" s="197">
        <f t="shared" si="200"/>
        <v>1</v>
      </c>
      <c r="P835" s="995"/>
      <c r="Q835" s="197">
        <f t="shared" si="201"/>
        <v>1</v>
      </c>
      <c r="R835" s="991">
        <f t="shared" ca="1" si="202"/>
        <v>16085</v>
      </c>
      <c r="S835" s="552">
        <f t="shared" ca="1" si="203"/>
        <v>2222464</v>
      </c>
      <c r="T835" s="2010">
        <f t="shared" ca="1" si="204"/>
        <v>222</v>
      </c>
      <c r="U835" s="2305">
        <f t="shared" si="205"/>
        <v>0</v>
      </c>
      <c r="V835" s="2305">
        <f t="shared" si="206"/>
        <v>0</v>
      </c>
      <c r="W835" s="2300"/>
      <c r="X835" s="2305">
        <f t="shared" si="207"/>
        <v>0</v>
      </c>
      <c r="Y835" s="2305">
        <f t="shared" si="208"/>
        <v>0</v>
      </c>
      <c r="Z835" s="2300"/>
    </row>
    <row r="836" spans="1:26">
      <c r="A836" s="292" t="str">
        <f>'7.15'!B814</f>
        <v>12幢2单元2204室</v>
      </c>
      <c r="B836" s="207">
        <f>'7.17'!G814</f>
        <v>138.16999999999999</v>
      </c>
      <c r="C836" s="197">
        <f t="shared" si="194"/>
        <v>0.98</v>
      </c>
      <c r="D836" s="995" t="s">
        <v>7608</v>
      </c>
      <c r="E836" s="197">
        <f t="shared" si="195"/>
        <v>1.02</v>
      </c>
      <c r="F836" s="995" t="str">
        <f>'7.15'!D814</f>
        <v>平层</v>
      </c>
      <c r="G836" s="197">
        <f t="shared" si="196"/>
        <v>1</v>
      </c>
      <c r="H836" s="995" t="str">
        <f>'7.15'!E814</f>
        <v>南北西</v>
      </c>
      <c r="I836" s="197">
        <f t="shared" si="197"/>
        <v>1.01</v>
      </c>
      <c r="J836" s="995"/>
      <c r="K836" s="197">
        <f t="shared" si="198"/>
        <v>1</v>
      </c>
      <c r="L836" s="995"/>
      <c r="M836" s="197">
        <f t="shared" si="199"/>
        <v>1</v>
      </c>
      <c r="N836" s="995"/>
      <c r="O836" s="197">
        <f t="shared" si="200"/>
        <v>1</v>
      </c>
      <c r="P836" s="995"/>
      <c r="Q836" s="197">
        <f t="shared" si="201"/>
        <v>1</v>
      </c>
      <c r="R836" s="991">
        <f t="shared" ca="1" si="202"/>
        <v>16085</v>
      </c>
      <c r="S836" s="552">
        <f t="shared" ca="1" si="203"/>
        <v>2222464</v>
      </c>
      <c r="T836" s="2010">
        <f t="shared" ca="1" si="204"/>
        <v>222</v>
      </c>
      <c r="U836" s="2305">
        <f t="shared" si="205"/>
        <v>0</v>
      </c>
      <c r="V836" s="2305">
        <f t="shared" si="206"/>
        <v>0</v>
      </c>
      <c r="W836" s="2300"/>
      <c r="X836" s="2305">
        <f t="shared" si="207"/>
        <v>0</v>
      </c>
      <c r="Y836" s="2305">
        <f t="shared" si="208"/>
        <v>0</v>
      </c>
      <c r="Z836" s="2300"/>
    </row>
    <row r="837" spans="1:26">
      <c r="A837" s="292" t="str">
        <f>'7.15'!B815</f>
        <v>12幢2单元2304室</v>
      </c>
      <c r="B837" s="207">
        <f>'7.17'!G815</f>
        <v>138.16999999999999</v>
      </c>
      <c r="C837" s="197">
        <f t="shared" si="194"/>
        <v>0.98</v>
      </c>
      <c r="D837" s="995" t="s">
        <v>7608</v>
      </c>
      <c r="E837" s="197">
        <f t="shared" si="195"/>
        <v>1.02</v>
      </c>
      <c r="F837" s="995" t="str">
        <f>'7.15'!D815</f>
        <v>平层</v>
      </c>
      <c r="G837" s="197">
        <f t="shared" si="196"/>
        <v>1</v>
      </c>
      <c r="H837" s="995" t="str">
        <f>'7.15'!E815</f>
        <v>南北西</v>
      </c>
      <c r="I837" s="197">
        <f t="shared" si="197"/>
        <v>1.01</v>
      </c>
      <c r="J837" s="995"/>
      <c r="K837" s="197">
        <f t="shared" si="198"/>
        <v>1</v>
      </c>
      <c r="L837" s="995"/>
      <c r="M837" s="197">
        <f t="shared" si="199"/>
        <v>1</v>
      </c>
      <c r="N837" s="995"/>
      <c r="O837" s="197">
        <f t="shared" si="200"/>
        <v>1</v>
      </c>
      <c r="P837" s="995"/>
      <c r="Q837" s="197">
        <f t="shared" si="201"/>
        <v>1</v>
      </c>
      <c r="R837" s="991">
        <f t="shared" ca="1" si="202"/>
        <v>16085</v>
      </c>
      <c r="S837" s="552">
        <f t="shared" ca="1" si="203"/>
        <v>2222464</v>
      </c>
      <c r="T837" s="2010">
        <f t="shared" ca="1" si="204"/>
        <v>222</v>
      </c>
      <c r="U837" s="2305">
        <f t="shared" si="205"/>
        <v>0</v>
      </c>
      <c r="V837" s="2305">
        <f t="shared" si="206"/>
        <v>0</v>
      </c>
      <c r="W837" s="2300"/>
      <c r="X837" s="2305">
        <f t="shared" si="207"/>
        <v>0</v>
      </c>
      <c r="Y837" s="2305">
        <f t="shared" si="208"/>
        <v>0</v>
      </c>
      <c r="Z837" s="2300"/>
    </row>
    <row r="838" spans="1:26">
      <c r="A838" s="292" t="str">
        <f>'7.15'!B816</f>
        <v>12幢2单元2404室</v>
      </c>
      <c r="B838" s="207">
        <f>'7.17'!G816</f>
        <v>138.16999999999999</v>
      </c>
      <c r="C838" s="197">
        <f t="shared" si="194"/>
        <v>0.98</v>
      </c>
      <c r="D838" s="995" t="s">
        <v>7608</v>
      </c>
      <c r="E838" s="197">
        <f t="shared" si="195"/>
        <v>1.02</v>
      </c>
      <c r="F838" s="995" t="str">
        <f>'7.15'!D816</f>
        <v>平层</v>
      </c>
      <c r="G838" s="197">
        <f t="shared" si="196"/>
        <v>1</v>
      </c>
      <c r="H838" s="995" t="str">
        <f>'7.15'!E816</f>
        <v>南北西</v>
      </c>
      <c r="I838" s="197">
        <f t="shared" si="197"/>
        <v>1.01</v>
      </c>
      <c r="J838" s="995"/>
      <c r="K838" s="197">
        <f t="shared" si="198"/>
        <v>1</v>
      </c>
      <c r="L838" s="995"/>
      <c r="M838" s="197">
        <f t="shared" si="199"/>
        <v>1</v>
      </c>
      <c r="N838" s="995"/>
      <c r="O838" s="197">
        <f t="shared" si="200"/>
        <v>1</v>
      </c>
      <c r="P838" s="995"/>
      <c r="Q838" s="197">
        <f t="shared" si="201"/>
        <v>1</v>
      </c>
      <c r="R838" s="991">
        <f t="shared" ca="1" si="202"/>
        <v>16085</v>
      </c>
      <c r="S838" s="552">
        <f t="shared" ca="1" si="203"/>
        <v>2222464</v>
      </c>
      <c r="T838" s="2010">
        <f t="shared" ca="1" si="204"/>
        <v>222</v>
      </c>
      <c r="U838" s="2305">
        <f t="shared" si="205"/>
        <v>0</v>
      </c>
      <c r="V838" s="2305">
        <f t="shared" si="206"/>
        <v>0</v>
      </c>
      <c r="W838" s="2300"/>
      <c r="X838" s="2305">
        <f t="shared" si="207"/>
        <v>0</v>
      </c>
      <c r="Y838" s="2305">
        <f t="shared" si="208"/>
        <v>0</v>
      </c>
      <c r="Z838" s="2300"/>
    </row>
    <row r="839" spans="1:26">
      <c r="A839" s="292" t="str">
        <f>'7.15'!B817</f>
        <v>12幢2单元2504室</v>
      </c>
      <c r="B839" s="207">
        <f>'7.17'!G817</f>
        <v>138.16999999999999</v>
      </c>
      <c r="C839" s="197">
        <f t="shared" si="194"/>
        <v>0.98</v>
      </c>
      <c r="D839" s="995" t="s">
        <v>7608</v>
      </c>
      <c r="E839" s="197">
        <f t="shared" si="195"/>
        <v>1.02</v>
      </c>
      <c r="F839" s="995" t="str">
        <f>'7.15'!D817</f>
        <v>平层</v>
      </c>
      <c r="G839" s="197">
        <f t="shared" si="196"/>
        <v>1</v>
      </c>
      <c r="H839" s="995" t="str">
        <f>'7.15'!E817</f>
        <v>南北西</v>
      </c>
      <c r="I839" s="197">
        <f t="shared" si="197"/>
        <v>1.01</v>
      </c>
      <c r="J839" s="995"/>
      <c r="K839" s="197">
        <f t="shared" si="198"/>
        <v>1</v>
      </c>
      <c r="L839" s="995"/>
      <c r="M839" s="197">
        <f t="shared" si="199"/>
        <v>1</v>
      </c>
      <c r="N839" s="995"/>
      <c r="O839" s="197">
        <f t="shared" si="200"/>
        <v>1</v>
      </c>
      <c r="P839" s="995"/>
      <c r="Q839" s="197">
        <f t="shared" si="201"/>
        <v>1</v>
      </c>
      <c r="R839" s="991">
        <f t="shared" ca="1" si="202"/>
        <v>16085</v>
      </c>
      <c r="S839" s="552">
        <f t="shared" ca="1" si="203"/>
        <v>2222464</v>
      </c>
      <c r="T839" s="2010">
        <f t="shared" ca="1" si="204"/>
        <v>222</v>
      </c>
      <c r="U839" s="2305">
        <f t="shared" si="205"/>
        <v>0</v>
      </c>
      <c r="V839" s="2305">
        <f t="shared" si="206"/>
        <v>0</v>
      </c>
      <c r="W839" s="2300"/>
      <c r="X839" s="2305">
        <f t="shared" si="207"/>
        <v>0</v>
      </c>
      <c r="Y839" s="2305">
        <f t="shared" si="208"/>
        <v>0</v>
      </c>
      <c r="Z839" s="2300"/>
    </row>
    <row r="840" spans="1:26">
      <c r="A840" s="292" t="str">
        <f>'7.15'!B818</f>
        <v>12幢2单元2604室</v>
      </c>
      <c r="B840" s="207">
        <f>'7.17'!G818</f>
        <v>138.16999999999999</v>
      </c>
      <c r="C840" s="197">
        <f t="shared" si="194"/>
        <v>0.98</v>
      </c>
      <c r="D840" s="995" t="s">
        <v>7608</v>
      </c>
      <c r="E840" s="197">
        <f t="shared" si="195"/>
        <v>1.02</v>
      </c>
      <c r="F840" s="995" t="str">
        <f>'7.15'!D818</f>
        <v>平层</v>
      </c>
      <c r="G840" s="197">
        <f t="shared" si="196"/>
        <v>1</v>
      </c>
      <c r="H840" s="995" t="str">
        <f>'7.15'!E818</f>
        <v>南北西</v>
      </c>
      <c r="I840" s="197">
        <f t="shared" si="197"/>
        <v>1.01</v>
      </c>
      <c r="J840" s="995"/>
      <c r="K840" s="197">
        <f t="shared" si="198"/>
        <v>1</v>
      </c>
      <c r="L840" s="995"/>
      <c r="M840" s="197">
        <f t="shared" si="199"/>
        <v>1</v>
      </c>
      <c r="N840" s="995"/>
      <c r="O840" s="197">
        <f t="shared" si="200"/>
        <v>1</v>
      </c>
      <c r="P840" s="995"/>
      <c r="Q840" s="197">
        <f t="shared" si="201"/>
        <v>1</v>
      </c>
      <c r="R840" s="991">
        <f t="shared" ca="1" si="202"/>
        <v>16085</v>
      </c>
      <c r="S840" s="552">
        <f t="shared" ca="1" si="203"/>
        <v>2222464</v>
      </c>
      <c r="T840" s="2010">
        <f t="shared" ca="1" si="204"/>
        <v>222</v>
      </c>
      <c r="U840" s="2305">
        <f t="shared" si="205"/>
        <v>0</v>
      </c>
      <c r="V840" s="2305">
        <f t="shared" si="206"/>
        <v>0</v>
      </c>
      <c r="W840" s="2300"/>
      <c r="X840" s="2305">
        <f t="shared" si="207"/>
        <v>0</v>
      </c>
      <c r="Y840" s="2305">
        <f t="shared" si="208"/>
        <v>0</v>
      </c>
      <c r="Z840" s="2300"/>
    </row>
    <row r="841" spans="1:26">
      <c r="A841" s="292" t="str">
        <f>'7.15'!B819</f>
        <v>12幢2单元2704室</v>
      </c>
      <c r="B841" s="207">
        <f>'7.17'!G819</f>
        <v>138.16999999999999</v>
      </c>
      <c r="C841" s="197">
        <f t="shared" si="194"/>
        <v>0.98</v>
      </c>
      <c r="D841" s="995" t="s">
        <v>7608</v>
      </c>
      <c r="E841" s="197">
        <f t="shared" si="195"/>
        <v>1.02</v>
      </c>
      <c r="F841" s="995" t="str">
        <f>'7.15'!D819</f>
        <v>平层</v>
      </c>
      <c r="G841" s="197">
        <f t="shared" si="196"/>
        <v>1</v>
      </c>
      <c r="H841" s="995" t="str">
        <f>'7.15'!E819</f>
        <v>南北西</v>
      </c>
      <c r="I841" s="197">
        <f t="shared" si="197"/>
        <v>1.01</v>
      </c>
      <c r="J841" s="995"/>
      <c r="K841" s="197">
        <f t="shared" si="198"/>
        <v>1</v>
      </c>
      <c r="L841" s="995"/>
      <c r="M841" s="197">
        <f t="shared" si="199"/>
        <v>1</v>
      </c>
      <c r="N841" s="995"/>
      <c r="O841" s="197">
        <f t="shared" si="200"/>
        <v>1</v>
      </c>
      <c r="P841" s="995"/>
      <c r="Q841" s="197">
        <f t="shared" si="201"/>
        <v>1</v>
      </c>
      <c r="R841" s="991">
        <f t="shared" ca="1" si="202"/>
        <v>16085</v>
      </c>
      <c r="S841" s="552">
        <f t="shared" ca="1" si="203"/>
        <v>2222464</v>
      </c>
      <c r="T841" s="2010">
        <f t="shared" ca="1" si="204"/>
        <v>222</v>
      </c>
      <c r="U841" s="2305">
        <f t="shared" si="205"/>
        <v>0</v>
      </c>
      <c r="V841" s="2305">
        <f t="shared" si="206"/>
        <v>0</v>
      </c>
      <c r="W841" s="2300"/>
      <c r="X841" s="2305">
        <f t="shared" si="207"/>
        <v>0</v>
      </c>
      <c r="Y841" s="2305">
        <f t="shared" si="208"/>
        <v>0</v>
      </c>
      <c r="Z841" s="2300"/>
    </row>
    <row r="842" spans="1:26">
      <c r="A842" s="292" t="str">
        <f>'7.15'!B820</f>
        <v>12幢2单元2804室</v>
      </c>
      <c r="B842" s="207">
        <f>'7.17'!G820</f>
        <v>138.16999999999999</v>
      </c>
      <c r="C842" s="197">
        <f t="shared" si="194"/>
        <v>0.98</v>
      </c>
      <c r="D842" s="995" t="s">
        <v>7608</v>
      </c>
      <c r="E842" s="197">
        <f t="shared" si="195"/>
        <v>1.02</v>
      </c>
      <c r="F842" s="995" t="str">
        <f>'7.15'!D820</f>
        <v>平层</v>
      </c>
      <c r="G842" s="197">
        <f t="shared" si="196"/>
        <v>1</v>
      </c>
      <c r="H842" s="995" t="str">
        <f>'7.15'!E820</f>
        <v>南北西</v>
      </c>
      <c r="I842" s="197">
        <f t="shared" si="197"/>
        <v>1.01</v>
      </c>
      <c r="J842" s="995"/>
      <c r="K842" s="197">
        <f t="shared" si="198"/>
        <v>1</v>
      </c>
      <c r="L842" s="995"/>
      <c r="M842" s="197">
        <f t="shared" si="199"/>
        <v>1</v>
      </c>
      <c r="N842" s="995"/>
      <c r="O842" s="197">
        <f t="shared" si="200"/>
        <v>1</v>
      </c>
      <c r="P842" s="995"/>
      <c r="Q842" s="197">
        <f t="shared" si="201"/>
        <v>1</v>
      </c>
      <c r="R842" s="991">
        <f t="shared" ca="1" si="202"/>
        <v>16085</v>
      </c>
      <c r="S842" s="552">
        <f t="shared" ca="1" si="203"/>
        <v>2222464</v>
      </c>
      <c r="T842" s="2010">
        <f t="shared" ca="1" si="204"/>
        <v>222</v>
      </c>
      <c r="U842" s="2305">
        <f t="shared" si="205"/>
        <v>0</v>
      </c>
      <c r="V842" s="2305">
        <f t="shared" si="206"/>
        <v>0</v>
      </c>
      <c r="W842" s="2300"/>
      <c r="X842" s="2305">
        <f t="shared" si="207"/>
        <v>0</v>
      </c>
      <c r="Y842" s="2305">
        <f t="shared" si="208"/>
        <v>0</v>
      </c>
      <c r="Z842" s="2300"/>
    </row>
    <row r="843" spans="1:26">
      <c r="A843" s="292" t="str">
        <f>'7.15'!B821</f>
        <v>12幢2单元2904室</v>
      </c>
      <c r="B843" s="207">
        <f>'7.17'!G821</f>
        <v>138.16999999999999</v>
      </c>
      <c r="C843" s="197">
        <f t="shared" si="194"/>
        <v>0.98</v>
      </c>
      <c r="D843" s="995" t="s">
        <v>7608</v>
      </c>
      <c r="E843" s="197">
        <f t="shared" si="195"/>
        <v>1.02</v>
      </c>
      <c r="F843" s="995" t="str">
        <f>'7.15'!D821</f>
        <v>平层</v>
      </c>
      <c r="G843" s="197">
        <f t="shared" si="196"/>
        <v>1</v>
      </c>
      <c r="H843" s="995" t="str">
        <f>'7.15'!E821</f>
        <v>南北西</v>
      </c>
      <c r="I843" s="197">
        <f t="shared" si="197"/>
        <v>1.01</v>
      </c>
      <c r="J843" s="995"/>
      <c r="K843" s="197">
        <f t="shared" si="198"/>
        <v>1</v>
      </c>
      <c r="L843" s="995"/>
      <c r="M843" s="197">
        <f t="shared" si="199"/>
        <v>1</v>
      </c>
      <c r="N843" s="995"/>
      <c r="O843" s="197">
        <f t="shared" si="200"/>
        <v>1</v>
      </c>
      <c r="P843" s="995"/>
      <c r="Q843" s="197">
        <f t="shared" si="201"/>
        <v>1</v>
      </c>
      <c r="R843" s="991">
        <f t="shared" ca="1" si="202"/>
        <v>16085</v>
      </c>
      <c r="S843" s="552">
        <f t="shared" ca="1" si="203"/>
        <v>2222464</v>
      </c>
      <c r="T843" s="2010">
        <f t="shared" ca="1" si="204"/>
        <v>222</v>
      </c>
      <c r="U843" s="2305">
        <f t="shared" si="205"/>
        <v>0</v>
      </c>
      <c r="V843" s="2305">
        <f t="shared" si="206"/>
        <v>0</v>
      </c>
      <c r="W843" s="2300"/>
      <c r="X843" s="2305">
        <f t="shared" si="207"/>
        <v>0</v>
      </c>
      <c r="Y843" s="2305">
        <f t="shared" si="208"/>
        <v>0</v>
      </c>
      <c r="Z843" s="2300"/>
    </row>
    <row r="844" spans="1:26">
      <c r="A844" s="292" t="str">
        <f>'7.15'!B822</f>
        <v>12幢2单元3004室</v>
      </c>
      <c r="B844" s="207">
        <f>'7.17'!G822</f>
        <v>123.9</v>
      </c>
      <c r="C844" s="197">
        <f t="shared" si="194"/>
        <v>0.98</v>
      </c>
      <c r="D844" s="995" t="s">
        <v>7608</v>
      </c>
      <c r="E844" s="197">
        <f t="shared" si="195"/>
        <v>1.02</v>
      </c>
      <c r="F844" s="995" t="str">
        <f>'7.15'!D822</f>
        <v>平层</v>
      </c>
      <c r="G844" s="197">
        <f t="shared" si="196"/>
        <v>1</v>
      </c>
      <c r="H844" s="995" t="str">
        <f>'7.15'!E822</f>
        <v>南北西</v>
      </c>
      <c r="I844" s="197">
        <f t="shared" si="197"/>
        <v>1.01</v>
      </c>
      <c r="J844" s="995"/>
      <c r="K844" s="197">
        <f t="shared" si="198"/>
        <v>1</v>
      </c>
      <c r="L844" s="995"/>
      <c r="M844" s="197">
        <f t="shared" si="199"/>
        <v>1</v>
      </c>
      <c r="N844" s="995"/>
      <c r="O844" s="197">
        <f t="shared" si="200"/>
        <v>1</v>
      </c>
      <c r="P844" s="995"/>
      <c r="Q844" s="197">
        <f t="shared" si="201"/>
        <v>1</v>
      </c>
      <c r="R844" s="991">
        <f t="shared" ca="1" si="202"/>
        <v>16085</v>
      </c>
      <c r="S844" s="552">
        <f t="shared" ca="1" si="203"/>
        <v>1992932</v>
      </c>
      <c r="T844" s="2010">
        <f t="shared" ca="1" si="204"/>
        <v>199</v>
      </c>
      <c r="U844" s="2305">
        <f t="shared" si="205"/>
        <v>0</v>
      </c>
      <c r="V844" s="2305">
        <f t="shared" si="206"/>
        <v>0</v>
      </c>
      <c r="W844" s="2300"/>
      <c r="X844" s="2305">
        <f t="shared" si="207"/>
        <v>0</v>
      </c>
      <c r="Y844" s="2305">
        <f t="shared" si="208"/>
        <v>0</v>
      </c>
      <c r="Z844" s="2300"/>
    </row>
    <row r="845" spans="1:26">
      <c r="A845" s="292"/>
      <c r="C845" s="197">
        <f t="shared" si="194"/>
        <v>1</v>
      </c>
      <c r="D845" s="995"/>
      <c r="E845" s="197">
        <f t="shared" si="195"/>
        <v>0</v>
      </c>
      <c r="F845" s="995"/>
      <c r="G845" s="197">
        <f t="shared" si="196"/>
        <v>0</v>
      </c>
      <c r="H845" s="995"/>
      <c r="I845" s="197">
        <f t="shared" si="197"/>
        <v>0.02</v>
      </c>
      <c r="J845" s="995"/>
      <c r="K845" s="197">
        <f t="shared" si="198"/>
        <v>1</v>
      </c>
      <c r="L845" s="995"/>
      <c r="M845" s="197">
        <f t="shared" si="199"/>
        <v>1</v>
      </c>
      <c r="N845" s="995"/>
      <c r="O845" s="197">
        <f t="shared" si="200"/>
        <v>1</v>
      </c>
      <c r="P845" s="995"/>
      <c r="Q845" s="197">
        <f t="shared" si="201"/>
        <v>1</v>
      </c>
      <c r="R845" s="991">
        <f t="shared" si="202"/>
        <v>0</v>
      </c>
      <c r="S845" s="552">
        <f t="shared" si="203"/>
        <v>0</v>
      </c>
      <c r="T845" s="2010">
        <f t="shared" si="204"/>
        <v>0</v>
      </c>
      <c r="U845" s="2305">
        <f t="shared" si="205"/>
        <v>0</v>
      </c>
      <c r="V845" s="2305">
        <f t="shared" si="206"/>
        <v>0</v>
      </c>
      <c r="W845" s="2300"/>
      <c r="X845" s="2305">
        <f t="shared" si="207"/>
        <v>0</v>
      </c>
      <c r="Y845" s="2305">
        <f t="shared" si="208"/>
        <v>0</v>
      </c>
      <c r="Z845" s="2300"/>
    </row>
    <row r="846" spans="1:26">
      <c r="A846" s="292"/>
      <c r="C846" s="197">
        <f t="shared" si="194"/>
        <v>1</v>
      </c>
      <c r="D846" s="995"/>
      <c r="E846" s="197">
        <f t="shared" si="195"/>
        <v>0</v>
      </c>
      <c r="F846" s="995"/>
      <c r="G846" s="197">
        <f t="shared" si="196"/>
        <v>0</v>
      </c>
      <c r="H846" s="995"/>
      <c r="I846" s="197">
        <f t="shared" si="197"/>
        <v>0.02</v>
      </c>
      <c r="J846" s="995"/>
      <c r="K846" s="197">
        <f t="shared" si="198"/>
        <v>1</v>
      </c>
      <c r="L846" s="995"/>
      <c r="M846" s="197">
        <f t="shared" si="199"/>
        <v>1</v>
      </c>
      <c r="N846" s="995"/>
      <c r="O846" s="197">
        <f t="shared" si="200"/>
        <v>1</v>
      </c>
      <c r="P846" s="995"/>
      <c r="Q846" s="197">
        <f t="shared" si="201"/>
        <v>1</v>
      </c>
      <c r="R846" s="991">
        <f t="shared" si="202"/>
        <v>0</v>
      </c>
      <c r="S846" s="552">
        <f t="shared" si="203"/>
        <v>0</v>
      </c>
      <c r="T846" s="2010">
        <f t="shared" si="204"/>
        <v>0</v>
      </c>
      <c r="U846" s="2305">
        <f t="shared" si="205"/>
        <v>0</v>
      </c>
      <c r="V846" s="2305">
        <f t="shared" si="206"/>
        <v>0</v>
      </c>
      <c r="W846" s="2300"/>
      <c r="X846" s="2305">
        <f t="shared" si="207"/>
        <v>0</v>
      </c>
      <c r="Y846" s="2305">
        <f t="shared" si="208"/>
        <v>0</v>
      </c>
      <c r="Z846" s="2300"/>
    </row>
    <row r="847" spans="1:26">
      <c r="A847" s="292"/>
      <c r="C847" s="197">
        <f t="shared" si="194"/>
        <v>1</v>
      </c>
      <c r="D847" s="995"/>
      <c r="E847" s="197">
        <f t="shared" si="195"/>
        <v>0</v>
      </c>
      <c r="F847" s="995"/>
      <c r="G847" s="197">
        <f t="shared" si="196"/>
        <v>0</v>
      </c>
      <c r="H847" s="995"/>
      <c r="I847" s="197">
        <f t="shared" si="197"/>
        <v>0.02</v>
      </c>
      <c r="J847" s="995"/>
      <c r="K847" s="197">
        <f t="shared" si="198"/>
        <v>1</v>
      </c>
      <c r="L847" s="995"/>
      <c r="M847" s="197">
        <f t="shared" si="199"/>
        <v>1</v>
      </c>
      <c r="N847" s="995"/>
      <c r="O847" s="197">
        <f t="shared" si="200"/>
        <v>1</v>
      </c>
      <c r="P847" s="995"/>
      <c r="Q847" s="197">
        <f t="shared" si="201"/>
        <v>1</v>
      </c>
      <c r="R847" s="991">
        <f t="shared" si="202"/>
        <v>0</v>
      </c>
      <c r="S847" s="552">
        <f t="shared" si="203"/>
        <v>0</v>
      </c>
      <c r="T847" s="2010">
        <f t="shared" si="204"/>
        <v>0</v>
      </c>
      <c r="U847" s="2305">
        <f t="shared" si="205"/>
        <v>0</v>
      </c>
      <c r="V847" s="2305">
        <f t="shared" si="206"/>
        <v>0</v>
      </c>
      <c r="W847" s="2300"/>
      <c r="X847" s="2305">
        <f t="shared" si="207"/>
        <v>0</v>
      </c>
      <c r="Y847" s="2305">
        <f t="shared" si="208"/>
        <v>0</v>
      </c>
      <c r="Z847" s="2300"/>
    </row>
    <row r="848" spans="1:26">
      <c r="A848" s="292"/>
      <c r="C848" s="197">
        <f t="shared" ref="C848:C911" si="209">IF(B848="",1,(LOOKUP(B848,$6:$6,$7:$7)-LOOKUP($B$27,$6:$6,$7:$7)+100)/100)</f>
        <v>1</v>
      </c>
      <c r="D848" s="995"/>
      <c r="E848" s="197">
        <f t="shared" ref="E848:E911" si="210">(SUMIF($8:$8,D848,$9:$9)-SUMIF($8:$8,$D$27,$9:$9)+100)/100</f>
        <v>0</v>
      </c>
      <c r="F848" s="995"/>
      <c r="G848" s="197">
        <f t="shared" ref="G848:G911" si="211">(SUMIF($10:$10,F848,$11:$11)-SUMIF($10:$10,$F$27,$11:$11)+100)/100</f>
        <v>0</v>
      </c>
      <c r="H848" s="995"/>
      <c r="I848" s="197">
        <f t="shared" ref="I848:I911" si="212">(SUMIF($12:$12,H848,$13:$13)-SUMIF($12:$12,$H$27,$13:$13)+100)/100</f>
        <v>0.02</v>
      </c>
      <c r="J848" s="995"/>
      <c r="K848" s="197">
        <f t="shared" ref="K848:K911" si="213">(SUMIF($14:$14,J848,$15:$15)-SUMIF($14:$14,$J$27,$15:$15)+100)/100</f>
        <v>1</v>
      </c>
      <c r="L848" s="995"/>
      <c r="M848" s="197">
        <f t="shared" ref="M848:M911" si="214">(SUMIF($16:$16,L848,$17:$17)-SUMIF($16:$16,$L$27,$17:$17)+100)/100</f>
        <v>1</v>
      </c>
      <c r="N848" s="995"/>
      <c r="O848" s="197">
        <f t="shared" ref="O848:O911" si="215">(SUMIF($18:$18,N848,$19:$19)-SUMIF($18:$18,$N$27,$19:$19)+100)/100</f>
        <v>1</v>
      </c>
      <c r="P848" s="995"/>
      <c r="Q848" s="197">
        <f t="shared" ref="Q848:Q911" si="216">(SUMIF($20:$20,P848,$21:$21)-SUMIF($20:$20,$P$27,$21:$21)+100)/100</f>
        <v>1</v>
      </c>
      <c r="R848" s="991">
        <f t="shared" ref="R848:R911" si="217">IF(B848="",0,ROUND($R$27*C848*E848*G848*I848*K848*M848*O848*Q848,0))</f>
        <v>0</v>
      </c>
      <c r="S848" s="552">
        <f t="shared" ref="S848:S911" si="218">ROUND(R848*B848,0)</f>
        <v>0</v>
      </c>
      <c r="T848" s="2010">
        <f t="shared" ref="T848:T911" si="219">ROUND(R848*B848/10000,0)</f>
        <v>0</v>
      </c>
      <c r="U848" s="2305">
        <f t="shared" ref="U848:U911" si="220">ROUND(W848*B848,0)</f>
        <v>0</v>
      </c>
      <c r="V848" s="2305">
        <f t="shared" ref="V848:V911" si="221">ROUND(W848*B848/10000,0)</f>
        <v>0</v>
      </c>
      <c r="W848" s="2300"/>
      <c r="X848" s="2305">
        <f t="shared" ref="X848:X911" si="222">ROUND(Z848*B848,0)</f>
        <v>0</v>
      </c>
      <c r="Y848" s="2305">
        <f t="shared" ref="Y848:Y911" si="223">ROUND(Z848*B848/10000,0)</f>
        <v>0</v>
      </c>
      <c r="Z848" s="2300"/>
    </row>
    <row r="849" spans="1:26">
      <c r="A849" s="292"/>
      <c r="C849" s="197">
        <f t="shared" si="209"/>
        <v>1</v>
      </c>
      <c r="D849" s="995"/>
      <c r="E849" s="197">
        <f t="shared" si="210"/>
        <v>0</v>
      </c>
      <c r="F849" s="995"/>
      <c r="G849" s="197">
        <f t="shared" si="211"/>
        <v>0</v>
      </c>
      <c r="H849" s="995"/>
      <c r="I849" s="197">
        <f t="shared" si="212"/>
        <v>0.02</v>
      </c>
      <c r="J849" s="995"/>
      <c r="K849" s="197">
        <f t="shared" si="213"/>
        <v>1</v>
      </c>
      <c r="L849" s="995"/>
      <c r="M849" s="197">
        <f t="shared" si="214"/>
        <v>1</v>
      </c>
      <c r="N849" s="995"/>
      <c r="O849" s="197">
        <f t="shared" si="215"/>
        <v>1</v>
      </c>
      <c r="P849" s="995"/>
      <c r="Q849" s="197">
        <f t="shared" si="216"/>
        <v>1</v>
      </c>
      <c r="R849" s="991">
        <f t="shared" si="217"/>
        <v>0</v>
      </c>
      <c r="S849" s="552">
        <f t="shared" si="218"/>
        <v>0</v>
      </c>
      <c r="T849" s="2010">
        <f t="shared" si="219"/>
        <v>0</v>
      </c>
      <c r="U849" s="2305">
        <f t="shared" si="220"/>
        <v>0</v>
      </c>
      <c r="V849" s="2305">
        <f t="shared" si="221"/>
        <v>0</v>
      </c>
      <c r="W849" s="2300"/>
      <c r="X849" s="2305">
        <f t="shared" si="222"/>
        <v>0</v>
      </c>
      <c r="Y849" s="2305">
        <f t="shared" si="223"/>
        <v>0</v>
      </c>
      <c r="Z849" s="2300"/>
    </row>
    <row r="850" spans="1:26">
      <c r="A850" s="292"/>
      <c r="C850" s="197">
        <f t="shared" si="209"/>
        <v>1</v>
      </c>
      <c r="D850" s="995"/>
      <c r="E850" s="197">
        <f t="shared" si="210"/>
        <v>0</v>
      </c>
      <c r="F850" s="995"/>
      <c r="G850" s="197">
        <f t="shared" si="211"/>
        <v>0</v>
      </c>
      <c r="H850" s="995"/>
      <c r="I850" s="197">
        <f t="shared" si="212"/>
        <v>0.02</v>
      </c>
      <c r="J850" s="995"/>
      <c r="K850" s="197">
        <f t="shared" si="213"/>
        <v>1</v>
      </c>
      <c r="L850" s="995"/>
      <c r="M850" s="197">
        <f t="shared" si="214"/>
        <v>1</v>
      </c>
      <c r="N850" s="995"/>
      <c r="O850" s="197">
        <f t="shared" si="215"/>
        <v>1</v>
      </c>
      <c r="P850" s="995"/>
      <c r="Q850" s="197">
        <f t="shared" si="216"/>
        <v>1</v>
      </c>
      <c r="R850" s="991">
        <f t="shared" si="217"/>
        <v>0</v>
      </c>
      <c r="S850" s="552">
        <f t="shared" si="218"/>
        <v>0</v>
      </c>
      <c r="T850" s="2010">
        <f t="shared" si="219"/>
        <v>0</v>
      </c>
      <c r="U850" s="2305">
        <f t="shared" si="220"/>
        <v>0</v>
      </c>
      <c r="V850" s="2305">
        <f t="shared" si="221"/>
        <v>0</v>
      </c>
      <c r="W850" s="2300"/>
      <c r="X850" s="2305">
        <f t="shared" si="222"/>
        <v>0</v>
      </c>
      <c r="Y850" s="2305">
        <f t="shared" si="223"/>
        <v>0</v>
      </c>
      <c r="Z850" s="2300"/>
    </row>
    <row r="851" spans="1:26">
      <c r="A851" s="292"/>
      <c r="C851" s="197">
        <f t="shared" si="209"/>
        <v>1</v>
      </c>
      <c r="D851" s="995"/>
      <c r="E851" s="197">
        <f t="shared" si="210"/>
        <v>0</v>
      </c>
      <c r="F851" s="995"/>
      <c r="G851" s="197">
        <f t="shared" si="211"/>
        <v>0</v>
      </c>
      <c r="H851" s="995"/>
      <c r="I851" s="197">
        <f t="shared" si="212"/>
        <v>0.02</v>
      </c>
      <c r="J851" s="995"/>
      <c r="K851" s="197">
        <f t="shared" si="213"/>
        <v>1</v>
      </c>
      <c r="L851" s="995"/>
      <c r="M851" s="197">
        <f t="shared" si="214"/>
        <v>1</v>
      </c>
      <c r="N851" s="995"/>
      <c r="O851" s="197">
        <f t="shared" si="215"/>
        <v>1</v>
      </c>
      <c r="P851" s="995"/>
      <c r="Q851" s="197">
        <f t="shared" si="216"/>
        <v>1</v>
      </c>
      <c r="R851" s="991">
        <f t="shared" si="217"/>
        <v>0</v>
      </c>
      <c r="S851" s="552">
        <f t="shared" si="218"/>
        <v>0</v>
      </c>
      <c r="T851" s="2010">
        <f t="shared" si="219"/>
        <v>0</v>
      </c>
      <c r="U851" s="2305">
        <f t="shared" si="220"/>
        <v>0</v>
      </c>
      <c r="V851" s="2305">
        <f t="shared" si="221"/>
        <v>0</v>
      </c>
      <c r="W851" s="2300"/>
      <c r="X851" s="2305">
        <f t="shared" si="222"/>
        <v>0</v>
      </c>
      <c r="Y851" s="2305">
        <f t="shared" si="223"/>
        <v>0</v>
      </c>
      <c r="Z851" s="2300"/>
    </row>
    <row r="852" spans="1:26">
      <c r="A852" s="292"/>
      <c r="C852" s="197">
        <f t="shared" si="209"/>
        <v>1</v>
      </c>
      <c r="D852" s="995"/>
      <c r="E852" s="197">
        <f t="shared" si="210"/>
        <v>0</v>
      </c>
      <c r="F852" s="995"/>
      <c r="G852" s="197">
        <f t="shared" si="211"/>
        <v>0</v>
      </c>
      <c r="H852" s="995"/>
      <c r="I852" s="197">
        <f t="shared" si="212"/>
        <v>0.02</v>
      </c>
      <c r="J852" s="995"/>
      <c r="K852" s="197">
        <f t="shared" si="213"/>
        <v>1</v>
      </c>
      <c r="L852" s="995"/>
      <c r="M852" s="197">
        <f t="shared" si="214"/>
        <v>1</v>
      </c>
      <c r="N852" s="995"/>
      <c r="O852" s="197">
        <f t="shared" si="215"/>
        <v>1</v>
      </c>
      <c r="P852" s="995"/>
      <c r="Q852" s="197">
        <f t="shared" si="216"/>
        <v>1</v>
      </c>
      <c r="R852" s="991">
        <f t="shared" si="217"/>
        <v>0</v>
      </c>
      <c r="S852" s="552">
        <f t="shared" si="218"/>
        <v>0</v>
      </c>
      <c r="T852" s="2010">
        <f t="shared" si="219"/>
        <v>0</v>
      </c>
      <c r="U852" s="2305">
        <f t="shared" si="220"/>
        <v>0</v>
      </c>
      <c r="V852" s="2305">
        <f t="shared" si="221"/>
        <v>0</v>
      </c>
      <c r="W852" s="2300"/>
      <c r="X852" s="2305">
        <f t="shared" si="222"/>
        <v>0</v>
      </c>
      <c r="Y852" s="2305">
        <f t="shared" si="223"/>
        <v>0</v>
      </c>
      <c r="Z852" s="2300"/>
    </row>
    <row r="853" spans="1:26">
      <c r="A853" s="292"/>
      <c r="C853" s="197">
        <f t="shared" si="209"/>
        <v>1</v>
      </c>
      <c r="D853" s="995"/>
      <c r="E853" s="197">
        <f t="shared" si="210"/>
        <v>0</v>
      </c>
      <c r="F853" s="995"/>
      <c r="G853" s="197">
        <f t="shared" si="211"/>
        <v>0</v>
      </c>
      <c r="H853" s="995"/>
      <c r="I853" s="197">
        <f t="shared" si="212"/>
        <v>0.02</v>
      </c>
      <c r="J853" s="995"/>
      <c r="K853" s="197">
        <f t="shared" si="213"/>
        <v>1</v>
      </c>
      <c r="L853" s="995"/>
      <c r="M853" s="197">
        <f t="shared" si="214"/>
        <v>1</v>
      </c>
      <c r="N853" s="995"/>
      <c r="O853" s="197">
        <f t="shared" si="215"/>
        <v>1</v>
      </c>
      <c r="P853" s="995"/>
      <c r="Q853" s="197">
        <f t="shared" si="216"/>
        <v>1</v>
      </c>
      <c r="R853" s="991">
        <f t="shared" si="217"/>
        <v>0</v>
      </c>
      <c r="S853" s="552">
        <f t="shared" si="218"/>
        <v>0</v>
      </c>
      <c r="T853" s="2010">
        <f t="shared" si="219"/>
        <v>0</v>
      </c>
      <c r="U853" s="2305">
        <f t="shared" si="220"/>
        <v>0</v>
      </c>
      <c r="V853" s="2305">
        <f t="shared" si="221"/>
        <v>0</v>
      </c>
      <c r="W853" s="2300"/>
      <c r="X853" s="2305">
        <f t="shared" si="222"/>
        <v>0</v>
      </c>
      <c r="Y853" s="2305">
        <f t="shared" si="223"/>
        <v>0</v>
      </c>
      <c r="Z853" s="2300"/>
    </row>
    <row r="854" spans="1:26">
      <c r="A854" s="292"/>
      <c r="C854" s="197">
        <f t="shared" si="209"/>
        <v>1</v>
      </c>
      <c r="D854" s="995"/>
      <c r="E854" s="197">
        <f t="shared" si="210"/>
        <v>0</v>
      </c>
      <c r="F854" s="995"/>
      <c r="G854" s="197">
        <f t="shared" si="211"/>
        <v>0</v>
      </c>
      <c r="H854" s="995"/>
      <c r="I854" s="197">
        <f t="shared" si="212"/>
        <v>0.02</v>
      </c>
      <c r="J854" s="995"/>
      <c r="K854" s="197">
        <f t="shared" si="213"/>
        <v>1</v>
      </c>
      <c r="L854" s="995"/>
      <c r="M854" s="197">
        <f t="shared" si="214"/>
        <v>1</v>
      </c>
      <c r="N854" s="995"/>
      <c r="O854" s="197">
        <f t="shared" si="215"/>
        <v>1</v>
      </c>
      <c r="P854" s="995"/>
      <c r="Q854" s="197">
        <f t="shared" si="216"/>
        <v>1</v>
      </c>
      <c r="R854" s="991">
        <f t="shared" si="217"/>
        <v>0</v>
      </c>
      <c r="S854" s="552">
        <f t="shared" si="218"/>
        <v>0</v>
      </c>
      <c r="T854" s="2010">
        <f t="shared" si="219"/>
        <v>0</v>
      </c>
      <c r="U854" s="2305">
        <f t="shared" si="220"/>
        <v>0</v>
      </c>
      <c r="V854" s="2305">
        <f t="shared" si="221"/>
        <v>0</v>
      </c>
      <c r="W854" s="2300"/>
      <c r="X854" s="2305">
        <f t="shared" si="222"/>
        <v>0</v>
      </c>
      <c r="Y854" s="2305">
        <f t="shared" si="223"/>
        <v>0</v>
      </c>
      <c r="Z854" s="2300"/>
    </row>
    <row r="855" spans="1:26">
      <c r="C855" s="197">
        <f t="shared" si="209"/>
        <v>1</v>
      </c>
      <c r="D855" s="995"/>
      <c r="E855" s="197">
        <f t="shared" si="210"/>
        <v>0</v>
      </c>
      <c r="F855" s="995"/>
      <c r="G855" s="197">
        <f t="shared" si="211"/>
        <v>0</v>
      </c>
      <c r="H855" s="995"/>
      <c r="I855" s="197">
        <f t="shared" si="212"/>
        <v>0.02</v>
      </c>
      <c r="J855" s="995"/>
      <c r="K855" s="197">
        <f t="shared" si="213"/>
        <v>1</v>
      </c>
      <c r="L855" s="995"/>
      <c r="M855" s="197">
        <f t="shared" si="214"/>
        <v>1</v>
      </c>
      <c r="N855" s="995"/>
      <c r="O855" s="197">
        <f t="shared" si="215"/>
        <v>1</v>
      </c>
      <c r="P855" s="995"/>
      <c r="Q855" s="197">
        <f t="shared" si="216"/>
        <v>1</v>
      </c>
      <c r="R855" s="991">
        <f t="shared" si="217"/>
        <v>0</v>
      </c>
      <c r="S855" s="552">
        <f t="shared" si="218"/>
        <v>0</v>
      </c>
      <c r="T855" s="2010">
        <f t="shared" si="219"/>
        <v>0</v>
      </c>
      <c r="U855" s="2305">
        <f t="shared" si="220"/>
        <v>0</v>
      </c>
      <c r="V855" s="2305">
        <f t="shared" si="221"/>
        <v>0</v>
      </c>
      <c r="W855" s="2300"/>
      <c r="X855" s="2305">
        <f t="shared" si="222"/>
        <v>0</v>
      </c>
      <c r="Y855" s="2305">
        <f t="shared" si="223"/>
        <v>0</v>
      </c>
      <c r="Z855" s="2300"/>
    </row>
    <row r="856" spans="1:26">
      <c r="C856" s="197">
        <f t="shared" si="209"/>
        <v>1</v>
      </c>
      <c r="D856" s="995"/>
      <c r="E856" s="197">
        <f t="shared" si="210"/>
        <v>0</v>
      </c>
      <c r="F856" s="995"/>
      <c r="G856" s="197">
        <f t="shared" si="211"/>
        <v>0</v>
      </c>
      <c r="H856" s="995"/>
      <c r="I856" s="197">
        <f t="shared" si="212"/>
        <v>0.02</v>
      </c>
      <c r="J856" s="995"/>
      <c r="K856" s="197">
        <f t="shared" si="213"/>
        <v>1</v>
      </c>
      <c r="L856" s="995"/>
      <c r="M856" s="197">
        <f t="shared" si="214"/>
        <v>1</v>
      </c>
      <c r="N856" s="995"/>
      <c r="O856" s="197">
        <f t="shared" si="215"/>
        <v>1</v>
      </c>
      <c r="P856" s="995"/>
      <c r="Q856" s="197">
        <f t="shared" si="216"/>
        <v>1</v>
      </c>
      <c r="R856" s="991">
        <f t="shared" si="217"/>
        <v>0</v>
      </c>
      <c r="S856" s="552">
        <f t="shared" si="218"/>
        <v>0</v>
      </c>
      <c r="T856" s="2010">
        <f t="shared" si="219"/>
        <v>0</v>
      </c>
      <c r="U856" s="2305">
        <f t="shared" si="220"/>
        <v>0</v>
      </c>
      <c r="V856" s="2305">
        <f t="shared" si="221"/>
        <v>0</v>
      </c>
      <c r="W856" s="2300"/>
      <c r="X856" s="2305">
        <f t="shared" si="222"/>
        <v>0</v>
      </c>
      <c r="Y856" s="2305">
        <f t="shared" si="223"/>
        <v>0</v>
      </c>
      <c r="Z856" s="2300"/>
    </row>
    <row r="857" spans="1:26">
      <c r="C857" s="197">
        <f t="shared" si="209"/>
        <v>1</v>
      </c>
      <c r="D857" s="995"/>
      <c r="E857" s="197">
        <f t="shared" si="210"/>
        <v>0</v>
      </c>
      <c r="F857" s="995"/>
      <c r="G857" s="197">
        <f t="shared" si="211"/>
        <v>0</v>
      </c>
      <c r="H857" s="995"/>
      <c r="I857" s="197">
        <f t="shared" si="212"/>
        <v>0.02</v>
      </c>
      <c r="J857" s="995"/>
      <c r="K857" s="197">
        <f t="shared" si="213"/>
        <v>1</v>
      </c>
      <c r="L857" s="995"/>
      <c r="M857" s="197">
        <f t="shared" si="214"/>
        <v>1</v>
      </c>
      <c r="N857" s="995"/>
      <c r="O857" s="197">
        <f t="shared" si="215"/>
        <v>1</v>
      </c>
      <c r="P857" s="995"/>
      <c r="Q857" s="197">
        <f t="shared" si="216"/>
        <v>1</v>
      </c>
      <c r="R857" s="991">
        <f t="shared" si="217"/>
        <v>0</v>
      </c>
      <c r="S857" s="552">
        <f t="shared" si="218"/>
        <v>0</v>
      </c>
      <c r="T857" s="2010">
        <f t="shared" si="219"/>
        <v>0</v>
      </c>
      <c r="U857" s="2305">
        <f t="shared" si="220"/>
        <v>0</v>
      </c>
      <c r="V857" s="2305">
        <f t="shared" si="221"/>
        <v>0</v>
      </c>
      <c r="W857" s="2300"/>
      <c r="X857" s="2305">
        <f t="shared" si="222"/>
        <v>0</v>
      </c>
      <c r="Y857" s="2305">
        <f t="shared" si="223"/>
        <v>0</v>
      </c>
      <c r="Z857" s="2300"/>
    </row>
    <row r="858" spans="1:26">
      <c r="C858" s="197">
        <f t="shared" si="209"/>
        <v>1</v>
      </c>
      <c r="D858" s="995"/>
      <c r="E858" s="197">
        <f t="shared" si="210"/>
        <v>0</v>
      </c>
      <c r="F858" s="995"/>
      <c r="G858" s="197">
        <f t="shared" si="211"/>
        <v>0</v>
      </c>
      <c r="H858" s="995"/>
      <c r="I858" s="197">
        <f t="shared" si="212"/>
        <v>0.02</v>
      </c>
      <c r="J858" s="995"/>
      <c r="K858" s="197">
        <f t="shared" si="213"/>
        <v>1</v>
      </c>
      <c r="L858" s="995"/>
      <c r="M858" s="197">
        <f t="shared" si="214"/>
        <v>1</v>
      </c>
      <c r="N858" s="995"/>
      <c r="O858" s="197">
        <f t="shared" si="215"/>
        <v>1</v>
      </c>
      <c r="P858" s="995"/>
      <c r="Q858" s="197">
        <f t="shared" si="216"/>
        <v>1</v>
      </c>
      <c r="R858" s="991">
        <f t="shared" si="217"/>
        <v>0</v>
      </c>
      <c r="S858" s="552">
        <f t="shared" si="218"/>
        <v>0</v>
      </c>
      <c r="T858" s="2010">
        <f t="shared" si="219"/>
        <v>0</v>
      </c>
      <c r="U858" s="2305">
        <f t="shared" si="220"/>
        <v>0</v>
      </c>
      <c r="V858" s="2305">
        <f t="shared" si="221"/>
        <v>0</v>
      </c>
      <c r="W858" s="2300"/>
      <c r="X858" s="2305">
        <f t="shared" si="222"/>
        <v>0</v>
      </c>
      <c r="Y858" s="2305">
        <f t="shared" si="223"/>
        <v>0</v>
      </c>
      <c r="Z858" s="2300"/>
    </row>
    <row r="859" spans="1:26">
      <c r="C859" s="197">
        <f t="shared" si="209"/>
        <v>1</v>
      </c>
      <c r="D859" s="995"/>
      <c r="E859" s="197">
        <f t="shared" si="210"/>
        <v>0</v>
      </c>
      <c r="F859" s="995"/>
      <c r="G859" s="197">
        <f t="shared" si="211"/>
        <v>0</v>
      </c>
      <c r="H859" s="995"/>
      <c r="I859" s="197">
        <f t="shared" si="212"/>
        <v>0.02</v>
      </c>
      <c r="J859" s="995"/>
      <c r="K859" s="197">
        <f t="shared" si="213"/>
        <v>1</v>
      </c>
      <c r="L859" s="995"/>
      <c r="M859" s="197">
        <f t="shared" si="214"/>
        <v>1</v>
      </c>
      <c r="N859" s="995"/>
      <c r="O859" s="197">
        <f t="shared" si="215"/>
        <v>1</v>
      </c>
      <c r="P859" s="995"/>
      <c r="Q859" s="197">
        <f t="shared" si="216"/>
        <v>1</v>
      </c>
      <c r="R859" s="991">
        <f t="shared" si="217"/>
        <v>0</v>
      </c>
      <c r="S859" s="552">
        <f t="shared" si="218"/>
        <v>0</v>
      </c>
      <c r="T859" s="2010">
        <f t="shared" si="219"/>
        <v>0</v>
      </c>
      <c r="U859" s="2305">
        <f t="shared" si="220"/>
        <v>0</v>
      </c>
      <c r="V859" s="2305">
        <f t="shared" si="221"/>
        <v>0</v>
      </c>
      <c r="W859" s="2300"/>
      <c r="X859" s="2305">
        <f t="shared" si="222"/>
        <v>0</v>
      </c>
      <c r="Y859" s="2305">
        <f t="shared" si="223"/>
        <v>0</v>
      </c>
      <c r="Z859" s="2300"/>
    </row>
    <row r="860" spans="1:26">
      <c r="C860" s="197">
        <f t="shared" si="209"/>
        <v>1</v>
      </c>
      <c r="D860" s="995"/>
      <c r="E860" s="197">
        <f t="shared" si="210"/>
        <v>0</v>
      </c>
      <c r="F860" s="995"/>
      <c r="G860" s="197">
        <f t="shared" si="211"/>
        <v>0</v>
      </c>
      <c r="H860" s="995"/>
      <c r="I860" s="197">
        <f t="shared" si="212"/>
        <v>0.02</v>
      </c>
      <c r="J860" s="995"/>
      <c r="K860" s="197">
        <f t="shared" si="213"/>
        <v>1</v>
      </c>
      <c r="L860" s="995"/>
      <c r="M860" s="197">
        <f t="shared" si="214"/>
        <v>1</v>
      </c>
      <c r="N860" s="995"/>
      <c r="O860" s="197">
        <f t="shared" si="215"/>
        <v>1</v>
      </c>
      <c r="P860" s="995"/>
      <c r="Q860" s="197">
        <f t="shared" si="216"/>
        <v>1</v>
      </c>
      <c r="R860" s="991">
        <f t="shared" si="217"/>
        <v>0</v>
      </c>
      <c r="S860" s="552">
        <f t="shared" si="218"/>
        <v>0</v>
      </c>
      <c r="T860" s="2010">
        <f t="shared" si="219"/>
        <v>0</v>
      </c>
      <c r="U860" s="2305">
        <f t="shared" si="220"/>
        <v>0</v>
      </c>
      <c r="V860" s="2305">
        <f t="shared" si="221"/>
        <v>0</v>
      </c>
      <c r="W860" s="2300"/>
      <c r="X860" s="2305">
        <f t="shared" si="222"/>
        <v>0</v>
      </c>
      <c r="Y860" s="2305">
        <f t="shared" si="223"/>
        <v>0</v>
      </c>
      <c r="Z860" s="2300"/>
    </row>
    <row r="861" spans="1:26">
      <c r="C861" s="197">
        <f t="shared" si="209"/>
        <v>1</v>
      </c>
      <c r="D861" s="995"/>
      <c r="E861" s="197">
        <f t="shared" si="210"/>
        <v>0</v>
      </c>
      <c r="F861" s="995"/>
      <c r="G861" s="197">
        <f t="shared" si="211"/>
        <v>0</v>
      </c>
      <c r="H861" s="995"/>
      <c r="I861" s="197">
        <f t="shared" si="212"/>
        <v>0.02</v>
      </c>
      <c r="J861" s="995"/>
      <c r="K861" s="197">
        <f t="shared" si="213"/>
        <v>1</v>
      </c>
      <c r="L861" s="995"/>
      <c r="M861" s="197">
        <f t="shared" si="214"/>
        <v>1</v>
      </c>
      <c r="N861" s="995"/>
      <c r="O861" s="197">
        <f t="shared" si="215"/>
        <v>1</v>
      </c>
      <c r="P861" s="995"/>
      <c r="Q861" s="197">
        <f t="shared" si="216"/>
        <v>1</v>
      </c>
      <c r="R861" s="991">
        <f t="shared" si="217"/>
        <v>0</v>
      </c>
      <c r="S861" s="552">
        <f t="shared" si="218"/>
        <v>0</v>
      </c>
      <c r="T861" s="2010">
        <f t="shared" si="219"/>
        <v>0</v>
      </c>
      <c r="U861" s="2305">
        <f t="shared" si="220"/>
        <v>0</v>
      </c>
      <c r="V861" s="2305">
        <f t="shared" si="221"/>
        <v>0</v>
      </c>
      <c r="W861" s="2300"/>
      <c r="X861" s="2305">
        <f t="shared" si="222"/>
        <v>0</v>
      </c>
      <c r="Y861" s="2305">
        <f t="shared" si="223"/>
        <v>0</v>
      </c>
      <c r="Z861" s="2300"/>
    </row>
    <row r="862" spans="1:26">
      <c r="C862" s="197">
        <f t="shared" si="209"/>
        <v>1</v>
      </c>
      <c r="D862" s="995"/>
      <c r="E862" s="197">
        <f t="shared" si="210"/>
        <v>0</v>
      </c>
      <c r="F862" s="995"/>
      <c r="G862" s="197">
        <f t="shared" si="211"/>
        <v>0</v>
      </c>
      <c r="H862" s="995"/>
      <c r="I862" s="197">
        <f t="shared" si="212"/>
        <v>0.02</v>
      </c>
      <c r="J862" s="995"/>
      <c r="K862" s="197">
        <f t="shared" si="213"/>
        <v>1</v>
      </c>
      <c r="L862" s="995"/>
      <c r="M862" s="197">
        <f t="shared" si="214"/>
        <v>1</v>
      </c>
      <c r="N862" s="995"/>
      <c r="O862" s="197">
        <f t="shared" si="215"/>
        <v>1</v>
      </c>
      <c r="P862" s="995"/>
      <c r="Q862" s="197">
        <f t="shared" si="216"/>
        <v>1</v>
      </c>
      <c r="R862" s="991">
        <f t="shared" si="217"/>
        <v>0</v>
      </c>
      <c r="S862" s="552">
        <f t="shared" si="218"/>
        <v>0</v>
      </c>
      <c r="T862" s="2010">
        <f t="shared" si="219"/>
        <v>0</v>
      </c>
      <c r="U862" s="2305">
        <f t="shared" si="220"/>
        <v>0</v>
      </c>
      <c r="V862" s="2305">
        <f t="shared" si="221"/>
        <v>0</v>
      </c>
      <c r="W862" s="2300"/>
      <c r="X862" s="2305">
        <f t="shared" si="222"/>
        <v>0</v>
      </c>
      <c r="Y862" s="2305">
        <f t="shared" si="223"/>
        <v>0</v>
      </c>
      <c r="Z862" s="2300"/>
    </row>
    <row r="863" spans="1:26">
      <c r="C863" s="197">
        <f t="shared" si="209"/>
        <v>1</v>
      </c>
      <c r="D863" s="995"/>
      <c r="E863" s="197">
        <f t="shared" si="210"/>
        <v>0</v>
      </c>
      <c r="F863" s="995"/>
      <c r="G863" s="197">
        <f t="shared" si="211"/>
        <v>0</v>
      </c>
      <c r="H863" s="995"/>
      <c r="I863" s="197">
        <f t="shared" si="212"/>
        <v>0.02</v>
      </c>
      <c r="J863" s="995"/>
      <c r="K863" s="197">
        <f t="shared" si="213"/>
        <v>1</v>
      </c>
      <c r="L863" s="995"/>
      <c r="M863" s="197">
        <f t="shared" si="214"/>
        <v>1</v>
      </c>
      <c r="N863" s="995"/>
      <c r="O863" s="197">
        <f t="shared" si="215"/>
        <v>1</v>
      </c>
      <c r="P863" s="995"/>
      <c r="Q863" s="197">
        <f t="shared" si="216"/>
        <v>1</v>
      </c>
      <c r="R863" s="991">
        <f t="shared" si="217"/>
        <v>0</v>
      </c>
      <c r="S863" s="552">
        <f t="shared" si="218"/>
        <v>0</v>
      </c>
      <c r="T863" s="2010">
        <f t="shared" si="219"/>
        <v>0</v>
      </c>
      <c r="U863" s="2305">
        <f t="shared" si="220"/>
        <v>0</v>
      </c>
      <c r="V863" s="2305">
        <f t="shared" si="221"/>
        <v>0</v>
      </c>
      <c r="W863" s="2300"/>
      <c r="X863" s="2305">
        <f t="shared" si="222"/>
        <v>0</v>
      </c>
      <c r="Y863" s="2305">
        <f t="shared" si="223"/>
        <v>0</v>
      </c>
      <c r="Z863" s="2300"/>
    </row>
    <row r="864" spans="1:26">
      <c r="C864" s="197">
        <f t="shared" si="209"/>
        <v>1</v>
      </c>
      <c r="D864" s="995"/>
      <c r="E864" s="197">
        <f t="shared" si="210"/>
        <v>0</v>
      </c>
      <c r="F864" s="995"/>
      <c r="G864" s="197">
        <f t="shared" si="211"/>
        <v>0</v>
      </c>
      <c r="H864" s="995"/>
      <c r="I864" s="197">
        <f t="shared" si="212"/>
        <v>0.02</v>
      </c>
      <c r="J864" s="995"/>
      <c r="K864" s="197">
        <f t="shared" si="213"/>
        <v>1</v>
      </c>
      <c r="L864" s="995"/>
      <c r="M864" s="197">
        <f t="shared" si="214"/>
        <v>1</v>
      </c>
      <c r="N864" s="995"/>
      <c r="O864" s="197">
        <f t="shared" si="215"/>
        <v>1</v>
      </c>
      <c r="P864" s="995"/>
      <c r="Q864" s="197">
        <f t="shared" si="216"/>
        <v>1</v>
      </c>
      <c r="R864" s="991">
        <f t="shared" si="217"/>
        <v>0</v>
      </c>
      <c r="S864" s="552">
        <f t="shared" si="218"/>
        <v>0</v>
      </c>
      <c r="T864" s="2010">
        <f t="shared" si="219"/>
        <v>0</v>
      </c>
      <c r="U864" s="2305">
        <f t="shared" si="220"/>
        <v>0</v>
      </c>
      <c r="V864" s="2305">
        <f t="shared" si="221"/>
        <v>0</v>
      </c>
      <c r="W864" s="2300"/>
      <c r="X864" s="2305">
        <f t="shared" si="222"/>
        <v>0</v>
      </c>
      <c r="Y864" s="2305">
        <f t="shared" si="223"/>
        <v>0</v>
      </c>
      <c r="Z864" s="2300"/>
    </row>
    <row r="865" spans="3:26">
      <c r="C865" s="197">
        <f t="shared" si="209"/>
        <v>1</v>
      </c>
      <c r="D865" s="995"/>
      <c r="E865" s="197">
        <f t="shared" si="210"/>
        <v>0</v>
      </c>
      <c r="F865" s="995"/>
      <c r="G865" s="197">
        <f t="shared" si="211"/>
        <v>0</v>
      </c>
      <c r="H865" s="995"/>
      <c r="I865" s="197">
        <f t="shared" si="212"/>
        <v>0.02</v>
      </c>
      <c r="J865" s="995"/>
      <c r="K865" s="197">
        <f t="shared" si="213"/>
        <v>1</v>
      </c>
      <c r="L865" s="995"/>
      <c r="M865" s="197">
        <f t="shared" si="214"/>
        <v>1</v>
      </c>
      <c r="N865" s="995"/>
      <c r="O865" s="197">
        <f t="shared" si="215"/>
        <v>1</v>
      </c>
      <c r="P865" s="995"/>
      <c r="Q865" s="197">
        <f t="shared" si="216"/>
        <v>1</v>
      </c>
      <c r="R865" s="991">
        <f t="shared" si="217"/>
        <v>0</v>
      </c>
      <c r="S865" s="552">
        <f t="shared" si="218"/>
        <v>0</v>
      </c>
      <c r="T865" s="2010">
        <f t="shared" si="219"/>
        <v>0</v>
      </c>
      <c r="U865" s="2305">
        <f t="shared" si="220"/>
        <v>0</v>
      </c>
      <c r="V865" s="2305">
        <f t="shared" si="221"/>
        <v>0</v>
      </c>
      <c r="W865" s="2300"/>
      <c r="X865" s="2305">
        <f t="shared" si="222"/>
        <v>0</v>
      </c>
      <c r="Y865" s="2305">
        <f t="shared" si="223"/>
        <v>0</v>
      </c>
      <c r="Z865" s="2300"/>
    </row>
    <row r="866" spans="3:26">
      <c r="C866" s="197">
        <f t="shared" si="209"/>
        <v>1</v>
      </c>
      <c r="D866" s="995"/>
      <c r="E866" s="197">
        <f t="shared" si="210"/>
        <v>0</v>
      </c>
      <c r="F866" s="995"/>
      <c r="G866" s="197">
        <f t="shared" si="211"/>
        <v>0</v>
      </c>
      <c r="H866" s="995"/>
      <c r="I866" s="197">
        <f t="shared" si="212"/>
        <v>0.02</v>
      </c>
      <c r="J866" s="995"/>
      <c r="K866" s="197">
        <f t="shared" si="213"/>
        <v>1</v>
      </c>
      <c r="L866" s="995"/>
      <c r="M866" s="197">
        <f t="shared" si="214"/>
        <v>1</v>
      </c>
      <c r="N866" s="995"/>
      <c r="O866" s="197">
        <f t="shared" si="215"/>
        <v>1</v>
      </c>
      <c r="P866" s="995"/>
      <c r="Q866" s="197">
        <f t="shared" si="216"/>
        <v>1</v>
      </c>
      <c r="R866" s="991">
        <f t="shared" si="217"/>
        <v>0</v>
      </c>
      <c r="S866" s="552">
        <f t="shared" si="218"/>
        <v>0</v>
      </c>
      <c r="T866" s="2010">
        <f t="shared" si="219"/>
        <v>0</v>
      </c>
      <c r="U866" s="2305">
        <f t="shared" si="220"/>
        <v>0</v>
      </c>
      <c r="V866" s="2305">
        <f t="shared" si="221"/>
        <v>0</v>
      </c>
      <c r="W866" s="2300"/>
      <c r="X866" s="2305">
        <f t="shared" si="222"/>
        <v>0</v>
      </c>
      <c r="Y866" s="2305">
        <f t="shared" si="223"/>
        <v>0</v>
      </c>
      <c r="Z866" s="2300"/>
    </row>
    <row r="867" spans="3:26">
      <c r="C867" s="197">
        <f t="shared" si="209"/>
        <v>1</v>
      </c>
      <c r="D867" s="995"/>
      <c r="E867" s="197">
        <f t="shared" si="210"/>
        <v>0</v>
      </c>
      <c r="F867" s="995"/>
      <c r="G867" s="197">
        <f t="shared" si="211"/>
        <v>0</v>
      </c>
      <c r="H867" s="995"/>
      <c r="I867" s="197">
        <f t="shared" si="212"/>
        <v>0.02</v>
      </c>
      <c r="J867" s="995"/>
      <c r="K867" s="197">
        <f t="shared" si="213"/>
        <v>1</v>
      </c>
      <c r="L867" s="995"/>
      <c r="M867" s="197">
        <f t="shared" si="214"/>
        <v>1</v>
      </c>
      <c r="N867" s="995"/>
      <c r="O867" s="197">
        <f t="shared" si="215"/>
        <v>1</v>
      </c>
      <c r="P867" s="995"/>
      <c r="Q867" s="197">
        <f t="shared" si="216"/>
        <v>1</v>
      </c>
      <c r="R867" s="991">
        <f t="shared" si="217"/>
        <v>0</v>
      </c>
      <c r="S867" s="552">
        <f t="shared" si="218"/>
        <v>0</v>
      </c>
      <c r="T867" s="2010">
        <f t="shared" si="219"/>
        <v>0</v>
      </c>
      <c r="U867" s="2305">
        <f t="shared" si="220"/>
        <v>0</v>
      </c>
      <c r="V867" s="2305">
        <f t="shared" si="221"/>
        <v>0</v>
      </c>
      <c r="W867" s="2300"/>
      <c r="X867" s="2305">
        <f t="shared" si="222"/>
        <v>0</v>
      </c>
      <c r="Y867" s="2305">
        <f t="shared" si="223"/>
        <v>0</v>
      </c>
      <c r="Z867" s="2300"/>
    </row>
    <row r="868" spans="3:26">
      <c r="C868" s="197">
        <f t="shared" si="209"/>
        <v>1</v>
      </c>
      <c r="D868" s="995"/>
      <c r="E868" s="197">
        <f t="shared" si="210"/>
        <v>0</v>
      </c>
      <c r="F868" s="995"/>
      <c r="G868" s="197">
        <f t="shared" si="211"/>
        <v>0</v>
      </c>
      <c r="H868" s="995"/>
      <c r="I868" s="197">
        <f t="shared" si="212"/>
        <v>0.02</v>
      </c>
      <c r="J868" s="995"/>
      <c r="K868" s="197">
        <f t="shared" si="213"/>
        <v>1</v>
      </c>
      <c r="L868" s="995"/>
      <c r="M868" s="197">
        <f t="shared" si="214"/>
        <v>1</v>
      </c>
      <c r="N868" s="995"/>
      <c r="O868" s="197">
        <f t="shared" si="215"/>
        <v>1</v>
      </c>
      <c r="P868" s="995"/>
      <c r="Q868" s="197">
        <f t="shared" si="216"/>
        <v>1</v>
      </c>
      <c r="R868" s="991">
        <f t="shared" si="217"/>
        <v>0</v>
      </c>
      <c r="S868" s="552">
        <f t="shared" si="218"/>
        <v>0</v>
      </c>
      <c r="T868" s="2010">
        <f t="shared" si="219"/>
        <v>0</v>
      </c>
      <c r="U868" s="2305">
        <f t="shared" si="220"/>
        <v>0</v>
      </c>
      <c r="V868" s="2305">
        <f t="shared" si="221"/>
        <v>0</v>
      </c>
      <c r="W868" s="2300"/>
      <c r="X868" s="2305">
        <f t="shared" si="222"/>
        <v>0</v>
      </c>
      <c r="Y868" s="2305">
        <f t="shared" si="223"/>
        <v>0</v>
      </c>
      <c r="Z868" s="2300"/>
    </row>
    <row r="869" spans="3:26">
      <c r="C869" s="197">
        <f t="shared" si="209"/>
        <v>1</v>
      </c>
      <c r="D869" s="995"/>
      <c r="E869" s="197">
        <f t="shared" si="210"/>
        <v>0</v>
      </c>
      <c r="F869" s="995"/>
      <c r="G869" s="197">
        <f t="shared" si="211"/>
        <v>0</v>
      </c>
      <c r="H869" s="995"/>
      <c r="I869" s="197">
        <f t="shared" si="212"/>
        <v>0.02</v>
      </c>
      <c r="J869" s="995"/>
      <c r="K869" s="197">
        <f t="shared" si="213"/>
        <v>1</v>
      </c>
      <c r="L869" s="995"/>
      <c r="M869" s="197">
        <f t="shared" si="214"/>
        <v>1</v>
      </c>
      <c r="N869" s="995"/>
      <c r="O869" s="197">
        <f t="shared" si="215"/>
        <v>1</v>
      </c>
      <c r="P869" s="995"/>
      <c r="Q869" s="197">
        <f t="shared" si="216"/>
        <v>1</v>
      </c>
      <c r="R869" s="991">
        <f t="shared" si="217"/>
        <v>0</v>
      </c>
      <c r="S869" s="552">
        <f t="shared" si="218"/>
        <v>0</v>
      </c>
      <c r="T869" s="2010">
        <f t="shared" si="219"/>
        <v>0</v>
      </c>
      <c r="U869" s="2305">
        <f t="shared" si="220"/>
        <v>0</v>
      </c>
      <c r="V869" s="2305">
        <f t="shared" si="221"/>
        <v>0</v>
      </c>
      <c r="W869" s="2300"/>
      <c r="X869" s="2305">
        <f t="shared" si="222"/>
        <v>0</v>
      </c>
      <c r="Y869" s="2305">
        <f t="shared" si="223"/>
        <v>0</v>
      </c>
      <c r="Z869" s="2300"/>
    </row>
    <row r="870" spans="3:26">
      <c r="C870" s="197">
        <f t="shared" si="209"/>
        <v>1</v>
      </c>
      <c r="D870" s="995"/>
      <c r="E870" s="197">
        <f t="shared" si="210"/>
        <v>0</v>
      </c>
      <c r="F870" s="995"/>
      <c r="G870" s="197">
        <f t="shared" si="211"/>
        <v>0</v>
      </c>
      <c r="H870" s="995"/>
      <c r="I870" s="197">
        <f t="shared" si="212"/>
        <v>0.02</v>
      </c>
      <c r="J870" s="995"/>
      <c r="K870" s="197">
        <f t="shared" si="213"/>
        <v>1</v>
      </c>
      <c r="L870" s="995"/>
      <c r="M870" s="197">
        <f t="shared" si="214"/>
        <v>1</v>
      </c>
      <c r="N870" s="995"/>
      <c r="O870" s="197">
        <f t="shared" si="215"/>
        <v>1</v>
      </c>
      <c r="P870" s="995"/>
      <c r="Q870" s="197">
        <f t="shared" si="216"/>
        <v>1</v>
      </c>
      <c r="R870" s="991">
        <f t="shared" si="217"/>
        <v>0</v>
      </c>
      <c r="S870" s="552">
        <f t="shared" si="218"/>
        <v>0</v>
      </c>
      <c r="T870" s="2010">
        <f t="shared" si="219"/>
        <v>0</v>
      </c>
      <c r="U870" s="2305">
        <f t="shared" si="220"/>
        <v>0</v>
      </c>
      <c r="V870" s="2305">
        <f t="shared" si="221"/>
        <v>0</v>
      </c>
      <c r="W870" s="2300"/>
      <c r="X870" s="2305">
        <f t="shared" si="222"/>
        <v>0</v>
      </c>
      <c r="Y870" s="2305">
        <f t="shared" si="223"/>
        <v>0</v>
      </c>
      <c r="Z870" s="2300"/>
    </row>
    <row r="871" spans="3:26">
      <c r="C871" s="197">
        <f t="shared" si="209"/>
        <v>1</v>
      </c>
      <c r="D871" s="995"/>
      <c r="E871" s="197">
        <f t="shared" si="210"/>
        <v>0</v>
      </c>
      <c r="F871" s="995"/>
      <c r="G871" s="197">
        <f t="shared" si="211"/>
        <v>0</v>
      </c>
      <c r="H871" s="995"/>
      <c r="I871" s="197">
        <f t="shared" si="212"/>
        <v>0.02</v>
      </c>
      <c r="J871" s="995"/>
      <c r="K871" s="197">
        <f t="shared" si="213"/>
        <v>1</v>
      </c>
      <c r="L871" s="995"/>
      <c r="M871" s="197">
        <f t="shared" si="214"/>
        <v>1</v>
      </c>
      <c r="N871" s="995"/>
      <c r="O871" s="197">
        <f t="shared" si="215"/>
        <v>1</v>
      </c>
      <c r="P871" s="995"/>
      <c r="Q871" s="197">
        <f t="shared" si="216"/>
        <v>1</v>
      </c>
      <c r="R871" s="991">
        <f t="shared" si="217"/>
        <v>0</v>
      </c>
      <c r="S871" s="552">
        <f t="shared" si="218"/>
        <v>0</v>
      </c>
      <c r="T871" s="2010">
        <f t="shared" si="219"/>
        <v>0</v>
      </c>
      <c r="U871" s="2305">
        <f t="shared" si="220"/>
        <v>0</v>
      </c>
      <c r="V871" s="2305">
        <f t="shared" si="221"/>
        <v>0</v>
      </c>
      <c r="W871" s="2300"/>
      <c r="X871" s="2305">
        <f t="shared" si="222"/>
        <v>0</v>
      </c>
      <c r="Y871" s="2305">
        <f t="shared" si="223"/>
        <v>0</v>
      </c>
      <c r="Z871" s="2300"/>
    </row>
    <row r="872" spans="3:26">
      <c r="C872" s="197">
        <f t="shared" si="209"/>
        <v>1</v>
      </c>
      <c r="D872" s="995"/>
      <c r="E872" s="197">
        <f t="shared" si="210"/>
        <v>0</v>
      </c>
      <c r="F872" s="995"/>
      <c r="G872" s="197">
        <f t="shared" si="211"/>
        <v>0</v>
      </c>
      <c r="H872" s="995"/>
      <c r="I872" s="197">
        <f t="shared" si="212"/>
        <v>0.02</v>
      </c>
      <c r="J872" s="995"/>
      <c r="K872" s="197">
        <f t="shared" si="213"/>
        <v>1</v>
      </c>
      <c r="L872" s="995"/>
      <c r="M872" s="197">
        <f t="shared" si="214"/>
        <v>1</v>
      </c>
      <c r="N872" s="995"/>
      <c r="O872" s="197">
        <f t="shared" si="215"/>
        <v>1</v>
      </c>
      <c r="P872" s="995"/>
      <c r="Q872" s="197">
        <f t="shared" si="216"/>
        <v>1</v>
      </c>
      <c r="R872" s="991">
        <f t="shared" si="217"/>
        <v>0</v>
      </c>
      <c r="S872" s="552">
        <f t="shared" si="218"/>
        <v>0</v>
      </c>
      <c r="T872" s="2010">
        <f t="shared" si="219"/>
        <v>0</v>
      </c>
      <c r="U872" s="2305">
        <f t="shared" si="220"/>
        <v>0</v>
      </c>
      <c r="V872" s="2305">
        <f t="shared" si="221"/>
        <v>0</v>
      </c>
      <c r="W872" s="2300"/>
      <c r="X872" s="2305">
        <f t="shared" si="222"/>
        <v>0</v>
      </c>
      <c r="Y872" s="2305">
        <f t="shared" si="223"/>
        <v>0</v>
      </c>
      <c r="Z872" s="2300"/>
    </row>
    <row r="873" spans="3:26">
      <c r="C873" s="197">
        <f t="shared" si="209"/>
        <v>1</v>
      </c>
      <c r="D873" s="995"/>
      <c r="E873" s="197">
        <f t="shared" si="210"/>
        <v>0</v>
      </c>
      <c r="F873" s="995"/>
      <c r="G873" s="197">
        <f t="shared" si="211"/>
        <v>0</v>
      </c>
      <c r="H873" s="995"/>
      <c r="I873" s="197">
        <f t="shared" si="212"/>
        <v>0.02</v>
      </c>
      <c r="J873" s="995"/>
      <c r="K873" s="197">
        <f t="shared" si="213"/>
        <v>1</v>
      </c>
      <c r="L873" s="995"/>
      <c r="M873" s="197">
        <f t="shared" si="214"/>
        <v>1</v>
      </c>
      <c r="N873" s="995"/>
      <c r="O873" s="197">
        <f t="shared" si="215"/>
        <v>1</v>
      </c>
      <c r="P873" s="995"/>
      <c r="Q873" s="197">
        <f t="shared" si="216"/>
        <v>1</v>
      </c>
      <c r="R873" s="991">
        <f t="shared" si="217"/>
        <v>0</v>
      </c>
      <c r="S873" s="552">
        <f t="shared" si="218"/>
        <v>0</v>
      </c>
      <c r="T873" s="2010">
        <f t="shared" si="219"/>
        <v>0</v>
      </c>
      <c r="U873" s="2305">
        <f t="shared" si="220"/>
        <v>0</v>
      </c>
      <c r="V873" s="2305">
        <f t="shared" si="221"/>
        <v>0</v>
      </c>
      <c r="W873" s="2300"/>
      <c r="X873" s="2305">
        <f t="shared" si="222"/>
        <v>0</v>
      </c>
      <c r="Y873" s="2305">
        <f t="shared" si="223"/>
        <v>0</v>
      </c>
      <c r="Z873" s="2300"/>
    </row>
    <row r="874" spans="3:26">
      <c r="C874" s="197">
        <f t="shared" si="209"/>
        <v>1</v>
      </c>
      <c r="D874" s="995"/>
      <c r="E874" s="197">
        <f t="shared" si="210"/>
        <v>0</v>
      </c>
      <c r="F874" s="995"/>
      <c r="G874" s="197">
        <f t="shared" si="211"/>
        <v>0</v>
      </c>
      <c r="H874" s="995"/>
      <c r="I874" s="197">
        <f t="shared" si="212"/>
        <v>0.02</v>
      </c>
      <c r="J874" s="995"/>
      <c r="K874" s="197">
        <f t="shared" si="213"/>
        <v>1</v>
      </c>
      <c r="L874" s="995"/>
      <c r="M874" s="197">
        <f t="shared" si="214"/>
        <v>1</v>
      </c>
      <c r="N874" s="995"/>
      <c r="O874" s="197">
        <f t="shared" si="215"/>
        <v>1</v>
      </c>
      <c r="P874" s="995"/>
      <c r="Q874" s="197">
        <f t="shared" si="216"/>
        <v>1</v>
      </c>
      <c r="R874" s="991">
        <f t="shared" si="217"/>
        <v>0</v>
      </c>
      <c r="S874" s="552">
        <f t="shared" si="218"/>
        <v>0</v>
      </c>
      <c r="T874" s="2010">
        <f t="shared" si="219"/>
        <v>0</v>
      </c>
      <c r="U874" s="2305">
        <f t="shared" si="220"/>
        <v>0</v>
      </c>
      <c r="V874" s="2305">
        <f t="shared" si="221"/>
        <v>0</v>
      </c>
      <c r="W874" s="2300"/>
      <c r="X874" s="2305">
        <f t="shared" si="222"/>
        <v>0</v>
      </c>
      <c r="Y874" s="2305">
        <f t="shared" si="223"/>
        <v>0</v>
      </c>
      <c r="Z874" s="2300"/>
    </row>
    <row r="875" spans="3:26">
      <c r="C875" s="197">
        <f t="shared" si="209"/>
        <v>1</v>
      </c>
      <c r="D875" s="995"/>
      <c r="E875" s="197">
        <f t="shared" si="210"/>
        <v>0</v>
      </c>
      <c r="F875" s="995"/>
      <c r="G875" s="197">
        <f t="shared" si="211"/>
        <v>0</v>
      </c>
      <c r="H875" s="995"/>
      <c r="I875" s="197">
        <f t="shared" si="212"/>
        <v>0.02</v>
      </c>
      <c r="J875" s="995"/>
      <c r="K875" s="197">
        <f t="shared" si="213"/>
        <v>1</v>
      </c>
      <c r="L875" s="995"/>
      <c r="M875" s="197">
        <f t="shared" si="214"/>
        <v>1</v>
      </c>
      <c r="N875" s="995"/>
      <c r="O875" s="197">
        <f t="shared" si="215"/>
        <v>1</v>
      </c>
      <c r="P875" s="995"/>
      <c r="Q875" s="197">
        <f t="shared" si="216"/>
        <v>1</v>
      </c>
      <c r="R875" s="991">
        <f t="shared" si="217"/>
        <v>0</v>
      </c>
      <c r="S875" s="552">
        <f t="shared" si="218"/>
        <v>0</v>
      </c>
      <c r="T875" s="2010">
        <f t="shared" si="219"/>
        <v>0</v>
      </c>
      <c r="U875" s="2305">
        <f t="shared" si="220"/>
        <v>0</v>
      </c>
      <c r="V875" s="2305">
        <f t="shared" si="221"/>
        <v>0</v>
      </c>
      <c r="W875" s="2300"/>
      <c r="X875" s="2305">
        <f t="shared" si="222"/>
        <v>0</v>
      </c>
      <c r="Y875" s="2305">
        <f t="shared" si="223"/>
        <v>0</v>
      </c>
      <c r="Z875" s="2300"/>
    </row>
    <row r="876" spans="3:26">
      <c r="C876" s="197">
        <f t="shared" si="209"/>
        <v>1</v>
      </c>
      <c r="D876" s="995"/>
      <c r="E876" s="197">
        <f t="shared" si="210"/>
        <v>0</v>
      </c>
      <c r="F876" s="995"/>
      <c r="G876" s="197">
        <f t="shared" si="211"/>
        <v>0</v>
      </c>
      <c r="H876" s="995"/>
      <c r="I876" s="197">
        <f t="shared" si="212"/>
        <v>0.02</v>
      </c>
      <c r="J876" s="995"/>
      <c r="K876" s="197">
        <f t="shared" si="213"/>
        <v>1</v>
      </c>
      <c r="L876" s="995"/>
      <c r="M876" s="197">
        <f t="shared" si="214"/>
        <v>1</v>
      </c>
      <c r="N876" s="995"/>
      <c r="O876" s="197">
        <f t="shared" si="215"/>
        <v>1</v>
      </c>
      <c r="P876" s="995"/>
      <c r="Q876" s="197">
        <f t="shared" si="216"/>
        <v>1</v>
      </c>
      <c r="R876" s="991">
        <f t="shared" si="217"/>
        <v>0</v>
      </c>
      <c r="S876" s="552">
        <f t="shared" si="218"/>
        <v>0</v>
      </c>
      <c r="T876" s="2010">
        <f t="shared" si="219"/>
        <v>0</v>
      </c>
      <c r="U876" s="2305">
        <f t="shared" si="220"/>
        <v>0</v>
      </c>
      <c r="V876" s="2305">
        <f t="shared" si="221"/>
        <v>0</v>
      </c>
      <c r="W876" s="2300"/>
      <c r="X876" s="2305">
        <f t="shared" si="222"/>
        <v>0</v>
      </c>
      <c r="Y876" s="2305">
        <f t="shared" si="223"/>
        <v>0</v>
      </c>
      <c r="Z876" s="2300"/>
    </row>
    <row r="877" spans="3:26">
      <c r="C877" s="197">
        <f t="shared" si="209"/>
        <v>1</v>
      </c>
      <c r="D877" s="995"/>
      <c r="E877" s="197">
        <f t="shared" si="210"/>
        <v>0</v>
      </c>
      <c r="F877" s="995"/>
      <c r="G877" s="197">
        <f t="shared" si="211"/>
        <v>0</v>
      </c>
      <c r="H877" s="995"/>
      <c r="I877" s="197">
        <f t="shared" si="212"/>
        <v>0.02</v>
      </c>
      <c r="J877" s="995"/>
      <c r="K877" s="197">
        <f t="shared" si="213"/>
        <v>1</v>
      </c>
      <c r="L877" s="995"/>
      <c r="M877" s="197">
        <f t="shared" si="214"/>
        <v>1</v>
      </c>
      <c r="N877" s="995"/>
      <c r="O877" s="197">
        <f t="shared" si="215"/>
        <v>1</v>
      </c>
      <c r="P877" s="995"/>
      <c r="Q877" s="197">
        <f t="shared" si="216"/>
        <v>1</v>
      </c>
      <c r="R877" s="991">
        <f t="shared" si="217"/>
        <v>0</v>
      </c>
      <c r="S877" s="552">
        <f t="shared" si="218"/>
        <v>0</v>
      </c>
      <c r="T877" s="2010">
        <f t="shared" si="219"/>
        <v>0</v>
      </c>
      <c r="U877" s="2305">
        <f t="shared" si="220"/>
        <v>0</v>
      </c>
      <c r="V877" s="2305">
        <f t="shared" si="221"/>
        <v>0</v>
      </c>
      <c r="W877" s="2300"/>
      <c r="X877" s="2305">
        <f t="shared" si="222"/>
        <v>0</v>
      </c>
      <c r="Y877" s="2305">
        <f t="shared" si="223"/>
        <v>0</v>
      </c>
      <c r="Z877" s="2300"/>
    </row>
    <row r="878" spans="3:26">
      <c r="C878" s="197">
        <f t="shared" si="209"/>
        <v>1</v>
      </c>
      <c r="D878" s="995"/>
      <c r="E878" s="197">
        <f t="shared" si="210"/>
        <v>0</v>
      </c>
      <c r="F878" s="995"/>
      <c r="G878" s="197">
        <f t="shared" si="211"/>
        <v>0</v>
      </c>
      <c r="H878" s="995"/>
      <c r="I878" s="197">
        <f t="shared" si="212"/>
        <v>0.02</v>
      </c>
      <c r="J878" s="995"/>
      <c r="K878" s="197">
        <f t="shared" si="213"/>
        <v>1</v>
      </c>
      <c r="L878" s="995"/>
      <c r="M878" s="197">
        <f t="shared" si="214"/>
        <v>1</v>
      </c>
      <c r="N878" s="995"/>
      <c r="O878" s="197">
        <f t="shared" si="215"/>
        <v>1</v>
      </c>
      <c r="P878" s="995"/>
      <c r="Q878" s="197">
        <f t="shared" si="216"/>
        <v>1</v>
      </c>
      <c r="R878" s="991">
        <f t="shared" si="217"/>
        <v>0</v>
      </c>
      <c r="S878" s="552">
        <f t="shared" si="218"/>
        <v>0</v>
      </c>
      <c r="T878" s="2010">
        <f t="shared" si="219"/>
        <v>0</v>
      </c>
      <c r="U878" s="2305">
        <f t="shared" si="220"/>
        <v>0</v>
      </c>
      <c r="V878" s="2305">
        <f t="shared" si="221"/>
        <v>0</v>
      </c>
      <c r="W878" s="2300"/>
      <c r="X878" s="2305">
        <f t="shared" si="222"/>
        <v>0</v>
      </c>
      <c r="Y878" s="2305">
        <f t="shared" si="223"/>
        <v>0</v>
      </c>
      <c r="Z878" s="2300"/>
    </row>
    <row r="879" spans="3:26">
      <c r="C879" s="197">
        <f t="shared" si="209"/>
        <v>1</v>
      </c>
      <c r="D879" s="995"/>
      <c r="E879" s="197">
        <f t="shared" si="210"/>
        <v>0</v>
      </c>
      <c r="F879" s="995"/>
      <c r="G879" s="197">
        <f t="shared" si="211"/>
        <v>0</v>
      </c>
      <c r="H879" s="995"/>
      <c r="I879" s="197">
        <f t="shared" si="212"/>
        <v>0.02</v>
      </c>
      <c r="J879" s="995"/>
      <c r="K879" s="197">
        <f t="shared" si="213"/>
        <v>1</v>
      </c>
      <c r="L879" s="995"/>
      <c r="M879" s="197">
        <f t="shared" si="214"/>
        <v>1</v>
      </c>
      <c r="N879" s="995"/>
      <c r="O879" s="197">
        <f t="shared" si="215"/>
        <v>1</v>
      </c>
      <c r="P879" s="995"/>
      <c r="Q879" s="197">
        <f t="shared" si="216"/>
        <v>1</v>
      </c>
      <c r="R879" s="991">
        <f t="shared" si="217"/>
        <v>0</v>
      </c>
      <c r="S879" s="552">
        <f t="shared" si="218"/>
        <v>0</v>
      </c>
      <c r="T879" s="2010">
        <f t="shared" si="219"/>
        <v>0</v>
      </c>
      <c r="U879" s="2305">
        <f t="shared" si="220"/>
        <v>0</v>
      </c>
      <c r="V879" s="2305">
        <f t="shared" si="221"/>
        <v>0</v>
      </c>
      <c r="W879" s="2300"/>
      <c r="X879" s="2305">
        <f t="shared" si="222"/>
        <v>0</v>
      </c>
      <c r="Y879" s="2305">
        <f t="shared" si="223"/>
        <v>0</v>
      </c>
      <c r="Z879" s="2300"/>
    </row>
    <row r="880" spans="3:26">
      <c r="C880" s="197">
        <f t="shared" si="209"/>
        <v>1</v>
      </c>
      <c r="D880" s="995"/>
      <c r="E880" s="197">
        <f t="shared" si="210"/>
        <v>0</v>
      </c>
      <c r="F880" s="995"/>
      <c r="G880" s="197">
        <f t="shared" si="211"/>
        <v>0</v>
      </c>
      <c r="H880" s="995"/>
      <c r="I880" s="197">
        <f t="shared" si="212"/>
        <v>0.02</v>
      </c>
      <c r="J880" s="995"/>
      <c r="K880" s="197">
        <f t="shared" si="213"/>
        <v>1</v>
      </c>
      <c r="L880" s="995"/>
      <c r="M880" s="197">
        <f t="shared" si="214"/>
        <v>1</v>
      </c>
      <c r="N880" s="995"/>
      <c r="O880" s="197">
        <f t="shared" si="215"/>
        <v>1</v>
      </c>
      <c r="P880" s="995"/>
      <c r="Q880" s="197">
        <f t="shared" si="216"/>
        <v>1</v>
      </c>
      <c r="R880" s="991">
        <f t="shared" si="217"/>
        <v>0</v>
      </c>
      <c r="S880" s="552">
        <f t="shared" si="218"/>
        <v>0</v>
      </c>
      <c r="T880" s="2010">
        <f t="shared" si="219"/>
        <v>0</v>
      </c>
      <c r="U880" s="2305">
        <f t="shared" si="220"/>
        <v>0</v>
      </c>
      <c r="V880" s="2305">
        <f t="shared" si="221"/>
        <v>0</v>
      </c>
      <c r="W880" s="2300"/>
      <c r="X880" s="2305">
        <f t="shared" si="222"/>
        <v>0</v>
      </c>
      <c r="Y880" s="2305">
        <f t="shared" si="223"/>
        <v>0</v>
      </c>
      <c r="Z880" s="2300"/>
    </row>
    <row r="881" spans="3:26">
      <c r="C881" s="197">
        <f t="shared" si="209"/>
        <v>1</v>
      </c>
      <c r="D881" s="995"/>
      <c r="E881" s="197">
        <f t="shared" si="210"/>
        <v>0</v>
      </c>
      <c r="F881" s="995"/>
      <c r="G881" s="197">
        <f t="shared" si="211"/>
        <v>0</v>
      </c>
      <c r="H881" s="995"/>
      <c r="I881" s="197">
        <f t="shared" si="212"/>
        <v>0.02</v>
      </c>
      <c r="J881" s="995"/>
      <c r="K881" s="197">
        <f t="shared" si="213"/>
        <v>1</v>
      </c>
      <c r="L881" s="995"/>
      <c r="M881" s="197">
        <f t="shared" si="214"/>
        <v>1</v>
      </c>
      <c r="N881" s="995"/>
      <c r="O881" s="197">
        <f t="shared" si="215"/>
        <v>1</v>
      </c>
      <c r="P881" s="995"/>
      <c r="Q881" s="197">
        <f t="shared" si="216"/>
        <v>1</v>
      </c>
      <c r="R881" s="991">
        <f t="shared" si="217"/>
        <v>0</v>
      </c>
      <c r="S881" s="552">
        <f t="shared" si="218"/>
        <v>0</v>
      </c>
      <c r="T881" s="2010">
        <f t="shared" si="219"/>
        <v>0</v>
      </c>
      <c r="U881" s="2305">
        <f t="shared" si="220"/>
        <v>0</v>
      </c>
      <c r="V881" s="2305">
        <f t="shared" si="221"/>
        <v>0</v>
      </c>
      <c r="W881" s="2300"/>
      <c r="X881" s="2305">
        <f t="shared" si="222"/>
        <v>0</v>
      </c>
      <c r="Y881" s="2305">
        <f t="shared" si="223"/>
        <v>0</v>
      </c>
      <c r="Z881" s="2300"/>
    </row>
    <row r="882" spans="3:26">
      <c r="C882" s="197">
        <f t="shared" si="209"/>
        <v>1</v>
      </c>
      <c r="D882" s="995"/>
      <c r="E882" s="197">
        <f t="shared" si="210"/>
        <v>0</v>
      </c>
      <c r="F882" s="995"/>
      <c r="G882" s="197">
        <f t="shared" si="211"/>
        <v>0</v>
      </c>
      <c r="H882" s="995"/>
      <c r="I882" s="197">
        <f t="shared" si="212"/>
        <v>0.02</v>
      </c>
      <c r="J882" s="995"/>
      <c r="K882" s="197">
        <f t="shared" si="213"/>
        <v>1</v>
      </c>
      <c r="L882" s="995"/>
      <c r="M882" s="197">
        <f t="shared" si="214"/>
        <v>1</v>
      </c>
      <c r="N882" s="995"/>
      <c r="O882" s="197">
        <f t="shared" si="215"/>
        <v>1</v>
      </c>
      <c r="P882" s="995"/>
      <c r="Q882" s="197">
        <f t="shared" si="216"/>
        <v>1</v>
      </c>
      <c r="R882" s="991">
        <f t="shared" si="217"/>
        <v>0</v>
      </c>
      <c r="S882" s="552">
        <f t="shared" si="218"/>
        <v>0</v>
      </c>
      <c r="T882" s="2010">
        <f t="shared" si="219"/>
        <v>0</v>
      </c>
      <c r="U882" s="2305">
        <f t="shared" si="220"/>
        <v>0</v>
      </c>
      <c r="V882" s="2305">
        <f t="shared" si="221"/>
        <v>0</v>
      </c>
      <c r="W882" s="2300"/>
      <c r="X882" s="2305">
        <f t="shared" si="222"/>
        <v>0</v>
      </c>
      <c r="Y882" s="2305">
        <f t="shared" si="223"/>
        <v>0</v>
      </c>
      <c r="Z882" s="2300"/>
    </row>
    <row r="883" spans="3:26">
      <c r="C883" s="197">
        <f t="shared" si="209"/>
        <v>1</v>
      </c>
      <c r="D883" s="995"/>
      <c r="E883" s="197">
        <f t="shared" si="210"/>
        <v>0</v>
      </c>
      <c r="F883" s="995"/>
      <c r="G883" s="197">
        <f t="shared" si="211"/>
        <v>0</v>
      </c>
      <c r="H883" s="995"/>
      <c r="I883" s="197">
        <f t="shared" si="212"/>
        <v>0.02</v>
      </c>
      <c r="J883" s="995"/>
      <c r="K883" s="197">
        <f t="shared" si="213"/>
        <v>1</v>
      </c>
      <c r="L883" s="995"/>
      <c r="M883" s="197">
        <f t="shared" si="214"/>
        <v>1</v>
      </c>
      <c r="N883" s="995"/>
      <c r="O883" s="197">
        <f t="shared" si="215"/>
        <v>1</v>
      </c>
      <c r="P883" s="995"/>
      <c r="Q883" s="197">
        <f t="shared" si="216"/>
        <v>1</v>
      </c>
      <c r="R883" s="991">
        <f t="shared" si="217"/>
        <v>0</v>
      </c>
      <c r="S883" s="552">
        <f t="shared" si="218"/>
        <v>0</v>
      </c>
      <c r="T883" s="2010">
        <f t="shared" si="219"/>
        <v>0</v>
      </c>
      <c r="U883" s="2305">
        <f t="shared" si="220"/>
        <v>0</v>
      </c>
      <c r="V883" s="2305">
        <f t="shared" si="221"/>
        <v>0</v>
      </c>
      <c r="W883" s="2300"/>
      <c r="X883" s="2305">
        <f t="shared" si="222"/>
        <v>0</v>
      </c>
      <c r="Y883" s="2305">
        <f t="shared" si="223"/>
        <v>0</v>
      </c>
      <c r="Z883" s="2300"/>
    </row>
    <row r="884" spans="3:26">
      <c r="C884" s="197">
        <f t="shared" si="209"/>
        <v>1</v>
      </c>
      <c r="D884" s="995"/>
      <c r="E884" s="197">
        <f t="shared" si="210"/>
        <v>0</v>
      </c>
      <c r="F884" s="995"/>
      <c r="G884" s="197">
        <f t="shared" si="211"/>
        <v>0</v>
      </c>
      <c r="H884" s="995"/>
      <c r="I884" s="197">
        <f t="shared" si="212"/>
        <v>0.02</v>
      </c>
      <c r="J884" s="995"/>
      <c r="K884" s="197">
        <f t="shared" si="213"/>
        <v>1</v>
      </c>
      <c r="L884" s="995"/>
      <c r="M884" s="197">
        <f t="shared" si="214"/>
        <v>1</v>
      </c>
      <c r="N884" s="995"/>
      <c r="O884" s="197">
        <f t="shared" si="215"/>
        <v>1</v>
      </c>
      <c r="P884" s="995"/>
      <c r="Q884" s="197">
        <f t="shared" si="216"/>
        <v>1</v>
      </c>
      <c r="R884" s="991">
        <f t="shared" si="217"/>
        <v>0</v>
      </c>
      <c r="S884" s="552">
        <f t="shared" si="218"/>
        <v>0</v>
      </c>
      <c r="T884" s="2010">
        <f t="shared" si="219"/>
        <v>0</v>
      </c>
      <c r="U884" s="2305">
        <f t="shared" si="220"/>
        <v>0</v>
      </c>
      <c r="V884" s="2305">
        <f t="shared" si="221"/>
        <v>0</v>
      </c>
      <c r="W884" s="2300"/>
      <c r="X884" s="2305">
        <f t="shared" si="222"/>
        <v>0</v>
      </c>
      <c r="Y884" s="2305">
        <f t="shared" si="223"/>
        <v>0</v>
      </c>
      <c r="Z884" s="2300"/>
    </row>
    <row r="885" spans="3:26">
      <c r="C885" s="197">
        <f t="shared" si="209"/>
        <v>1</v>
      </c>
      <c r="D885" s="995"/>
      <c r="E885" s="197">
        <f t="shared" si="210"/>
        <v>0</v>
      </c>
      <c r="F885" s="995"/>
      <c r="G885" s="197">
        <f t="shared" si="211"/>
        <v>0</v>
      </c>
      <c r="H885" s="995"/>
      <c r="I885" s="197">
        <f t="shared" si="212"/>
        <v>0.02</v>
      </c>
      <c r="J885" s="995"/>
      <c r="K885" s="197">
        <f t="shared" si="213"/>
        <v>1</v>
      </c>
      <c r="L885" s="995"/>
      <c r="M885" s="197">
        <f t="shared" si="214"/>
        <v>1</v>
      </c>
      <c r="N885" s="995"/>
      <c r="O885" s="197">
        <f t="shared" si="215"/>
        <v>1</v>
      </c>
      <c r="P885" s="995"/>
      <c r="Q885" s="197">
        <f t="shared" si="216"/>
        <v>1</v>
      </c>
      <c r="R885" s="991">
        <f t="shared" si="217"/>
        <v>0</v>
      </c>
      <c r="S885" s="552">
        <f t="shared" si="218"/>
        <v>0</v>
      </c>
      <c r="T885" s="2010">
        <f t="shared" si="219"/>
        <v>0</v>
      </c>
      <c r="U885" s="2305">
        <f t="shared" si="220"/>
        <v>0</v>
      </c>
      <c r="V885" s="2305">
        <f t="shared" si="221"/>
        <v>0</v>
      </c>
      <c r="W885" s="2300"/>
      <c r="X885" s="2305">
        <f t="shared" si="222"/>
        <v>0</v>
      </c>
      <c r="Y885" s="2305">
        <f t="shared" si="223"/>
        <v>0</v>
      </c>
      <c r="Z885" s="2300"/>
    </row>
    <row r="886" spans="3:26">
      <c r="C886" s="197">
        <f t="shared" si="209"/>
        <v>1</v>
      </c>
      <c r="D886" s="995"/>
      <c r="E886" s="197">
        <f t="shared" si="210"/>
        <v>0</v>
      </c>
      <c r="F886" s="995"/>
      <c r="G886" s="197">
        <f t="shared" si="211"/>
        <v>0</v>
      </c>
      <c r="H886" s="995"/>
      <c r="I886" s="197">
        <f t="shared" si="212"/>
        <v>0.02</v>
      </c>
      <c r="J886" s="995"/>
      <c r="K886" s="197">
        <f t="shared" si="213"/>
        <v>1</v>
      </c>
      <c r="L886" s="995"/>
      <c r="M886" s="197">
        <f t="shared" si="214"/>
        <v>1</v>
      </c>
      <c r="N886" s="995"/>
      <c r="O886" s="197">
        <f t="shared" si="215"/>
        <v>1</v>
      </c>
      <c r="P886" s="995"/>
      <c r="Q886" s="197">
        <f t="shared" si="216"/>
        <v>1</v>
      </c>
      <c r="R886" s="991">
        <f t="shared" si="217"/>
        <v>0</v>
      </c>
      <c r="S886" s="552">
        <f t="shared" si="218"/>
        <v>0</v>
      </c>
      <c r="T886" s="2010">
        <f t="shared" si="219"/>
        <v>0</v>
      </c>
      <c r="U886" s="2305">
        <f t="shared" si="220"/>
        <v>0</v>
      </c>
      <c r="V886" s="2305">
        <f t="shared" si="221"/>
        <v>0</v>
      </c>
      <c r="W886" s="2300"/>
      <c r="X886" s="2305">
        <f t="shared" si="222"/>
        <v>0</v>
      </c>
      <c r="Y886" s="2305">
        <f t="shared" si="223"/>
        <v>0</v>
      </c>
      <c r="Z886" s="2300"/>
    </row>
    <row r="887" spans="3:26">
      <c r="C887" s="197">
        <f t="shared" si="209"/>
        <v>1</v>
      </c>
      <c r="D887" s="995"/>
      <c r="E887" s="197">
        <f t="shared" si="210"/>
        <v>0</v>
      </c>
      <c r="F887" s="995"/>
      <c r="G887" s="197">
        <f t="shared" si="211"/>
        <v>0</v>
      </c>
      <c r="H887" s="995"/>
      <c r="I887" s="197">
        <f t="shared" si="212"/>
        <v>0.02</v>
      </c>
      <c r="J887" s="995"/>
      <c r="K887" s="197">
        <f t="shared" si="213"/>
        <v>1</v>
      </c>
      <c r="L887" s="995"/>
      <c r="M887" s="197">
        <f t="shared" si="214"/>
        <v>1</v>
      </c>
      <c r="N887" s="995"/>
      <c r="O887" s="197">
        <f t="shared" si="215"/>
        <v>1</v>
      </c>
      <c r="P887" s="995"/>
      <c r="Q887" s="197">
        <f t="shared" si="216"/>
        <v>1</v>
      </c>
      <c r="R887" s="991">
        <f t="shared" si="217"/>
        <v>0</v>
      </c>
      <c r="S887" s="552">
        <f t="shared" si="218"/>
        <v>0</v>
      </c>
      <c r="T887" s="2010">
        <f t="shared" si="219"/>
        <v>0</v>
      </c>
      <c r="U887" s="2305">
        <f t="shared" si="220"/>
        <v>0</v>
      </c>
      <c r="V887" s="2305">
        <f t="shared" si="221"/>
        <v>0</v>
      </c>
      <c r="W887" s="2300"/>
      <c r="X887" s="2305">
        <f t="shared" si="222"/>
        <v>0</v>
      </c>
      <c r="Y887" s="2305">
        <f t="shared" si="223"/>
        <v>0</v>
      </c>
      <c r="Z887" s="2300"/>
    </row>
    <row r="888" spans="3:26">
      <c r="C888" s="197">
        <f t="shared" si="209"/>
        <v>1</v>
      </c>
      <c r="D888" s="995"/>
      <c r="E888" s="197">
        <f t="shared" si="210"/>
        <v>0</v>
      </c>
      <c r="F888" s="995"/>
      <c r="G888" s="197">
        <f t="shared" si="211"/>
        <v>0</v>
      </c>
      <c r="H888" s="995"/>
      <c r="I888" s="197">
        <f t="shared" si="212"/>
        <v>0.02</v>
      </c>
      <c r="J888" s="995"/>
      <c r="K888" s="197">
        <f t="shared" si="213"/>
        <v>1</v>
      </c>
      <c r="L888" s="995"/>
      <c r="M888" s="197">
        <f t="shared" si="214"/>
        <v>1</v>
      </c>
      <c r="N888" s="995"/>
      <c r="O888" s="197">
        <f t="shared" si="215"/>
        <v>1</v>
      </c>
      <c r="P888" s="995"/>
      <c r="Q888" s="197">
        <f t="shared" si="216"/>
        <v>1</v>
      </c>
      <c r="R888" s="991">
        <f t="shared" si="217"/>
        <v>0</v>
      </c>
      <c r="S888" s="552">
        <f t="shared" si="218"/>
        <v>0</v>
      </c>
      <c r="T888" s="2010">
        <f t="shared" si="219"/>
        <v>0</v>
      </c>
      <c r="U888" s="2305">
        <f t="shared" si="220"/>
        <v>0</v>
      </c>
      <c r="V888" s="2305">
        <f t="shared" si="221"/>
        <v>0</v>
      </c>
      <c r="W888" s="2300"/>
      <c r="X888" s="2305">
        <f t="shared" si="222"/>
        <v>0</v>
      </c>
      <c r="Y888" s="2305">
        <f t="shared" si="223"/>
        <v>0</v>
      </c>
      <c r="Z888" s="2300"/>
    </row>
    <row r="889" spans="3:26">
      <c r="C889" s="197">
        <f t="shared" si="209"/>
        <v>1</v>
      </c>
      <c r="D889" s="995"/>
      <c r="E889" s="197">
        <f t="shared" si="210"/>
        <v>0</v>
      </c>
      <c r="F889" s="995"/>
      <c r="G889" s="197">
        <f t="shared" si="211"/>
        <v>0</v>
      </c>
      <c r="H889" s="995"/>
      <c r="I889" s="197">
        <f t="shared" si="212"/>
        <v>0.02</v>
      </c>
      <c r="J889" s="995"/>
      <c r="K889" s="197">
        <f t="shared" si="213"/>
        <v>1</v>
      </c>
      <c r="L889" s="995"/>
      <c r="M889" s="197">
        <f t="shared" si="214"/>
        <v>1</v>
      </c>
      <c r="N889" s="995"/>
      <c r="O889" s="197">
        <f t="shared" si="215"/>
        <v>1</v>
      </c>
      <c r="P889" s="995"/>
      <c r="Q889" s="197">
        <f t="shared" si="216"/>
        <v>1</v>
      </c>
      <c r="R889" s="991">
        <f t="shared" si="217"/>
        <v>0</v>
      </c>
      <c r="S889" s="552">
        <f t="shared" si="218"/>
        <v>0</v>
      </c>
      <c r="T889" s="2010">
        <f t="shared" si="219"/>
        <v>0</v>
      </c>
      <c r="U889" s="2305">
        <f t="shared" si="220"/>
        <v>0</v>
      </c>
      <c r="V889" s="2305">
        <f t="shared" si="221"/>
        <v>0</v>
      </c>
      <c r="W889" s="2300"/>
      <c r="X889" s="2305">
        <f t="shared" si="222"/>
        <v>0</v>
      </c>
      <c r="Y889" s="2305">
        <f t="shared" si="223"/>
        <v>0</v>
      </c>
      <c r="Z889" s="2300"/>
    </row>
    <row r="890" spans="3:26">
      <c r="C890" s="197">
        <f t="shared" si="209"/>
        <v>1</v>
      </c>
      <c r="D890" s="995"/>
      <c r="E890" s="197">
        <f t="shared" si="210"/>
        <v>0</v>
      </c>
      <c r="F890" s="995"/>
      <c r="G890" s="197">
        <f t="shared" si="211"/>
        <v>0</v>
      </c>
      <c r="H890" s="995"/>
      <c r="I890" s="197">
        <f t="shared" si="212"/>
        <v>0.02</v>
      </c>
      <c r="J890" s="995"/>
      <c r="K890" s="197">
        <f t="shared" si="213"/>
        <v>1</v>
      </c>
      <c r="L890" s="995"/>
      <c r="M890" s="197">
        <f t="shared" si="214"/>
        <v>1</v>
      </c>
      <c r="N890" s="995"/>
      <c r="O890" s="197">
        <f t="shared" si="215"/>
        <v>1</v>
      </c>
      <c r="P890" s="995"/>
      <c r="Q890" s="197">
        <f t="shared" si="216"/>
        <v>1</v>
      </c>
      <c r="R890" s="991">
        <f t="shared" si="217"/>
        <v>0</v>
      </c>
      <c r="S890" s="552">
        <f t="shared" si="218"/>
        <v>0</v>
      </c>
      <c r="T890" s="2010">
        <f t="shared" si="219"/>
        <v>0</v>
      </c>
      <c r="U890" s="2305">
        <f t="shared" si="220"/>
        <v>0</v>
      </c>
      <c r="V890" s="2305">
        <f t="shared" si="221"/>
        <v>0</v>
      </c>
      <c r="W890" s="2300"/>
      <c r="X890" s="2305">
        <f t="shared" si="222"/>
        <v>0</v>
      </c>
      <c r="Y890" s="2305">
        <f t="shared" si="223"/>
        <v>0</v>
      </c>
      <c r="Z890" s="2300"/>
    </row>
    <row r="891" spans="3:26">
      <c r="C891" s="197">
        <f t="shared" si="209"/>
        <v>1</v>
      </c>
      <c r="D891" s="995"/>
      <c r="E891" s="197">
        <f t="shared" si="210"/>
        <v>0</v>
      </c>
      <c r="F891" s="995"/>
      <c r="G891" s="197">
        <f t="shared" si="211"/>
        <v>0</v>
      </c>
      <c r="H891" s="995"/>
      <c r="I891" s="197">
        <f t="shared" si="212"/>
        <v>0.02</v>
      </c>
      <c r="J891" s="995"/>
      <c r="K891" s="197">
        <f t="shared" si="213"/>
        <v>1</v>
      </c>
      <c r="L891" s="995"/>
      <c r="M891" s="197">
        <f t="shared" si="214"/>
        <v>1</v>
      </c>
      <c r="N891" s="995"/>
      <c r="O891" s="197">
        <f t="shared" si="215"/>
        <v>1</v>
      </c>
      <c r="P891" s="995"/>
      <c r="Q891" s="197">
        <f t="shared" si="216"/>
        <v>1</v>
      </c>
      <c r="R891" s="991">
        <f t="shared" si="217"/>
        <v>0</v>
      </c>
      <c r="S891" s="552">
        <f t="shared" si="218"/>
        <v>0</v>
      </c>
      <c r="T891" s="2010">
        <f t="shared" si="219"/>
        <v>0</v>
      </c>
      <c r="U891" s="2305">
        <f t="shared" si="220"/>
        <v>0</v>
      </c>
      <c r="V891" s="2305">
        <f t="shared" si="221"/>
        <v>0</v>
      </c>
      <c r="W891" s="2300"/>
      <c r="X891" s="2305">
        <f t="shared" si="222"/>
        <v>0</v>
      </c>
      <c r="Y891" s="2305">
        <f t="shared" si="223"/>
        <v>0</v>
      </c>
      <c r="Z891" s="2300"/>
    </row>
    <row r="892" spans="3:26">
      <c r="C892" s="197">
        <f t="shared" si="209"/>
        <v>1</v>
      </c>
      <c r="D892" s="995"/>
      <c r="E892" s="197">
        <f t="shared" si="210"/>
        <v>0</v>
      </c>
      <c r="F892" s="995"/>
      <c r="G892" s="197">
        <f t="shared" si="211"/>
        <v>0</v>
      </c>
      <c r="H892" s="995"/>
      <c r="I892" s="197">
        <f t="shared" si="212"/>
        <v>0.02</v>
      </c>
      <c r="J892" s="995"/>
      <c r="K892" s="197">
        <f t="shared" si="213"/>
        <v>1</v>
      </c>
      <c r="L892" s="995"/>
      <c r="M892" s="197">
        <f t="shared" si="214"/>
        <v>1</v>
      </c>
      <c r="N892" s="995"/>
      <c r="O892" s="197">
        <f t="shared" si="215"/>
        <v>1</v>
      </c>
      <c r="P892" s="995"/>
      <c r="Q892" s="197">
        <f t="shared" si="216"/>
        <v>1</v>
      </c>
      <c r="R892" s="991">
        <f t="shared" si="217"/>
        <v>0</v>
      </c>
      <c r="S892" s="552">
        <f t="shared" si="218"/>
        <v>0</v>
      </c>
      <c r="T892" s="2010">
        <f t="shared" si="219"/>
        <v>0</v>
      </c>
      <c r="U892" s="2305">
        <f t="shared" si="220"/>
        <v>0</v>
      </c>
      <c r="V892" s="2305">
        <f t="shared" si="221"/>
        <v>0</v>
      </c>
      <c r="W892" s="2300"/>
      <c r="X892" s="2305">
        <f t="shared" si="222"/>
        <v>0</v>
      </c>
      <c r="Y892" s="2305">
        <f t="shared" si="223"/>
        <v>0</v>
      </c>
      <c r="Z892" s="2300"/>
    </row>
    <row r="893" spans="3:26">
      <c r="C893" s="197">
        <f t="shared" si="209"/>
        <v>1</v>
      </c>
      <c r="D893" s="995"/>
      <c r="E893" s="197">
        <f t="shared" si="210"/>
        <v>0</v>
      </c>
      <c r="F893" s="995"/>
      <c r="G893" s="197">
        <f t="shared" si="211"/>
        <v>0</v>
      </c>
      <c r="H893" s="995"/>
      <c r="I893" s="197">
        <f t="shared" si="212"/>
        <v>0.02</v>
      </c>
      <c r="J893" s="995"/>
      <c r="K893" s="197">
        <f t="shared" si="213"/>
        <v>1</v>
      </c>
      <c r="L893" s="995"/>
      <c r="M893" s="197">
        <f t="shared" si="214"/>
        <v>1</v>
      </c>
      <c r="N893" s="995"/>
      <c r="O893" s="197">
        <f t="shared" si="215"/>
        <v>1</v>
      </c>
      <c r="P893" s="995"/>
      <c r="Q893" s="197">
        <f t="shared" si="216"/>
        <v>1</v>
      </c>
      <c r="R893" s="991">
        <f t="shared" si="217"/>
        <v>0</v>
      </c>
      <c r="S893" s="552">
        <f t="shared" si="218"/>
        <v>0</v>
      </c>
      <c r="T893" s="2010">
        <f t="shared" si="219"/>
        <v>0</v>
      </c>
      <c r="U893" s="2305">
        <f t="shared" si="220"/>
        <v>0</v>
      </c>
      <c r="V893" s="2305">
        <f t="shared" si="221"/>
        <v>0</v>
      </c>
      <c r="W893" s="2300"/>
      <c r="X893" s="2305">
        <f t="shared" si="222"/>
        <v>0</v>
      </c>
      <c r="Y893" s="2305">
        <f t="shared" si="223"/>
        <v>0</v>
      </c>
      <c r="Z893" s="2300"/>
    </row>
    <row r="894" spans="3:26">
      <c r="C894" s="197">
        <f t="shared" si="209"/>
        <v>1</v>
      </c>
      <c r="D894" s="995"/>
      <c r="E894" s="197">
        <f t="shared" si="210"/>
        <v>0</v>
      </c>
      <c r="F894" s="995"/>
      <c r="G894" s="197">
        <f t="shared" si="211"/>
        <v>0</v>
      </c>
      <c r="H894" s="995"/>
      <c r="I894" s="197">
        <f t="shared" si="212"/>
        <v>0.02</v>
      </c>
      <c r="J894" s="995"/>
      <c r="K894" s="197">
        <f t="shared" si="213"/>
        <v>1</v>
      </c>
      <c r="L894" s="995"/>
      <c r="M894" s="197">
        <f t="shared" si="214"/>
        <v>1</v>
      </c>
      <c r="N894" s="995"/>
      <c r="O894" s="197">
        <f t="shared" si="215"/>
        <v>1</v>
      </c>
      <c r="P894" s="995"/>
      <c r="Q894" s="197">
        <f t="shared" si="216"/>
        <v>1</v>
      </c>
      <c r="R894" s="991">
        <f t="shared" si="217"/>
        <v>0</v>
      </c>
      <c r="S894" s="552">
        <f t="shared" si="218"/>
        <v>0</v>
      </c>
      <c r="T894" s="2010">
        <f t="shared" si="219"/>
        <v>0</v>
      </c>
      <c r="U894" s="2305">
        <f t="shared" si="220"/>
        <v>0</v>
      </c>
      <c r="V894" s="2305">
        <f t="shared" si="221"/>
        <v>0</v>
      </c>
      <c r="W894" s="2300"/>
      <c r="X894" s="2305">
        <f t="shared" si="222"/>
        <v>0</v>
      </c>
      <c r="Y894" s="2305">
        <f t="shared" si="223"/>
        <v>0</v>
      </c>
      <c r="Z894" s="2300"/>
    </row>
    <row r="895" spans="3:26">
      <c r="C895" s="197">
        <f t="shared" si="209"/>
        <v>1</v>
      </c>
      <c r="D895" s="995"/>
      <c r="E895" s="197">
        <f t="shared" si="210"/>
        <v>0</v>
      </c>
      <c r="F895" s="995"/>
      <c r="G895" s="197">
        <f t="shared" si="211"/>
        <v>0</v>
      </c>
      <c r="H895" s="995"/>
      <c r="I895" s="197">
        <f t="shared" si="212"/>
        <v>0.02</v>
      </c>
      <c r="J895" s="995"/>
      <c r="K895" s="197">
        <f t="shared" si="213"/>
        <v>1</v>
      </c>
      <c r="L895" s="995"/>
      <c r="M895" s="197">
        <f t="shared" si="214"/>
        <v>1</v>
      </c>
      <c r="N895" s="995"/>
      <c r="O895" s="197">
        <f t="shared" si="215"/>
        <v>1</v>
      </c>
      <c r="P895" s="995"/>
      <c r="Q895" s="197">
        <f t="shared" si="216"/>
        <v>1</v>
      </c>
      <c r="R895" s="991">
        <f t="shared" si="217"/>
        <v>0</v>
      </c>
      <c r="S895" s="552">
        <f t="shared" si="218"/>
        <v>0</v>
      </c>
      <c r="T895" s="2010">
        <f t="shared" si="219"/>
        <v>0</v>
      </c>
      <c r="U895" s="2305">
        <f t="shared" si="220"/>
        <v>0</v>
      </c>
      <c r="V895" s="2305">
        <f t="shared" si="221"/>
        <v>0</v>
      </c>
      <c r="W895" s="2300"/>
      <c r="X895" s="2305">
        <f t="shared" si="222"/>
        <v>0</v>
      </c>
      <c r="Y895" s="2305">
        <f t="shared" si="223"/>
        <v>0</v>
      </c>
      <c r="Z895" s="2300"/>
    </row>
    <row r="896" spans="3:26">
      <c r="C896" s="197">
        <f t="shared" si="209"/>
        <v>1</v>
      </c>
      <c r="D896" s="995"/>
      <c r="E896" s="197">
        <f t="shared" si="210"/>
        <v>0</v>
      </c>
      <c r="F896" s="995"/>
      <c r="G896" s="197">
        <f t="shared" si="211"/>
        <v>0</v>
      </c>
      <c r="H896" s="995"/>
      <c r="I896" s="197">
        <f t="shared" si="212"/>
        <v>0.02</v>
      </c>
      <c r="J896" s="995"/>
      <c r="K896" s="197">
        <f t="shared" si="213"/>
        <v>1</v>
      </c>
      <c r="L896" s="995"/>
      <c r="M896" s="197">
        <f t="shared" si="214"/>
        <v>1</v>
      </c>
      <c r="N896" s="995"/>
      <c r="O896" s="197">
        <f t="shared" si="215"/>
        <v>1</v>
      </c>
      <c r="P896" s="995"/>
      <c r="Q896" s="197">
        <f t="shared" si="216"/>
        <v>1</v>
      </c>
      <c r="R896" s="991">
        <f t="shared" si="217"/>
        <v>0</v>
      </c>
      <c r="S896" s="552">
        <f t="shared" si="218"/>
        <v>0</v>
      </c>
      <c r="T896" s="2010">
        <f t="shared" si="219"/>
        <v>0</v>
      </c>
      <c r="U896" s="2305">
        <f t="shared" si="220"/>
        <v>0</v>
      </c>
      <c r="V896" s="2305">
        <f t="shared" si="221"/>
        <v>0</v>
      </c>
      <c r="W896" s="2300"/>
      <c r="X896" s="2305">
        <f t="shared" si="222"/>
        <v>0</v>
      </c>
      <c r="Y896" s="2305">
        <f t="shared" si="223"/>
        <v>0</v>
      </c>
      <c r="Z896" s="2300"/>
    </row>
    <row r="897" spans="3:26">
      <c r="C897" s="197">
        <f t="shared" si="209"/>
        <v>1</v>
      </c>
      <c r="D897" s="995"/>
      <c r="E897" s="197">
        <f t="shared" si="210"/>
        <v>0</v>
      </c>
      <c r="F897" s="995"/>
      <c r="G897" s="197">
        <f t="shared" si="211"/>
        <v>0</v>
      </c>
      <c r="H897" s="995"/>
      <c r="I897" s="197">
        <f t="shared" si="212"/>
        <v>0.02</v>
      </c>
      <c r="J897" s="995"/>
      <c r="K897" s="197">
        <f t="shared" si="213"/>
        <v>1</v>
      </c>
      <c r="L897" s="995"/>
      <c r="M897" s="197">
        <f t="shared" si="214"/>
        <v>1</v>
      </c>
      <c r="N897" s="995"/>
      <c r="O897" s="197">
        <f t="shared" si="215"/>
        <v>1</v>
      </c>
      <c r="P897" s="995"/>
      <c r="Q897" s="197">
        <f t="shared" si="216"/>
        <v>1</v>
      </c>
      <c r="R897" s="991">
        <f t="shared" si="217"/>
        <v>0</v>
      </c>
      <c r="S897" s="552">
        <f t="shared" si="218"/>
        <v>0</v>
      </c>
      <c r="T897" s="2010">
        <f t="shared" si="219"/>
        <v>0</v>
      </c>
      <c r="U897" s="2305">
        <f t="shared" si="220"/>
        <v>0</v>
      </c>
      <c r="V897" s="2305">
        <f t="shared" si="221"/>
        <v>0</v>
      </c>
      <c r="W897" s="2300"/>
      <c r="X897" s="2305">
        <f t="shared" si="222"/>
        <v>0</v>
      </c>
      <c r="Y897" s="2305">
        <f t="shared" si="223"/>
        <v>0</v>
      </c>
      <c r="Z897" s="2300"/>
    </row>
    <row r="898" spans="3:26">
      <c r="C898" s="197">
        <f t="shared" si="209"/>
        <v>1</v>
      </c>
      <c r="D898" s="995"/>
      <c r="E898" s="197">
        <f t="shared" si="210"/>
        <v>0</v>
      </c>
      <c r="F898" s="995"/>
      <c r="G898" s="197">
        <f t="shared" si="211"/>
        <v>0</v>
      </c>
      <c r="H898" s="995"/>
      <c r="I898" s="197">
        <f t="shared" si="212"/>
        <v>0.02</v>
      </c>
      <c r="J898" s="995"/>
      <c r="K898" s="197">
        <f t="shared" si="213"/>
        <v>1</v>
      </c>
      <c r="L898" s="995"/>
      <c r="M898" s="197">
        <f t="shared" si="214"/>
        <v>1</v>
      </c>
      <c r="N898" s="995"/>
      <c r="O898" s="197">
        <f t="shared" si="215"/>
        <v>1</v>
      </c>
      <c r="P898" s="995"/>
      <c r="Q898" s="197">
        <f t="shared" si="216"/>
        <v>1</v>
      </c>
      <c r="R898" s="991">
        <f t="shared" si="217"/>
        <v>0</v>
      </c>
      <c r="S898" s="552">
        <f t="shared" si="218"/>
        <v>0</v>
      </c>
      <c r="T898" s="2010">
        <f t="shared" si="219"/>
        <v>0</v>
      </c>
      <c r="U898" s="2305">
        <f t="shared" si="220"/>
        <v>0</v>
      </c>
      <c r="V898" s="2305">
        <f t="shared" si="221"/>
        <v>0</v>
      </c>
      <c r="W898" s="2300"/>
      <c r="X898" s="2305">
        <f t="shared" si="222"/>
        <v>0</v>
      </c>
      <c r="Y898" s="2305">
        <f t="shared" si="223"/>
        <v>0</v>
      </c>
      <c r="Z898" s="2300"/>
    </row>
    <row r="899" spans="3:26">
      <c r="C899" s="197">
        <f t="shared" si="209"/>
        <v>1</v>
      </c>
      <c r="D899" s="995"/>
      <c r="E899" s="197">
        <f t="shared" si="210"/>
        <v>0</v>
      </c>
      <c r="F899" s="995"/>
      <c r="G899" s="197">
        <f t="shared" si="211"/>
        <v>0</v>
      </c>
      <c r="H899" s="995"/>
      <c r="I899" s="197">
        <f t="shared" si="212"/>
        <v>0.02</v>
      </c>
      <c r="J899" s="995"/>
      <c r="K899" s="197">
        <f t="shared" si="213"/>
        <v>1</v>
      </c>
      <c r="L899" s="995"/>
      <c r="M899" s="197">
        <f t="shared" si="214"/>
        <v>1</v>
      </c>
      <c r="N899" s="995"/>
      <c r="O899" s="197">
        <f t="shared" si="215"/>
        <v>1</v>
      </c>
      <c r="P899" s="995"/>
      <c r="Q899" s="197">
        <f t="shared" si="216"/>
        <v>1</v>
      </c>
      <c r="R899" s="991">
        <f t="shared" si="217"/>
        <v>0</v>
      </c>
      <c r="S899" s="552">
        <f t="shared" si="218"/>
        <v>0</v>
      </c>
      <c r="T899" s="2010">
        <f t="shared" si="219"/>
        <v>0</v>
      </c>
      <c r="U899" s="2305">
        <f t="shared" si="220"/>
        <v>0</v>
      </c>
      <c r="V899" s="2305">
        <f t="shared" si="221"/>
        <v>0</v>
      </c>
      <c r="W899" s="2300"/>
      <c r="X899" s="2305">
        <f t="shared" si="222"/>
        <v>0</v>
      </c>
      <c r="Y899" s="2305">
        <f t="shared" si="223"/>
        <v>0</v>
      </c>
      <c r="Z899" s="2300"/>
    </row>
    <row r="900" spans="3:26">
      <c r="C900" s="197">
        <f t="shared" si="209"/>
        <v>1</v>
      </c>
      <c r="D900" s="995"/>
      <c r="E900" s="197">
        <f t="shared" si="210"/>
        <v>0</v>
      </c>
      <c r="F900" s="995"/>
      <c r="G900" s="197">
        <f t="shared" si="211"/>
        <v>0</v>
      </c>
      <c r="H900" s="995"/>
      <c r="I900" s="197">
        <f t="shared" si="212"/>
        <v>0.02</v>
      </c>
      <c r="J900" s="995"/>
      <c r="K900" s="197">
        <f t="shared" si="213"/>
        <v>1</v>
      </c>
      <c r="L900" s="995"/>
      <c r="M900" s="197">
        <f t="shared" si="214"/>
        <v>1</v>
      </c>
      <c r="N900" s="995"/>
      <c r="O900" s="197">
        <f t="shared" si="215"/>
        <v>1</v>
      </c>
      <c r="P900" s="995"/>
      <c r="Q900" s="197">
        <f t="shared" si="216"/>
        <v>1</v>
      </c>
      <c r="R900" s="991">
        <f t="shared" si="217"/>
        <v>0</v>
      </c>
      <c r="S900" s="552">
        <f t="shared" si="218"/>
        <v>0</v>
      </c>
      <c r="T900" s="2010">
        <f t="shared" si="219"/>
        <v>0</v>
      </c>
      <c r="U900" s="2305">
        <f t="shared" si="220"/>
        <v>0</v>
      </c>
      <c r="V900" s="2305">
        <f t="shared" si="221"/>
        <v>0</v>
      </c>
      <c r="W900" s="2300"/>
      <c r="X900" s="2305">
        <f t="shared" si="222"/>
        <v>0</v>
      </c>
      <c r="Y900" s="2305">
        <f t="shared" si="223"/>
        <v>0</v>
      </c>
      <c r="Z900" s="2300"/>
    </row>
    <row r="901" spans="3:26">
      <c r="C901" s="197">
        <f t="shared" si="209"/>
        <v>1</v>
      </c>
      <c r="D901" s="995"/>
      <c r="E901" s="197">
        <f t="shared" si="210"/>
        <v>0</v>
      </c>
      <c r="F901" s="995"/>
      <c r="G901" s="197">
        <f t="shared" si="211"/>
        <v>0</v>
      </c>
      <c r="H901" s="995"/>
      <c r="I901" s="197">
        <f t="shared" si="212"/>
        <v>0.02</v>
      </c>
      <c r="J901" s="995"/>
      <c r="K901" s="197">
        <f t="shared" si="213"/>
        <v>1</v>
      </c>
      <c r="L901" s="995"/>
      <c r="M901" s="197">
        <f t="shared" si="214"/>
        <v>1</v>
      </c>
      <c r="N901" s="995"/>
      <c r="O901" s="197">
        <f t="shared" si="215"/>
        <v>1</v>
      </c>
      <c r="P901" s="995"/>
      <c r="Q901" s="197">
        <f t="shared" si="216"/>
        <v>1</v>
      </c>
      <c r="R901" s="991">
        <f t="shared" si="217"/>
        <v>0</v>
      </c>
      <c r="S901" s="552">
        <f t="shared" si="218"/>
        <v>0</v>
      </c>
      <c r="T901" s="2010">
        <f t="shared" si="219"/>
        <v>0</v>
      </c>
      <c r="U901" s="2305">
        <f t="shared" si="220"/>
        <v>0</v>
      </c>
      <c r="V901" s="2305">
        <f t="shared" si="221"/>
        <v>0</v>
      </c>
      <c r="W901" s="2300"/>
      <c r="X901" s="2305">
        <f t="shared" si="222"/>
        <v>0</v>
      </c>
      <c r="Y901" s="2305">
        <f t="shared" si="223"/>
        <v>0</v>
      </c>
      <c r="Z901" s="2300"/>
    </row>
    <row r="902" spans="3:26">
      <c r="C902" s="197">
        <f t="shared" si="209"/>
        <v>1</v>
      </c>
      <c r="D902" s="995"/>
      <c r="E902" s="197">
        <f t="shared" si="210"/>
        <v>0</v>
      </c>
      <c r="F902" s="995"/>
      <c r="G902" s="197">
        <f t="shared" si="211"/>
        <v>0</v>
      </c>
      <c r="H902" s="995"/>
      <c r="I902" s="197">
        <f t="shared" si="212"/>
        <v>0.02</v>
      </c>
      <c r="J902" s="995"/>
      <c r="K902" s="197">
        <f t="shared" si="213"/>
        <v>1</v>
      </c>
      <c r="L902" s="995"/>
      <c r="M902" s="197">
        <f t="shared" si="214"/>
        <v>1</v>
      </c>
      <c r="N902" s="995"/>
      <c r="O902" s="197">
        <f t="shared" si="215"/>
        <v>1</v>
      </c>
      <c r="P902" s="995"/>
      <c r="Q902" s="197">
        <f t="shared" si="216"/>
        <v>1</v>
      </c>
      <c r="R902" s="991">
        <f t="shared" si="217"/>
        <v>0</v>
      </c>
      <c r="S902" s="552">
        <f t="shared" si="218"/>
        <v>0</v>
      </c>
      <c r="T902" s="2010">
        <f t="shared" si="219"/>
        <v>0</v>
      </c>
      <c r="U902" s="2305">
        <f t="shared" si="220"/>
        <v>0</v>
      </c>
      <c r="V902" s="2305">
        <f t="shared" si="221"/>
        <v>0</v>
      </c>
      <c r="W902" s="2300"/>
      <c r="X902" s="2305">
        <f t="shared" si="222"/>
        <v>0</v>
      </c>
      <c r="Y902" s="2305">
        <f t="shared" si="223"/>
        <v>0</v>
      </c>
      <c r="Z902" s="2300"/>
    </row>
    <row r="903" spans="3:26">
      <c r="C903" s="197">
        <f t="shared" si="209"/>
        <v>1</v>
      </c>
      <c r="D903" s="995"/>
      <c r="E903" s="197">
        <f t="shared" si="210"/>
        <v>0</v>
      </c>
      <c r="F903" s="995"/>
      <c r="G903" s="197">
        <f t="shared" si="211"/>
        <v>0</v>
      </c>
      <c r="H903" s="995"/>
      <c r="I903" s="197">
        <f t="shared" si="212"/>
        <v>0.02</v>
      </c>
      <c r="J903" s="995"/>
      <c r="K903" s="197">
        <f t="shared" si="213"/>
        <v>1</v>
      </c>
      <c r="L903" s="995"/>
      <c r="M903" s="197">
        <f t="shared" si="214"/>
        <v>1</v>
      </c>
      <c r="N903" s="995"/>
      <c r="O903" s="197">
        <f t="shared" si="215"/>
        <v>1</v>
      </c>
      <c r="P903" s="995"/>
      <c r="Q903" s="197">
        <f t="shared" si="216"/>
        <v>1</v>
      </c>
      <c r="R903" s="991">
        <f t="shared" si="217"/>
        <v>0</v>
      </c>
      <c r="S903" s="552">
        <f t="shared" si="218"/>
        <v>0</v>
      </c>
      <c r="T903" s="2010">
        <f t="shared" si="219"/>
        <v>0</v>
      </c>
      <c r="U903" s="2305">
        <f t="shared" si="220"/>
        <v>0</v>
      </c>
      <c r="V903" s="2305">
        <f t="shared" si="221"/>
        <v>0</v>
      </c>
      <c r="W903" s="2300"/>
      <c r="X903" s="2305">
        <f t="shared" si="222"/>
        <v>0</v>
      </c>
      <c r="Y903" s="2305">
        <f t="shared" si="223"/>
        <v>0</v>
      </c>
      <c r="Z903" s="2300"/>
    </row>
    <row r="904" spans="3:26">
      <c r="C904" s="197">
        <f t="shared" si="209"/>
        <v>1</v>
      </c>
      <c r="D904" s="995"/>
      <c r="E904" s="197">
        <f t="shared" si="210"/>
        <v>0</v>
      </c>
      <c r="F904" s="995"/>
      <c r="G904" s="197">
        <f t="shared" si="211"/>
        <v>0</v>
      </c>
      <c r="H904" s="995"/>
      <c r="I904" s="197">
        <f t="shared" si="212"/>
        <v>0.02</v>
      </c>
      <c r="J904" s="995"/>
      <c r="K904" s="197">
        <f t="shared" si="213"/>
        <v>1</v>
      </c>
      <c r="L904" s="995"/>
      <c r="M904" s="197">
        <f t="shared" si="214"/>
        <v>1</v>
      </c>
      <c r="N904" s="995"/>
      <c r="O904" s="197">
        <f t="shared" si="215"/>
        <v>1</v>
      </c>
      <c r="P904" s="995"/>
      <c r="Q904" s="197">
        <f t="shared" si="216"/>
        <v>1</v>
      </c>
      <c r="R904" s="991">
        <f t="shared" si="217"/>
        <v>0</v>
      </c>
      <c r="S904" s="552">
        <f t="shared" si="218"/>
        <v>0</v>
      </c>
      <c r="T904" s="2010">
        <f t="shared" si="219"/>
        <v>0</v>
      </c>
      <c r="U904" s="2305">
        <f t="shared" si="220"/>
        <v>0</v>
      </c>
      <c r="V904" s="2305">
        <f t="shared" si="221"/>
        <v>0</v>
      </c>
      <c r="W904" s="2300"/>
      <c r="X904" s="2305">
        <f t="shared" si="222"/>
        <v>0</v>
      </c>
      <c r="Y904" s="2305">
        <f t="shared" si="223"/>
        <v>0</v>
      </c>
      <c r="Z904" s="2300"/>
    </row>
    <row r="905" spans="3:26">
      <c r="C905" s="197">
        <f t="shared" si="209"/>
        <v>1</v>
      </c>
      <c r="D905" s="995"/>
      <c r="E905" s="197">
        <f t="shared" si="210"/>
        <v>0</v>
      </c>
      <c r="F905" s="995"/>
      <c r="G905" s="197">
        <f t="shared" si="211"/>
        <v>0</v>
      </c>
      <c r="H905" s="995"/>
      <c r="I905" s="197">
        <f t="shared" si="212"/>
        <v>0.02</v>
      </c>
      <c r="J905" s="995"/>
      <c r="K905" s="197">
        <f t="shared" si="213"/>
        <v>1</v>
      </c>
      <c r="L905" s="995"/>
      <c r="M905" s="197">
        <f t="shared" si="214"/>
        <v>1</v>
      </c>
      <c r="N905" s="995"/>
      <c r="O905" s="197">
        <f t="shared" si="215"/>
        <v>1</v>
      </c>
      <c r="P905" s="995"/>
      <c r="Q905" s="197">
        <f t="shared" si="216"/>
        <v>1</v>
      </c>
      <c r="R905" s="991">
        <f t="shared" si="217"/>
        <v>0</v>
      </c>
      <c r="S905" s="552">
        <f t="shared" si="218"/>
        <v>0</v>
      </c>
      <c r="T905" s="2010">
        <f t="shared" si="219"/>
        <v>0</v>
      </c>
      <c r="U905" s="2305">
        <f t="shared" si="220"/>
        <v>0</v>
      </c>
      <c r="V905" s="2305">
        <f t="shared" si="221"/>
        <v>0</v>
      </c>
      <c r="W905" s="2300"/>
      <c r="X905" s="2305">
        <f t="shared" si="222"/>
        <v>0</v>
      </c>
      <c r="Y905" s="2305">
        <f t="shared" si="223"/>
        <v>0</v>
      </c>
      <c r="Z905" s="2300"/>
    </row>
    <row r="906" spans="3:26">
      <c r="C906" s="197">
        <f t="shared" si="209"/>
        <v>1</v>
      </c>
      <c r="D906" s="995"/>
      <c r="E906" s="197">
        <f t="shared" si="210"/>
        <v>0</v>
      </c>
      <c r="F906" s="995"/>
      <c r="G906" s="197">
        <f t="shared" si="211"/>
        <v>0</v>
      </c>
      <c r="H906" s="995"/>
      <c r="I906" s="197">
        <f t="shared" si="212"/>
        <v>0.02</v>
      </c>
      <c r="J906" s="995"/>
      <c r="K906" s="197">
        <f t="shared" si="213"/>
        <v>1</v>
      </c>
      <c r="L906" s="995"/>
      <c r="M906" s="197">
        <f t="shared" si="214"/>
        <v>1</v>
      </c>
      <c r="N906" s="995"/>
      <c r="O906" s="197">
        <f t="shared" si="215"/>
        <v>1</v>
      </c>
      <c r="P906" s="995"/>
      <c r="Q906" s="197">
        <f t="shared" si="216"/>
        <v>1</v>
      </c>
      <c r="R906" s="991">
        <f t="shared" si="217"/>
        <v>0</v>
      </c>
      <c r="S906" s="552">
        <f t="shared" si="218"/>
        <v>0</v>
      </c>
      <c r="T906" s="2010">
        <f t="shared" si="219"/>
        <v>0</v>
      </c>
      <c r="U906" s="2305">
        <f t="shared" si="220"/>
        <v>0</v>
      </c>
      <c r="V906" s="2305">
        <f t="shared" si="221"/>
        <v>0</v>
      </c>
      <c r="W906" s="2300"/>
      <c r="X906" s="2305">
        <f t="shared" si="222"/>
        <v>0</v>
      </c>
      <c r="Y906" s="2305">
        <f t="shared" si="223"/>
        <v>0</v>
      </c>
      <c r="Z906" s="2300"/>
    </row>
    <row r="907" spans="3:26">
      <c r="C907" s="197">
        <f t="shared" si="209"/>
        <v>1</v>
      </c>
      <c r="D907" s="995"/>
      <c r="E907" s="197">
        <f t="shared" si="210"/>
        <v>0</v>
      </c>
      <c r="F907" s="995"/>
      <c r="G907" s="197">
        <f t="shared" si="211"/>
        <v>0</v>
      </c>
      <c r="H907" s="995"/>
      <c r="I907" s="197">
        <f t="shared" si="212"/>
        <v>0.02</v>
      </c>
      <c r="J907" s="995"/>
      <c r="K907" s="197">
        <f t="shared" si="213"/>
        <v>1</v>
      </c>
      <c r="L907" s="995"/>
      <c r="M907" s="197">
        <f t="shared" si="214"/>
        <v>1</v>
      </c>
      <c r="N907" s="995"/>
      <c r="O907" s="197">
        <f t="shared" si="215"/>
        <v>1</v>
      </c>
      <c r="P907" s="995"/>
      <c r="Q907" s="197">
        <f t="shared" si="216"/>
        <v>1</v>
      </c>
      <c r="R907" s="991">
        <f t="shared" si="217"/>
        <v>0</v>
      </c>
      <c r="S907" s="552">
        <f t="shared" si="218"/>
        <v>0</v>
      </c>
      <c r="T907" s="2010">
        <f t="shared" si="219"/>
        <v>0</v>
      </c>
      <c r="U907" s="2305">
        <f t="shared" si="220"/>
        <v>0</v>
      </c>
      <c r="V907" s="2305">
        <f t="shared" si="221"/>
        <v>0</v>
      </c>
      <c r="W907" s="2300"/>
      <c r="X907" s="2305">
        <f t="shared" si="222"/>
        <v>0</v>
      </c>
      <c r="Y907" s="2305">
        <f t="shared" si="223"/>
        <v>0</v>
      </c>
      <c r="Z907" s="2300"/>
    </row>
    <row r="908" spans="3:26">
      <c r="C908" s="197">
        <f t="shared" si="209"/>
        <v>1</v>
      </c>
      <c r="D908" s="995"/>
      <c r="E908" s="197">
        <f t="shared" si="210"/>
        <v>0</v>
      </c>
      <c r="F908" s="995"/>
      <c r="G908" s="197">
        <f t="shared" si="211"/>
        <v>0</v>
      </c>
      <c r="H908" s="995"/>
      <c r="I908" s="197">
        <f t="shared" si="212"/>
        <v>0.02</v>
      </c>
      <c r="J908" s="995"/>
      <c r="K908" s="197">
        <f t="shared" si="213"/>
        <v>1</v>
      </c>
      <c r="L908" s="995"/>
      <c r="M908" s="197">
        <f t="shared" si="214"/>
        <v>1</v>
      </c>
      <c r="N908" s="995"/>
      <c r="O908" s="197">
        <f t="shared" si="215"/>
        <v>1</v>
      </c>
      <c r="P908" s="995"/>
      <c r="Q908" s="197">
        <f t="shared" si="216"/>
        <v>1</v>
      </c>
      <c r="R908" s="991">
        <f t="shared" si="217"/>
        <v>0</v>
      </c>
      <c r="S908" s="552">
        <f t="shared" si="218"/>
        <v>0</v>
      </c>
      <c r="T908" s="2010">
        <f t="shared" si="219"/>
        <v>0</v>
      </c>
      <c r="U908" s="2305">
        <f t="shared" si="220"/>
        <v>0</v>
      </c>
      <c r="V908" s="2305">
        <f t="shared" si="221"/>
        <v>0</v>
      </c>
      <c r="W908" s="2300"/>
      <c r="X908" s="2305">
        <f t="shared" si="222"/>
        <v>0</v>
      </c>
      <c r="Y908" s="2305">
        <f t="shared" si="223"/>
        <v>0</v>
      </c>
      <c r="Z908" s="2300"/>
    </row>
    <row r="909" spans="3:26">
      <c r="C909" s="197">
        <f t="shared" si="209"/>
        <v>1</v>
      </c>
      <c r="D909" s="995"/>
      <c r="E909" s="197">
        <f t="shared" si="210"/>
        <v>0</v>
      </c>
      <c r="F909" s="995"/>
      <c r="G909" s="197">
        <f t="shared" si="211"/>
        <v>0</v>
      </c>
      <c r="H909" s="995"/>
      <c r="I909" s="197">
        <f t="shared" si="212"/>
        <v>0.02</v>
      </c>
      <c r="J909" s="995"/>
      <c r="K909" s="197">
        <f t="shared" si="213"/>
        <v>1</v>
      </c>
      <c r="L909" s="995"/>
      <c r="M909" s="197">
        <f t="shared" si="214"/>
        <v>1</v>
      </c>
      <c r="N909" s="995"/>
      <c r="O909" s="197">
        <f t="shared" si="215"/>
        <v>1</v>
      </c>
      <c r="P909" s="995"/>
      <c r="Q909" s="197">
        <f t="shared" si="216"/>
        <v>1</v>
      </c>
      <c r="R909" s="991">
        <f t="shared" si="217"/>
        <v>0</v>
      </c>
      <c r="S909" s="552">
        <f t="shared" si="218"/>
        <v>0</v>
      </c>
      <c r="T909" s="2010">
        <f t="shared" si="219"/>
        <v>0</v>
      </c>
      <c r="U909" s="2305">
        <f t="shared" si="220"/>
        <v>0</v>
      </c>
      <c r="V909" s="2305">
        <f t="shared" si="221"/>
        <v>0</v>
      </c>
      <c r="W909" s="2300"/>
      <c r="X909" s="2305">
        <f t="shared" si="222"/>
        <v>0</v>
      </c>
      <c r="Y909" s="2305">
        <f t="shared" si="223"/>
        <v>0</v>
      </c>
      <c r="Z909" s="2300"/>
    </row>
    <row r="910" spans="3:26">
      <c r="C910" s="197">
        <f t="shared" si="209"/>
        <v>1</v>
      </c>
      <c r="D910" s="995"/>
      <c r="E910" s="197">
        <f t="shared" si="210"/>
        <v>0</v>
      </c>
      <c r="F910" s="995"/>
      <c r="G910" s="197">
        <f t="shared" si="211"/>
        <v>0</v>
      </c>
      <c r="H910" s="995"/>
      <c r="I910" s="197">
        <f t="shared" si="212"/>
        <v>0.02</v>
      </c>
      <c r="J910" s="995"/>
      <c r="K910" s="197">
        <f t="shared" si="213"/>
        <v>1</v>
      </c>
      <c r="L910" s="995"/>
      <c r="M910" s="197">
        <f t="shared" si="214"/>
        <v>1</v>
      </c>
      <c r="N910" s="995"/>
      <c r="O910" s="197">
        <f t="shared" si="215"/>
        <v>1</v>
      </c>
      <c r="P910" s="995"/>
      <c r="Q910" s="197">
        <f t="shared" si="216"/>
        <v>1</v>
      </c>
      <c r="R910" s="991">
        <f t="shared" si="217"/>
        <v>0</v>
      </c>
      <c r="S910" s="552">
        <f t="shared" si="218"/>
        <v>0</v>
      </c>
      <c r="T910" s="2010">
        <f t="shared" si="219"/>
        <v>0</v>
      </c>
      <c r="U910" s="2305">
        <f t="shared" si="220"/>
        <v>0</v>
      </c>
      <c r="V910" s="2305">
        <f t="shared" si="221"/>
        <v>0</v>
      </c>
      <c r="W910" s="2300"/>
      <c r="X910" s="2305">
        <f t="shared" si="222"/>
        <v>0</v>
      </c>
      <c r="Y910" s="2305">
        <f t="shared" si="223"/>
        <v>0</v>
      </c>
      <c r="Z910" s="2300"/>
    </row>
    <row r="911" spans="3:26">
      <c r="C911" s="197">
        <f t="shared" si="209"/>
        <v>1</v>
      </c>
      <c r="D911" s="995"/>
      <c r="E911" s="197">
        <f t="shared" si="210"/>
        <v>0</v>
      </c>
      <c r="F911" s="995"/>
      <c r="G911" s="197">
        <f t="shared" si="211"/>
        <v>0</v>
      </c>
      <c r="H911" s="995"/>
      <c r="I911" s="197">
        <f t="shared" si="212"/>
        <v>0.02</v>
      </c>
      <c r="J911" s="995"/>
      <c r="K911" s="197">
        <f t="shared" si="213"/>
        <v>1</v>
      </c>
      <c r="L911" s="995"/>
      <c r="M911" s="197">
        <f t="shared" si="214"/>
        <v>1</v>
      </c>
      <c r="N911" s="995"/>
      <c r="O911" s="197">
        <f t="shared" si="215"/>
        <v>1</v>
      </c>
      <c r="P911" s="995"/>
      <c r="Q911" s="197">
        <f t="shared" si="216"/>
        <v>1</v>
      </c>
      <c r="R911" s="991">
        <f t="shared" si="217"/>
        <v>0</v>
      </c>
      <c r="S911" s="552">
        <f t="shared" si="218"/>
        <v>0</v>
      </c>
      <c r="T911" s="2010">
        <f t="shared" si="219"/>
        <v>0</v>
      </c>
      <c r="U911" s="2305">
        <f t="shared" si="220"/>
        <v>0</v>
      </c>
      <c r="V911" s="2305">
        <f t="shared" si="221"/>
        <v>0</v>
      </c>
      <c r="W911" s="2300"/>
      <c r="X911" s="2305">
        <f t="shared" si="222"/>
        <v>0</v>
      </c>
      <c r="Y911" s="2305">
        <f t="shared" si="223"/>
        <v>0</v>
      </c>
      <c r="Z911" s="2300"/>
    </row>
    <row r="912" spans="3:26">
      <c r="C912" s="197">
        <f t="shared" ref="C912:C975" si="224">IF(B912="",1,(LOOKUP(B912,$6:$6,$7:$7)-LOOKUP($B$27,$6:$6,$7:$7)+100)/100)</f>
        <v>1</v>
      </c>
      <c r="D912" s="995"/>
      <c r="E912" s="197">
        <f t="shared" ref="E912:E975" si="225">(SUMIF($8:$8,D912,$9:$9)-SUMIF($8:$8,$D$27,$9:$9)+100)/100</f>
        <v>0</v>
      </c>
      <c r="F912" s="995"/>
      <c r="G912" s="197">
        <f t="shared" ref="G912:G975" si="226">(SUMIF($10:$10,F912,$11:$11)-SUMIF($10:$10,$F$27,$11:$11)+100)/100</f>
        <v>0</v>
      </c>
      <c r="H912" s="995"/>
      <c r="I912" s="197">
        <f t="shared" ref="I912:I975" si="227">(SUMIF($12:$12,H912,$13:$13)-SUMIF($12:$12,$H$27,$13:$13)+100)/100</f>
        <v>0.02</v>
      </c>
      <c r="J912" s="995"/>
      <c r="K912" s="197">
        <f t="shared" ref="K912:K975" si="228">(SUMIF($14:$14,J912,$15:$15)-SUMIF($14:$14,$J$27,$15:$15)+100)/100</f>
        <v>1</v>
      </c>
      <c r="L912" s="995"/>
      <c r="M912" s="197">
        <f t="shared" ref="M912:M975" si="229">(SUMIF($16:$16,L912,$17:$17)-SUMIF($16:$16,$L$27,$17:$17)+100)/100</f>
        <v>1</v>
      </c>
      <c r="N912" s="995"/>
      <c r="O912" s="197">
        <f t="shared" ref="O912:O975" si="230">(SUMIF($18:$18,N912,$19:$19)-SUMIF($18:$18,$N$27,$19:$19)+100)/100</f>
        <v>1</v>
      </c>
      <c r="P912" s="995"/>
      <c r="Q912" s="197">
        <f t="shared" ref="Q912:Q975" si="231">(SUMIF($20:$20,P912,$21:$21)-SUMIF($20:$20,$P$27,$21:$21)+100)/100</f>
        <v>1</v>
      </c>
      <c r="R912" s="991">
        <f t="shared" ref="R912:R975" si="232">IF(B912="",0,ROUND($R$27*C912*E912*G912*I912*K912*M912*O912*Q912,0))</f>
        <v>0</v>
      </c>
      <c r="S912" s="552">
        <f t="shared" ref="S912:S975" si="233">ROUND(R912*B912,0)</f>
        <v>0</v>
      </c>
      <c r="T912" s="2010">
        <f t="shared" ref="T912:T975" si="234">ROUND(R912*B912/10000,0)</f>
        <v>0</v>
      </c>
      <c r="U912" s="2305">
        <f t="shared" ref="U912:U975" si="235">ROUND(W912*B912,0)</f>
        <v>0</v>
      </c>
      <c r="V912" s="2305">
        <f t="shared" ref="V912:V975" si="236">ROUND(W912*B912/10000,0)</f>
        <v>0</v>
      </c>
      <c r="W912" s="2300"/>
      <c r="X912" s="2305">
        <f t="shared" ref="X912:X975" si="237">ROUND(Z912*B912,0)</f>
        <v>0</v>
      </c>
      <c r="Y912" s="2305">
        <f t="shared" ref="Y912:Y975" si="238">ROUND(Z912*B912/10000,0)</f>
        <v>0</v>
      </c>
      <c r="Z912" s="2300"/>
    </row>
    <row r="913" spans="3:26">
      <c r="C913" s="197">
        <f t="shared" si="224"/>
        <v>1</v>
      </c>
      <c r="D913" s="995"/>
      <c r="E913" s="197">
        <f t="shared" si="225"/>
        <v>0</v>
      </c>
      <c r="F913" s="995"/>
      <c r="G913" s="197">
        <f t="shared" si="226"/>
        <v>0</v>
      </c>
      <c r="H913" s="995"/>
      <c r="I913" s="197">
        <f t="shared" si="227"/>
        <v>0.02</v>
      </c>
      <c r="J913" s="995"/>
      <c r="K913" s="197">
        <f t="shared" si="228"/>
        <v>1</v>
      </c>
      <c r="L913" s="995"/>
      <c r="M913" s="197">
        <f t="shared" si="229"/>
        <v>1</v>
      </c>
      <c r="N913" s="995"/>
      <c r="O913" s="197">
        <f t="shared" si="230"/>
        <v>1</v>
      </c>
      <c r="P913" s="995"/>
      <c r="Q913" s="197">
        <f t="shared" si="231"/>
        <v>1</v>
      </c>
      <c r="R913" s="991">
        <f t="shared" si="232"/>
        <v>0</v>
      </c>
      <c r="S913" s="552">
        <f t="shared" si="233"/>
        <v>0</v>
      </c>
      <c r="T913" s="2010">
        <f t="shared" si="234"/>
        <v>0</v>
      </c>
      <c r="U913" s="2305">
        <f t="shared" si="235"/>
        <v>0</v>
      </c>
      <c r="V913" s="2305">
        <f t="shared" si="236"/>
        <v>0</v>
      </c>
      <c r="W913" s="2300"/>
      <c r="X913" s="2305">
        <f t="shared" si="237"/>
        <v>0</v>
      </c>
      <c r="Y913" s="2305">
        <f t="shared" si="238"/>
        <v>0</v>
      </c>
      <c r="Z913" s="2300"/>
    </row>
    <row r="914" spans="3:26">
      <c r="C914" s="197">
        <f t="shared" si="224"/>
        <v>1</v>
      </c>
      <c r="D914" s="995"/>
      <c r="E914" s="197">
        <f t="shared" si="225"/>
        <v>0</v>
      </c>
      <c r="F914" s="995"/>
      <c r="G914" s="197">
        <f t="shared" si="226"/>
        <v>0</v>
      </c>
      <c r="H914" s="995"/>
      <c r="I914" s="197">
        <f t="shared" si="227"/>
        <v>0.02</v>
      </c>
      <c r="J914" s="995"/>
      <c r="K914" s="197">
        <f t="shared" si="228"/>
        <v>1</v>
      </c>
      <c r="L914" s="995"/>
      <c r="M914" s="197">
        <f t="shared" si="229"/>
        <v>1</v>
      </c>
      <c r="N914" s="995"/>
      <c r="O914" s="197">
        <f t="shared" si="230"/>
        <v>1</v>
      </c>
      <c r="P914" s="995"/>
      <c r="Q914" s="197">
        <f t="shared" si="231"/>
        <v>1</v>
      </c>
      <c r="R914" s="991">
        <f t="shared" si="232"/>
        <v>0</v>
      </c>
      <c r="S914" s="552">
        <f t="shared" si="233"/>
        <v>0</v>
      </c>
      <c r="T914" s="2010">
        <f t="shared" si="234"/>
        <v>0</v>
      </c>
      <c r="U914" s="2305">
        <f t="shared" si="235"/>
        <v>0</v>
      </c>
      <c r="V914" s="2305">
        <f t="shared" si="236"/>
        <v>0</v>
      </c>
      <c r="W914" s="2300"/>
      <c r="X914" s="2305">
        <f t="shared" si="237"/>
        <v>0</v>
      </c>
      <c r="Y914" s="2305">
        <f t="shared" si="238"/>
        <v>0</v>
      </c>
      <c r="Z914" s="2300"/>
    </row>
    <row r="915" spans="3:26">
      <c r="C915" s="197">
        <f t="shared" si="224"/>
        <v>1</v>
      </c>
      <c r="D915" s="995"/>
      <c r="E915" s="197">
        <f t="shared" si="225"/>
        <v>0</v>
      </c>
      <c r="F915" s="995"/>
      <c r="G915" s="197">
        <f t="shared" si="226"/>
        <v>0</v>
      </c>
      <c r="H915" s="995"/>
      <c r="I915" s="197">
        <f t="shared" si="227"/>
        <v>0.02</v>
      </c>
      <c r="J915" s="995"/>
      <c r="K915" s="197">
        <f t="shared" si="228"/>
        <v>1</v>
      </c>
      <c r="L915" s="995"/>
      <c r="M915" s="197">
        <f t="shared" si="229"/>
        <v>1</v>
      </c>
      <c r="N915" s="995"/>
      <c r="O915" s="197">
        <f t="shared" si="230"/>
        <v>1</v>
      </c>
      <c r="P915" s="995"/>
      <c r="Q915" s="197">
        <f t="shared" si="231"/>
        <v>1</v>
      </c>
      <c r="R915" s="991">
        <f t="shared" si="232"/>
        <v>0</v>
      </c>
      <c r="S915" s="552">
        <f t="shared" si="233"/>
        <v>0</v>
      </c>
      <c r="T915" s="2010">
        <f t="shared" si="234"/>
        <v>0</v>
      </c>
      <c r="U915" s="2305">
        <f t="shared" si="235"/>
        <v>0</v>
      </c>
      <c r="V915" s="2305">
        <f t="shared" si="236"/>
        <v>0</v>
      </c>
      <c r="W915" s="2300"/>
      <c r="X915" s="2305">
        <f t="shared" si="237"/>
        <v>0</v>
      </c>
      <c r="Y915" s="2305">
        <f t="shared" si="238"/>
        <v>0</v>
      </c>
      <c r="Z915" s="2300"/>
    </row>
    <row r="916" spans="3:26">
      <c r="C916" s="197">
        <f t="shared" si="224"/>
        <v>1</v>
      </c>
      <c r="D916" s="995"/>
      <c r="E916" s="197">
        <f t="shared" si="225"/>
        <v>0</v>
      </c>
      <c r="F916" s="995"/>
      <c r="G916" s="197">
        <f t="shared" si="226"/>
        <v>0</v>
      </c>
      <c r="H916" s="995"/>
      <c r="I916" s="197">
        <f t="shared" si="227"/>
        <v>0.02</v>
      </c>
      <c r="J916" s="995"/>
      <c r="K916" s="197">
        <f t="shared" si="228"/>
        <v>1</v>
      </c>
      <c r="L916" s="995"/>
      <c r="M916" s="197">
        <f t="shared" si="229"/>
        <v>1</v>
      </c>
      <c r="N916" s="995"/>
      <c r="O916" s="197">
        <f t="shared" si="230"/>
        <v>1</v>
      </c>
      <c r="P916" s="995"/>
      <c r="Q916" s="197">
        <f t="shared" si="231"/>
        <v>1</v>
      </c>
      <c r="R916" s="991">
        <f t="shared" si="232"/>
        <v>0</v>
      </c>
      <c r="S916" s="552">
        <f t="shared" si="233"/>
        <v>0</v>
      </c>
      <c r="T916" s="2010">
        <f t="shared" si="234"/>
        <v>0</v>
      </c>
      <c r="U916" s="2305">
        <f t="shared" si="235"/>
        <v>0</v>
      </c>
      <c r="V916" s="2305">
        <f t="shared" si="236"/>
        <v>0</v>
      </c>
      <c r="W916" s="2300"/>
      <c r="X916" s="2305">
        <f t="shared" si="237"/>
        <v>0</v>
      </c>
      <c r="Y916" s="2305">
        <f t="shared" si="238"/>
        <v>0</v>
      </c>
      <c r="Z916" s="2300"/>
    </row>
    <row r="917" spans="3:26">
      <c r="C917" s="197">
        <f t="shared" si="224"/>
        <v>1</v>
      </c>
      <c r="D917" s="995"/>
      <c r="E917" s="197">
        <f t="shared" si="225"/>
        <v>0</v>
      </c>
      <c r="F917" s="995"/>
      <c r="G917" s="197">
        <f t="shared" si="226"/>
        <v>0</v>
      </c>
      <c r="H917" s="995"/>
      <c r="I917" s="197">
        <f t="shared" si="227"/>
        <v>0.02</v>
      </c>
      <c r="J917" s="995"/>
      <c r="K917" s="197">
        <f t="shared" si="228"/>
        <v>1</v>
      </c>
      <c r="L917" s="995"/>
      <c r="M917" s="197">
        <f t="shared" si="229"/>
        <v>1</v>
      </c>
      <c r="N917" s="995"/>
      <c r="O917" s="197">
        <f t="shared" si="230"/>
        <v>1</v>
      </c>
      <c r="P917" s="995"/>
      <c r="Q917" s="197">
        <f t="shared" si="231"/>
        <v>1</v>
      </c>
      <c r="R917" s="991">
        <f t="shared" si="232"/>
        <v>0</v>
      </c>
      <c r="S917" s="552">
        <f t="shared" si="233"/>
        <v>0</v>
      </c>
      <c r="T917" s="2010">
        <f t="shared" si="234"/>
        <v>0</v>
      </c>
      <c r="U917" s="2305">
        <f t="shared" si="235"/>
        <v>0</v>
      </c>
      <c r="V917" s="2305">
        <f t="shared" si="236"/>
        <v>0</v>
      </c>
      <c r="W917" s="2300"/>
      <c r="X917" s="2305">
        <f t="shared" si="237"/>
        <v>0</v>
      </c>
      <c r="Y917" s="2305">
        <f t="shared" si="238"/>
        <v>0</v>
      </c>
      <c r="Z917" s="2300"/>
    </row>
    <row r="918" spans="3:26">
      <c r="C918" s="197">
        <f t="shared" si="224"/>
        <v>1</v>
      </c>
      <c r="D918" s="995"/>
      <c r="E918" s="197">
        <f t="shared" si="225"/>
        <v>0</v>
      </c>
      <c r="F918" s="995"/>
      <c r="G918" s="197">
        <f t="shared" si="226"/>
        <v>0</v>
      </c>
      <c r="H918" s="995"/>
      <c r="I918" s="197">
        <f t="shared" si="227"/>
        <v>0.02</v>
      </c>
      <c r="J918" s="995"/>
      <c r="K918" s="197">
        <f t="shared" si="228"/>
        <v>1</v>
      </c>
      <c r="L918" s="995"/>
      <c r="M918" s="197">
        <f t="shared" si="229"/>
        <v>1</v>
      </c>
      <c r="N918" s="995"/>
      <c r="O918" s="197">
        <f t="shared" si="230"/>
        <v>1</v>
      </c>
      <c r="P918" s="995"/>
      <c r="Q918" s="197">
        <f t="shared" si="231"/>
        <v>1</v>
      </c>
      <c r="R918" s="991">
        <f t="shared" si="232"/>
        <v>0</v>
      </c>
      <c r="S918" s="552">
        <f t="shared" si="233"/>
        <v>0</v>
      </c>
      <c r="T918" s="2010">
        <f t="shared" si="234"/>
        <v>0</v>
      </c>
      <c r="U918" s="2305">
        <f t="shared" si="235"/>
        <v>0</v>
      </c>
      <c r="V918" s="2305">
        <f t="shared" si="236"/>
        <v>0</v>
      </c>
      <c r="W918" s="2300"/>
      <c r="X918" s="2305">
        <f t="shared" si="237"/>
        <v>0</v>
      </c>
      <c r="Y918" s="2305">
        <f t="shared" si="238"/>
        <v>0</v>
      </c>
      <c r="Z918" s="2300"/>
    </row>
    <row r="919" spans="3:26">
      <c r="C919" s="197">
        <f t="shared" si="224"/>
        <v>1</v>
      </c>
      <c r="D919" s="995"/>
      <c r="E919" s="197">
        <f t="shared" si="225"/>
        <v>0</v>
      </c>
      <c r="F919" s="995"/>
      <c r="G919" s="197">
        <f t="shared" si="226"/>
        <v>0</v>
      </c>
      <c r="H919" s="995"/>
      <c r="I919" s="197">
        <f t="shared" si="227"/>
        <v>0.02</v>
      </c>
      <c r="J919" s="995"/>
      <c r="K919" s="197">
        <f t="shared" si="228"/>
        <v>1</v>
      </c>
      <c r="L919" s="995"/>
      <c r="M919" s="197">
        <f t="shared" si="229"/>
        <v>1</v>
      </c>
      <c r="N919" s="995"/>
      <c r="O919" s="197">
        <f t="shared" si="230"/>
        <v>1</v>
      </c>
      <c r="P919" s="995"/>
      <c r="Q919" s="197">
        <f t="shared" si="231"/>
        <v>1</v>
      </c>
      <c r="R919" s="991">
        <f t="shared" si="232"/>
        <v>0</v>
      </c>
      <c r="S919" s="552">
        <f t="shared" si="233"/>
        <v>0</v>
      </c>
      <c r="T919" s="2010">
        <f t="shared" si="234"/>
        <v>0</v>
      </c>
      <c r="U919" s="2305">
        <f t="shared" si="235"/>
        <v>0</v>
      </c>
      <c r="V919" s="2305">
        <f t="shared" si="236"/>
        <v>0</v>
      </c>
      <c r="W919" s="2300"/>
      <c r="X919" s="2305">
        <f t="shared" si="237"/>
        <v>0</v>
      </c>
      <c r="Y919" s="2305">
        <f t="shared" si="238"/>
        <v>0</v>
      </c>
      <c r="Z919" s="2300"/>
    </row>
    <row r="920" spans="3:26">
      <c r="C920" s="197">
        <f t="shared" si="224"/>
        <v>1</v>
      </c>
      <c r="D920" s="995"/>
      <c r="E920" s="197">
        <f t="shared" si="225"/>
        <v>0</v>
      </c>
      <c r="F920" s="995"/>
      <c r="G920" s="197">
        <f t="shared" si="226"/>
        <v>0</v>
      </c>
      <c r="H920" s="995"/>
      <c r="I920" s="197">
        <f t="shared" si="227"/>
        <v>0.02</v>
      </c>
      <c r="J920" s="995"/>
      <c r="K920" s="197">
        <f t="shared" si="228"/>
        <v>1</v>
      </c>
      <c r="L920" s="995"/>
      <c r="M920" s="197">
        <f t="shared" si="229"/>
        <v>1</v>
      </c>
      <c r="N920" s="995"/>
      <c r="O920" s="197">
        <f t="shared" si="230"/>
        <v>1</v>
      </c>
      <c r="P920" s="995"/>
      <c r="Q920" s="197">
        <f t="shared" si="231"/>
        <v>1</v>
      </c>
      <c r="R920" s="991">
        <f t="shared" si="232"/>
        <v>0</v>
      </c>
      <c r="S920" s="552">
        <f t="shared" si="233"/>
        <v>0</v>
      </c>
      <c r="T920" s="2010">
        <f t="shared" si="234"/>
        <v>0</v>
      </c>
      <c r="U920" s="2305">
        <f t="shared" si="235"/>
        <v>0</v>
      </c>
      <c r="V920" s="2305">
        <f t="shared" si="236"/>
        <v>0</v>
      </c>
      <c r="W920" s="2300"/>
      <c r="X920" s="2305">
        <f t="shared" si="237"/>
        <v>0</v>
      </c>
      <c r="Y920" s="2305">
        <f t="shared" si="238"/>
        <v>0</v>
      </c>
      <c r="Z920" s="2300"/>
    </row>
    <row r="921" spans="3:26">
      <c r="C921" s="197">
        <f t="shared" si="224"/>
        <v>1</v>
      </c>
      <c r="D921" s="995"/>
      <c r="E921" s="197">
        <f t="shared" si="225"/>
        <v>0</v>
      </c>
      <c r="F921" s="995"/>
      <c r="G921" s="197">
        <f t="shared" si="226"/>
        <v>0</v>
      </c>
      <c r="H921" s="995"/>
      <c r="I921" s="197">
        <f t="shared" si="227"/>
        <v>0.02</v>
      </c>
      <c r="J921" s="995"/>
      <c r="K921" s="197">
        <f t="shared" si="228"/>
        <v>1</v>
      </c>
      <c r="L921" s="995"/>
      <c r="M921" s="197">
        <f t="shared" si="229"/>
        <v>1</v>
      </c>
      <c r="N921" s="995"/>
      <c r="O921" s="197">
        <f t="shared" si="230"/>
        <v>1</v>
      </c>
      <c r="P921" s="995"/>
      <c r="Q921" s="197">
        <f t="shared" si="231"/>
        <v>1</v>
      </c>
      <c r="R921" s="991">
        <f t="shared" si="232"/>
        <v>0</v>
      </c>
      <c r="S921" s="552">
        <f t="shared" si="233"/>
        <v>0</v>
      </c>
      <c r="T921" s="2010">
        <f t="shared" si="234"/>
        <v>0</v>
      </c>
      <c r="U921" s="2305">
        <f t="shared" si="235"/>
        <v>0</v>
      </c>
      <c r="V921" s="2305">
        <f t="shared" si="236"/>
        <v>0</v>
      </c>
      <c r="W921" s="2300"/>
      <c r="X921" s="2305">
        <f t="shared" si="237"/>
        <v>0</v>
      </c>
      <c r="Y921" s="2305">
        <f t="shared" si="238"/>
        <v>0</v>
      </c>
      <c r="Z921" s="2300"/>
    </row>
    <row r="922" spans="3:26">
      <c r="C922" s="197">
        <f t="shared" si="224"/>
        <v>1</v>
      </c>
      <c r="D922" s="995"/>
      <c r="E922" s="197">
        <f t="shared" si="225"/>
        <v>0</v>
      </c>
      <c r="F922" s="995"/>
      <c r="G922" s="197">
        <f t="shared" si="226"/>
        <v>0</v>
      </c>
      <c r="H922" s="995"/>
      <c r="I922" s="197">
        <f t="shared" si="227"/>
        <v>0.02</v>
      </c>
      <c r="J922" s="995"/>
      <c r="K922" s="197">
        <f t="shared" si="228"/>
        <v>1</v>
      </c>
      <c r="L922" s="995"/>
      <c r="M922" s="197">
        <f t="shared" si="229"/>
        <v>1</v>
      </c>
      <c r="N922" s="995"/>
      <c r="O922" s="197">
        <f t="shared" si="230"/>
        <v>1</v>
      </c>
      <c r="P922" s="995"/>
      <c r="Q922" s="197">
        <f t="shared" si="231"/>
        <v>1</v>
      </c>
      <c r="R922" s="991">
        <f t="shared" si="232"/>
        <v>0</v>
      </c>
      <c r="S922" s="552">
        <f t="shared" si="233"/>
        <v>0</v>
      </c>
      <c r="T922" s="2010">
        <f t="shared" si="234"/>
        <v>0</v>
      </c>
      <c r="U922" s="2305">
        <f t="shared" si="235"/>
        <v>0</v>
      </c>
      <c r="V922" s="2305">
        <f t="shared" si="236"/>
        <v>0</v>
      </c>
      <c r="W922" s="2300"/>
      <c r="X922" s="2305">
        <f t="shared" si="237"/>
        <v>0</v>
      </c>
      <c r="Y922" s="2305">
        <f t="shared" si="238"/>
        <v>0</v>
      </c>
      <c r="Z922" s="2300"/>
    </row>
    <row r="923" spans="3:26">
      <c r="C923" s="197">
        <f t="shared" si="224"/>
        <v>1</v>
      </c>
      <c r="D923" s="995"/>
      <c r="E923" s="197">
        <f t="shared" si="225"/>
        <v>0</v>
      </c>
      <c r="F923" s="995"/>
      <c r="G923" s="197">
        <f t="shared" si="226"/>
        <v>0</v>
      </c>
      <c r="H923" s="995"/>
      <c r="I923" s="197">
        <f t="shared" si="227"/>
        <v>0.02</v>
      </c>
      <c r="J923" s="995"/>
      <c r="K923" s="197">
        <f t="shared" si="228"/>
        <v>1</v>
      </c>
      <c r="L923" s="995"/>
      <c r="M923" s="197">
        <f t="shared" si="229"/>
        <v>1</v>
      </c>
      <c r="N923" s="995"/>
      <c r="O923" s="197">
        <f t="shared" si="230"/>
        <v>1</v>
      </c>
      <c r="P923" s="995"/>
      <c r="Q923" s="197">
        <f t="shared" si="231"/>
        <v>1</v>
      </c>
      <c r="R923" s="991">
        <f t="shared" si="232"/>
        <v>0</v>
      </c>
      <c r="S923" s="552">
        <f t="shared" si="233"/>
        <v>0</v>
      </c>
      <c r="T923" s="2010">
        <f t="shared" si="234"/>
        <v>0</v>
      </c>
      <c r="U923" s="2305">
        <f t="shared" si="235"/>
        <v>0</v>
      </c>
      <c r="V923" s="2305">
        <f t="shared" si="236"/>
        <v>0</v>
      </c>
      <c r="W923" s="2300"/>
      <c r="X923" s="2305">
        <f t="shared" si="237"/>
        <v>0</v>
      </c>
      <c r="Y923" s="2305">
        <f t="shared" si="238"/>
        <v>0</v>
      </c>
      <c r="Z923" s="2300"/>
    </row>
    <row r="924" spans="3:26">
      <c r="C924" s="197">
        <f t="shared" si="224"/>
        <v>1</v>
      </c>
      <c r="D924" s="995"/>
      <c r="E924" s="197">
        <f t="shared" si="225"/>
        <v>0</v>
      </c>
      <c r="F924" s="995"/>
      <c r="G924" s="197">
        <f t="shared" si="226"/>
        <v>0</v>
      </c>
      <c r="H924" s="995"/>
      <c r="I924" s="197">
        <f t="shared" si="227"/>
        <v>0.02</v>
      </c>
      <c r="J924" s="995"/>
      <c r="K924" s="197">
        <f t="shared" si="228"/>
        <v>1</v>
      </c>
      <c r="L924" s="995"/>
      <c r="M924" s="197">
        <f t="shared" si="229"/>
        <v>1</v>
      </c>
      <c r="N924" s="995"/>
      <c r="O924" s="197">
        <f t="shared" si="230"/>
        <v>1</v>
      </c>
      <c r="P924" s="995"/>
      <c r="Q924" s="197">
        <f t="shared" si="231"/>
        <v>1</v>
      </c>
      <c r="R924" s="991">
        <f t="shared" si="232"/>
        <v>0</v>
      </c>
      <c r="S924" s="552">
        <f t="shared" si="233"/>
        <v>0</v>
      </c>
      <c r="T924" s="2010">
        <f t="shared" si="234"/>
        <v>0</v>
      </c>
      <c r="U924" s="2305">
        <f t="shared" si="235"/>
        <v>0</v>
      </c>
      <c r="V924" s="2305">
        <f t="shared" si="236"/>
        <v>0</v>
      </c>
      <c r="W924" s="2300"/>
      <c r="X924" s="2305">
        <f t="shared" si="237"/>
        <v>0</v>
      </c>
      <c r="Y924" s="2305">
        <f t="shared" si="238"/>
        <v>0</v>
      </c>
      <c r="Z924" s="2300"/>
    </row>
    <row r="925" spans="3:26">
      <c r="C925" s="197">
        <f t="shared" si="224"/>
        <v>1</v>
      </c>
      <c r="D925" s="995"/>
      <c r="E925" s="197">
        <f t="shared" si="225"/>
        <v>0</v>
      </c>
      <c r="F925" s="995"/>
      <c r="G925" s="197">
        <f t="shared" si="226"/>
        <v>0</v>
      </c>
      <c r="H925" s="995"/>
      <c r="I925" s="197">
        <f t="shared" si="227"/>
        <v>0.02</v>
      </c>
      <c r="J925" s="995"/>
      <c r="K925" s="197">
        <f t="shared" si="228"/>
        <v>1</v>
      </c>
      <c r="L925" s="995"/>
      <c r="M925" s="197">
        <f t="shared" si="229"/>
        <v>1</v>
      </c>
      <c r="N925" s="995"/>
      <c r="O925" s="197">
        <f t="shared" si="230"/>
        <v>1</v>
      </c>
      <c r="P925" s="995"/>
      <c r="Q925" s="197">
        <f t="shared" si="231"/>
        <v>1</v>
      </c>
      <c r="R925" s="991">
        <f t="shared" si="232"/>
        <v>0</v>
      </c>
      <c r="S925" s="552">
        <f t="shared" si="233"/>
        <v>0</v>
      </c>
      <c r="T925" s="2010">
        <f t="shared" si="234"/>
        <v>0</v>
      </c>
      <c r="U925" s="2305">
        <f t="shared" si="235"/>
        <v>0</v>
      </c>
      <c r="V925" s="2305">
        <f t="shared" si="236"/>
        <v>0</v>
      </c>
      <c r="W925" s="2300"/>
      <c r="X925" s="2305">
        <f t="shared" si="237"/>
        <v>0</v>
      </c>
      <c r="Y925" s="2305">
        <f t="shared" si="238"/>
        <v>0</v>
      </c>
      <c r="Z925" s="2300"/>
    </row>
    <row r="926" spans="3:26">
      <c r="C926" s="197">
        <f t="shared" si="224"/>
        <v>1</v>
      </c>
      <c r="D926" s="995"/>
      <c r="E926" s="197">
        <f t="shared" si="225"/>
        <v>0</v>
      </c>
      <c r="F926" s="995"/>
      <c r="G926" s="197">
        <f t="shared" si="226"/>
        <v>0</v>
      </c>
      <c r="H926" s="995"/>
      <c r="I926" s="197">
        <f t="shared" si="227"/>
        <v>0.02</v>
      </c>
      <c r="J926" s="995"/>
      <c r="K926" s="197">
        <f t="shared" si="228"/>
        <v>1</v>
      </c>
      <c r="L926" s="995"/>
      <c r="M926" s="197">
        <f t="shared" si="229"/>
        <v>1</v>
      </c>
      <c r="N926" s="995"/>
      <c r="O926" s="197">
        <f t="shared" si="230"/>
        <v>1</v>
      </c>
      <c r="P926" s="995"/>
      <c r="Q926" s="197">
        <f t="shared" si="231"/>
        <v>1</v>
      </c>
      <c r="R926" s="991">
        <f t="shared" si="232"/>
        <v>0</v>
      </c>
      <c r="S926" s="552">
        <f t="shared" si="233"/>
        <v>0</v>
      </c>
      <c r="T926" s="2010">
        <f t="shared" si="234"/>
        <v>0</v>
      </c>
      <c r="U926" s="2305">
        <f t="shared" si="235"/>
        <v>0</v>
      </c>
      <c r="V926" s="2305">
        <f t="shared" si="236"/>
        <v>0</v>
      </c>
      <c r="W926" s="2300"/>
      <c r="X926" s="2305">
        <f t="shared" si="237"/>
        <v>0</v>
      </c>
      <c r="Y926" s="2305">
        <f t="shared" si="238"/>
        <v>0</v>
      </c>
      <c r="Z926" s="2300"/>
    </row>
    <row r="927" spans="3:26">
      <c r="C927" s="197">
        <f t="shared" si="224"/>
        <v>1</v>
      </c>
      <c r="D927" s="995"/>
      <c r="E927" s="197">
        <f t="shared" si="225"/>
        <v>0</v>
      </c>
      <c r="F927" s="995"/>
      <c r="G927" s="197">
        <f t="shared" si="226"/>
        <v>0</v>
      </c>
      <c r="H927" s="995"/>
      <c r="I927" s="197">
        <f t="shared" si="227"/>
        <v>0.02</v>
      </c>
      <c r="J927" s="995"/>
      <c r="K927" s="197">
        <f t="shared" si="228"/>
        <v>1</v>
      </c>
      <c r="L927" s="995"/>
      <c r="M927" s="197">
        <f t="shared" si="229"/>
        <v>1</v>
      </c>
      <c r="N927" s="995"/>
      <c r="O927" s="197">
        <f t="shared" si="230"/>
        <v>1</v>
      </c>
      <c r="P927" s="995"/>
      <c r="Q927" s="197">
        <f t="shared" si="231"/>
        <v>1</v>
      </c>
      <c r="R927" s="991">
        <f t="shared" si="232"/>
        <v>0</v>
      </c>
      <c r="S927" s="552">
        <f t="shared" si="233"/>
        <v>0</v>
      </c>
      <c r="T927" s="2010">
        <f t="shared" si="234"/>
        <v>0</v>
      </c>
      <c r="U927" s="2305">
        <f t="shared" si="235"/>
        <v>0</v>
      </c>
      <c r="V927" s="2305">
        <f t="shared" si="236"/>
        <v>0</v>
      </c>
      <c r="W927" s="2300"/>
      <c r="X927" s="2305">
        <f t="shared" si="237"/>
        <v>0</v>
      </c>
      <c r="Y927" s="2305">
        <f t="shared" si="238"/>
        <v>0</v>
      </c>
      <c r="Z927" s="2300"/>
    </row>
    <row r="928" spans="3:26">
      <c r="C928" s="197">
        <f t="shared" si="224"/>
        <v>1</v>
      </c>
      <c r="D928" s="995"/>
      <c r="E928" s="197">
        <f t="shared" si="225"/>
        <v>0</v>
      </c>
      <c r="F928" s="995"/>
      <c r="G928" s="197">
        <f t="shared" si="226"/>
        <v>0</v>
      </c>
      <c r="H928" s="995"/>
      <c r="I928" s="197">
        <f t="shared" si="227"/>
        <v>0.02</v>
      </c>
      <c r="J928" s="995"/>
      <c r="K928" s="197">
        <f t="shared" si="228"/>
        <v>1</v>
      </c>
      <c r="L928" s="995"/>
      <c r="M928" s="197">
        <f t="shared" si="229"/>
        <v>1</v>
      </c>
      <c r="N928" s="995"/>
      <c r="O928" s="197">
        <f t="shared" si="230"/>
        <v>1</v>
      </c>
      <c r="P928" s="995"/>
      <c r="Q928" s="197">
        <f t="shared" si="231"/>
        <v>1</v>
      </c>
      <c r="R928" s="991">
        <f t="shared" si="232"/>
        <v>0</v>
      </c>
      <c r="S928" s="552">
        <f t="shared" si="233"/>
        <v>0</v>
      </c>
      <c r="T928" s="2010">
        <f t="shared" si="234"/>
        <v>0</v>
      </c>
      <c r="U928" s="2305">
        <f t="shared" si="235"/>
        <v>0</v>
      </c>
      <c r="V928" s="2305">
        <f t="shared" si="236"/>
        <v>0</v>
      </c>
      <c r="W928" s="2300"/>
      <c r="X928" s="2305">
        <f t="shared" si="237"/>
        <v>0</v>
      </c>
      <c r="Y928" s="2305">
        <f t="shared" si="238"/>
        <v>0</v>
      </c>
      <c r="Z928" s="2300"/>
    </row>
    <row r="929" spans="3:26">
      <c r="C929" s="197">
        <f t="shared" si="224"/>
        <v>1</v>
      </c>
      <c r="D929" s="995"/>
      <c r="E929" s="197">
        <f t="shared" si="225"/>
        <v>0</v>
      </c>
      <c r="F929" s="995"/>
      <c r="G929" s="197">
        <f t="shared" si="226"/>
        <v>0</v>
      </c>
      <c r="H929" s="995"/>
      <c r="I929" s="197">
        <f t="shared" si="227"/>
        <v>0.02</v>
      </c>
      <c r="J929" s="995"/>
      <c r="K929" s="197">
        <f t="shared" si="228"/>
        <v>1</v>
      </c>
      <c r="L929" s="995"/>
      <c r="M929" s="197">
        <f t="shared" si="229"/>
        <v>1</v>
      </c>
      <c r="N929" s="995"/>
      <c r="O929" s="197">
        <f t="shared" si="230"/>
        <v>1</v>
      </c>
      <c r="P929" s="995"/>
      <c r="Q929" s="197">
        <f t="shared" si="231"/>
        <v>1</v>
      </c>
      <c r="R929" s="991">
        <f t="shared" si="232"/>
        <v>0</v>
      </c>
      <c r="S929" s="552">
        <f t="shared" si="233"/>
        <v>0</v>
      </c>
      <c r="T929" s="2010">
        <f t="shared" si="234"/>
        <v>0</v>
      </c>
      <c r="U929" s="2305">
        <f t="shared" si="235"/>
        <v>0</v>
      </c>
      <c r="V929" s="2305">
        <f t="shared" si="236"/>
        <v>0</v>
      </c>
      <c r="W929" s="2300"/>
      <c r="X929" s="2305">
        <f t="shared" si="237"/>
        <v>0</v>
      </c>
      <c r="Y929" s="2305">
        <f t="shared" si="238"/>
        <v>0</v>
      </c>
      <c r="Z929" s="2300"/>
    </row>
    <row r="930" spans="3:26">
      <c r="C930" s="197">
        <f t="shared" si="224"/>
        <v>1</v>
      </c>
      <c r="D930" s="995"/>
      <c r="E930" s="197">
        <f t="shared" si="225"/>
        <v>0</v>
      </c>
      <c r="F930" s="995"/>
      <c r="G930" s="197">
        <f t="shared" si="226"/>
        <v>0</v>
      </c>
      <c r="H930" s="995"/>
      <c r="I930" s="197">
        <f t="shared" si="227"/>
        <v>0.02</v>
      </c>
      <c r="J930" s="995"/>
      <c r="K930" s="197">
        <f t="shared" si="228"/>
        <v>1</v>
      </c>
      <c r="L930" s="995"/>
      <c r="M930" s="197">
        <f t="shared" si="229"/>
        <v>1</v>
      </c>
      <c r="N930" s="995"/>
      <c r="O930" s="197">
        <f t="shared" si="230"/>
        <v>1</v>
      </c>
      <c r="P930" s="995"/>
      <c r="Q930" s="197">
        <f t="shared" si="231"/>
        <v>1</v>
      </c>
      <c r="R930" s="991">
        <f t="shared" si="232"/>
        <v>0</v>
      </c>
      <c r="S930" s="552">
        <f t="shared" si="233"/>
        <v>0</v>
      </c>
      <c r="T930" s="2010">
        <f t="shared" si="234"/>
        <v>0</v>
      </c>
      <c r="U930" s="2305">
        <f t="shared" si="235"/>
        <v>0</v>
      </c>
      <c r="V930" s="2305">
        <f t="shared" si="236"/>
        <v>0</v>
      </c>
      <c r="W930" s="2300"/>
      <c r="X930" s="2305">
        <f t="shared" si="237"/>
        <v>0</v>
      </c>
      <c r="Y930" s="2305">
        <f t="shared" si="238"/>
        <v>0</v>
      </c>
      <c r="Z930" s="2300"/>
    </row>
    <row r="931" spans="3:26">
      <c r="C931" s="197">
        <f t="shared" si="224"/>
        <v>1</v>
      </c>
      <c r="D931" s="995"/>
      <c r="E931" s="197">
        <f t="shared" si="225"/>
        <v>0</v>
      </c>
      <c r="F931" s="995"/>
      <c r="G931" s="197">
        <f t="shared" si="226"/>
        <v>0</v>
      </c>
      <c r="H931" s="995"/>
      <c r="I931" s="197">
        <f t="shared" si="227"/>
        <v>0.02</v>
      </c>
      <c r="J931" s="995"/>
      <c r="K931" s="197">
        <f t="shared" si="228"/>
        <v>1</v>
      </c>
      <c r="L931" s="995"/>
      <c r="M931" s="197">
        <f t="shared" si="229"/>
        <v>1</v>
      </c>
      <c r="N931" s="995"/>
      <c r="O931" s="197">
        <f t="shared" si="230"/>
        <v>1</v>
      </c>
      <c r="P931" s="995"/>
      <c r="Q931" s="197">
        <f t="shared" si="231"/>
        <v>1</v>
      </c>
      <c r="R931" s="991">
        <f t="shared" si="232"/>
        <v>0</v>
      </c>
      <c r="S931" s="552">
        <f t="shared" si="233"/>
        <v>0</v>
      </c>
      <c r="T931" s="2010">
        <f t="shared" si="234"/>
        <v>0</v>
      </c>
      <c r="U931" s="2305">
        <f t="shared" si="235"/>
        <v>0</v>
      </c>
      <c r="V931" s="2305">
        <f t="shared" si="236"/>
        <v>0</v>
      </c>
      <c r="W931" s="2300"/>
      <c r="X931" s="2305">
        <f t="shared" si="237"/>
        <v>0</v>
      </c>
      <c r="Y931" s="2305">
        <f t="shared" si="238"/>
        <v>0</v>
      </c>
      <c r="Z931" s="2300"/>
    </row>
    <row r="932" spans="3:26">
      <c r="C932" s="197">
        <f t="shared" si="224"/>
        <v>1</v>
      </c>
      <c r="D932" s="995"/>
      <c r="E932" s="197">
        <f t="shared" si="225"/>
        <v>0</v>
      </c>
      <c r="F932" s="995"/>
      <c r="G932" s="197">
        <f t="shared" si="226"/>
        <v>0</v>
      </c>
      <c r="H932" s="995"/>
      <c r="I932" s="197">
        <f t="shared" si="227"/>
        <v>0.02</v>
      </c>
      <c r="J932" s="995"/>
      <c r="K932" s="197">
        <f t="shared" si="228"/>
        <v>1</v>
      </c>
      <c r="L932" s="995"/>
      <c r="M932" s="197">
        <f t="shared" si="229"/>
        <v>1</v>
      </c>
      <c r="N932" s="995"/>
      <c r="O932" s="197">
        <f t="shared" si="230"/>
        <v>1</v>
      </c>
      <c r="P932" s="995"/>
      <c r="Q932" s="197">
        <f t="shared" si="231"/>
        <v>1</v>
      </c>
      <c r="R932" s="991">
        <f t="shared" si="232"/>
        <v>0</v>
      </c>
      <c r="S932" s="552">
        <f t="shared" si="233"/>
        <v>0</v>
      </c>
      <c r="T932" s="2010">
        <f t="shared" si="234"/>
        <v>0</v>
      </c>
      <c r="U932" s="2305">
        <f t="shared" si="235"/>
        <v>0</v>
      </c>
      <c r="V932" s="2305">
        <f t="shared" si="236"/>
        <v>0</v>
      </c>
      <c r="W932" s="2300"/>
      <c r="X932" s="2305">
        <f t="shared" si="237"/>
        <v>0</v>
      </c>
      <c r="Y932" s="2305">
        <f t="shared" si="238"/>
        <v>0</v>
      </c>
      <c r="Z932" s="2300"/>
    </row>
    <row r="933" spans="3:26">
      <c r="C933" s="197">
        <f t="shared" si="224"/>
        <v>1</v>
      </c>
      <c r="D933" s="995"/>
      <c r="E933" s="197">
        <f t="shared" si="225"/>
        <v>0</v>
      </c>
      <c r="F933" s="995"/>
      <c r="G933" s="197">
        <f t="shared" si="226"/>
        <v>0</v>
      </c>
      <c r="H933" s="995"/>
      <c r="I933" s="197">
        <f t="shared" si="227"/>
        <v>0.02</v>
      </c>
      <c r="J933" s="995"/>
      <c r="K933" s="197">
        <f t="shared" si="228"/>
        <v>1</v>
      </c>
      <c r="L933" s="995"/>
      <c r="M933" s="197">
        <f t="shared" si="229"/>
        <v>1</v>
      </c>
      <c r="N933" s="995"/>
      <c r="O933" s="197">
        <f t="shared" si="230"/>
        <v>1</v>
      </c>
      <c r="P933" s="995"/>
      <c r="Q933" s="197">
        <f t="shared" si="231"/>
        <v>1</v>
      </c>
      <c r="R933" s="991">
        <f t="shared" si="232"/>
        <v>0</v>
      </c>
      <c r="S933" s="552">
        <f t="shared" si="233"/>
        <v>0</v>
      </c>
      <c r="T933" s="2010">
        <f t="shared" si="234"/>
        <v>0</v>
      </c>
      <c r="U933" s="2305">
        <f t="shared" si="235"/>
        <v>0</v>
      </c>
      <c r="V933" s="2305">
        <f t="shared" si="236"/>
        <v>0</v>
      </c>
      <c r="W933" s="2300"/>
      <c r="X933" s="2305">
        <f t="shared" si="237"/>
        <v>0</v>
      </c>
      <c r="Y933" s="2305">
        <f t="shared" si="238"/>
        <v>0</v>
      </c>
      <c r="Z933" s="2300"/>
    </row>
    <row r="934" spans="3:26">
      <c r="C934" s="197">
        <f t="shared" si="224"/>
        <v>1</v>
      </c>
      <c r="D934" s="995"/>
      <c r="E934" s="197">
        <f t="shared" si="225"/>
        <v>0</v>
      </c>
      <c r="F934" s="995"/>
      <c r="G934" s="197">
        <f t="shared" si="226"/>
        <v>0</v>
      </c>
      <c r="H934" s="995"/>
      <c r="I934" s="197">
        <f t="shared" si="227"/>
        <v>0.02</v>
      </c>
      <c r="J934" s="995"/>
      <c r="K934" s="197">
        <f t="shared" si="228"/>
        <v>1</v>
      </c>
      <c r="L934" s="995"/>
      <c r="M934" s="197">
        <f t="shared" si="229"/>
        <v>1</v>
      </c>
      <c r="N934" s="995"/>
      <c r="O934" s="197">
        <f t="shared" si="230"/>
        <v>1</v>
      </c>
      <c r="P934" s="995"/>
      <c r="Q934" s="197">
        <f t="shared" si="231"/>
        <v>1</v>
      </c>
      <c r="R934" s="991">
        <f t="shared" si="232"/>
        <v>0</v>
      </c>
      <c r="S934" s="552">
        <f t="shared" si="233"/>
        <v>0</v>
      </c>
      <c r="T934" s="2010">
        <f t="shared" si="234"/>
        <v>0</v>
      </c>
      <c r="U934" s="2305">
        <f t="shared" si="235"/>
        <v>0</v>
      </c>
      <c r="V934" s="2305">
        <f t="shared" si="236"/>
        <v>0</v>
      </c>
      <c r="W934" s="2300"/>
      <c r="X934" s="2305">
        <f t="shared" si="237"/>
        <v>0</v>
      </c>
      <c r="Y934" s="2305">
        <f t="shared" si="238"/>
        <v>0</v>
      </c>
      <c r="Z934" s="2300"/>
    </row>
    <row r="935" spans="3:26">
      <c r="C935" s="197">
        <f t="shared" si="224"/>
        <v>1</v>
      </c>
      <c r="D935" s="995"/>
      <c r="E935" s="197">
        <f t="shared" si="225"/>
        <v>0</v>
      </c>
      <c r="F935" s="995"/>
      <c r="G935" s="197">
        <f t="shared" si="226"/>
        <v>0</v>
      </c>
      <c r="H935" s="995"/>
      <c r="I935" s="197">
        <f t="shared" si="227"/>
        <v>0.02</v>
      </c>
      <c r="J935" s="995"/>
      <c r="K935" s="197">
        <f t="shared" si="228"/>
        <v>1</v>
      </c>
      <c r="L935" s="995"/>
      <c r="M935" s="197">
        <f t="shared" si="229"/>
        <v>1</v>
      </c>
      <c r="N935" s="995"/>
      <c r="O935" s="197">
        <f t="shared" si="230"/>
        <v>1</v>
      </c>
      <c r="P935" s="995"/>
      <c r="Q935" s="197">
        <f t="shared" si="231"/>
        <v>1</v>
      </c>
      <c r="R935" s="991">
        <f t="shared" si="232"/>
        <v>0</v>
      </c>
      <c r="S935" s="552">
        <f t="shared" si="233"/>
        <v>0</v>
      </c>
      <c r="T935" s="2010">
        <f t="shared" si="234"/>
        <v>0</v>
      </c>
      <c r="U935" s="2305">
        <f t="shared" si="235"/>
        <v>0</v>
      </c>
      <c r="V935" s="2305">
        <f t="shared" si="236"/>
        <v>0</v>
      </c>
      <c r="W935" s="2300"/>
      <c r="X935" s="2305">
        <f t="shared" si="237"/>
        <v>0</v>
      </c>
      <c r="Y935" s="2305">
        <f t="shared" si="238"/>
        <v>0</v>
      </c>
      <c r="Z935" s="2300"/>
    </row>
    <row r="936" spans="3:26">
      <c r="C936" s="197">
        <f t="shared" si="224"/>
        <v>1</v>
      </c>
      <c r="D936" s="995"/>
      <c r="E936" s="197">
        <f t="shared" si="225"/>
        <v>0</v>
      </c>
      <c r="F936" s="995"/>
      <c r="G936" s="197">
        <f t="shared" si="226"/>
        <v>0</v>
      </c>
      <c r="H936" s="995"/>
      <c r="I936" s="197">
        <f t="shared" si="227"/>
        <v>0.02</v>
      </c>
      <c r="J936" s="995"/>
      <c r="K936" s="197">
        <f t="shared" si="228"/>
        <v>1</v>
      </c>
      <c r="L936" s="995"/>
      <c r="M936" s="197">
        <f t="shared" si="229"/>
        <v>1</v>
      </c>
      <c r="N936" s="995"/>
      <c r="O936" s="197">
        <f t="shared" si="230"/>
        <v>1</v>
      </c>
      <c r="P936" s="995"/>
      <c r="Q936" s="197">
        <f t="shared" si="231"/>
        <v>1</v>
      </c>
      <c r="R936" s="991">
        <f t="shared" si="232"/>
        <v>0</v>
      </c>
      <c r="S936" s="552">
        <f t="shared" si="233"/>
        <v>0</v>
      </c>
      <c r="T936" s="2010">
        <f t="shared" si="234"/>
        <v>0</v>
      </c>
      <c r="U936" s="2305">
        <f t="shared" si="235"/>
        <v>0</v>
      </c>
      <c r="V936" s="2305">
        <f t="shared" si="236"/>
        <v>0</v>
      </c>
      <c r="W936" s="2300"/>
      <c r="X936" s="2305">
        <f t="shared" si="237"/>
        <v>0</v>
      </c>
      <c r="Y936" s="2305">
        <f t="shared" si="238"/>
        <v>0</v>
      </c>
      <c r="Z936" s="2300"/>
    </row>
    <row r="937" spans="3:26">
      <c r="C937" s="197">
        <f t="shared" si="224"/>
        <v>1</v>
      </c>
      <c r="D937" s="995"/>
      <c r="E937" s="197">
        <f t="shared" si="225"/>
        <v>0</v>
      </c>
      <c r="F937" s="995"/>
      <c r="G937" s="197">
        <f t="shared" si="226"/>
        <v>0</v>
      </c>
      <c r="H937" s="995"/>
      <c r="I937" s="197">
        <f t="shared" si="227"/>
        <v>0.02</v>
      </c>
      <c r="J937" s="995"/>
      <c r="K937" s="197">
        <f t="shared" si="228"/>
        <v>1</v>
      </c>
      <c r="L937" s="995"/>
      <c r="M937" s="197">
        <f t="shared" si="229"/>
        <v>1</v>
      </c>
      <c r="N937" s="995"/>
      <c r="O937" s="197">
        <f t="shared" si="230"/>
        <v>1</v>
      </c>
      <c r="P937" s="995"/>
      <c r="Q937" s="197">
        <f t="shared" si="231"/>
        <v>1</v>
      </c>
      <c r="R937" s="991">
        <f t="shared" si="232"/>
        <v>0</v>
      </c>
      <c r="S937" s="552">
        <f t="shared" si="233"/>
        <v>0</v>
      </c>
      <c r="T937" s="2010">
        <f t="shared" si="234"/>
        <v>0</v>
      </c>
      <c r="U937" s="2305">
        <f t="shared" si="235"/>
        <v>0</v>
      </c>
      <c r="V937" s="2305">
        <f t="shared" si="236"/>
        <v>0</v>
      </c>
      <c r="W937" s="2300"/>
      <c r="X937" s="2305">
        <f t="shared" si="237"/>
        <v>0</v>
      </c>
      <c r="Y937" s="2305">
        <f t="shared" si="238"/>
        <v>0</v>
      </c>
      <c r="Z937" s="2300"/>
    </row>
    <row r="938" spans="3:26">
      <c r="C938" s="197">
        <f t="shared" si="224"/>
        <v>1</v>
      </c>
      <c r="D938" s="995"/>
      <c r="E938" s="197">
        <f t="shared" si="225"/>
        <v>0</v>
      </c>
      <c r="F938" s="995"/>
      <c r="G938" s="197">
        <f t="shared" si="226"/>
        <v>0</v>
      </c>
      <c r="H938" s="995"/>
      <c r="I938" s="197">
        <f t="shared" si="227"/>
        <v>0.02</v>
      </c>
      <c r="J938" s="995"/>
      <c r="K938" s="197">
        <f t="shared" si="228"/>
        <v>1</v>
      </c>
      <c r="L938" s="995"/>
      <c r="M938" s="197">
        <f t="shared" si="229"/>
        <v>1</v>
      </c>
      <c r="N938" s="995"/>
      <c r="O938" s="197">
        <f t="shared" si="230"/>
        <v>1</v>
      </c>
      <c r="P938" s="995"/>
      <c r="Q938" s="197">
        <f t="shared" si="231"/>
        <v>1</v>
      </c>
      <c r="R938" s="991">
        <f t="shared" si="232"/>
        <v>0</v>
      </c>
      <c r="S938" s="552">
        <f t="shared" si="233"/>
        <v>0</v>
      </c>
      <c r="T938" s="2010">
        <f t="shared" si="234"/>
        <v>0</v>
      </c>
      <c r="U938" s="2305">
        <f t="shared" si="235"/>
        <v>0</v>
      </c>
      <c r="V938" s="2305">
        <f t="shared" si="236"/>
        <v>0</v>
      </c>
      <c r="W938" s="2300"/>
      <c r="X938" s="2305">
        <f t="shared" si="237"/>
        <v>0</v>
      </c>
      <c r="Y938" s="2305">
        <f t="shared" si="238"/>
        <v>0</v>
      </c>
      <c r="Z938" s="2300"/>
    </row>
    <row r="939" spans="3:26">
      <c r="C939" s="197">
        <f t="shared" si="224"/>
        <v>1</v>
      </c>
      <c r="D939" s="995"/>
      <c r="E939" s="197">
        <f t="shared" si="225"/>
        <v>0</v>
      </c>
      <c r="F939" s="995"/>
      <c r="G939" s="197">
        <f t="shared" si="226"/>
        <v>0</v>
      </c>
      <c r="H939" s="995"/>
      <c r="I939" s="197">
        <f t="shared" si="227"/>
        <v>0.02</v>
      </c>
      <c r="J939" s="995"/>
      <c r="K939" s="197">
        <f t="shared" si="228"/>
        <v>1</v>
      </c>
      <c r="L939" s="995"/>
      <c r="M939" s="197">
        <f t="shared" si="229"/>
        <v>1</v>
      </c>
      <c r="N939" s="995"/>
      <c r="O939" s="197">
        <f t="shared" si="230"/>
        <v>1</v>
      </c>
      <c r="P939" s="995"/>
      <c r="Q939" s="197">
        <f t="shared" si="231"/>
        <v>1</v>
      </c>
      <c r="R939" s="991">
        <f t="shared" si="232"/>
        <v>0</v>
      </c>
      <c r="S939" s="552">
        <f t="shared" si="233"/>
        <v>0</v>
      </c>
      <c r="T939" s="2010">
        <f t="shared" si="234"/>
        <v>0</v>
      </c>
      <c r="U939" s="2305">
        <f t="shared" si="235"/>
        <v>0</v>
      </c>
      <c r="V939" s="2305">
        <f t="shared" si="236"/>
        <v>0</v>
      </c>
      <c r="W939" s="2300"/>
      <c r="X939" s="2305">
        <f t="shared" si="237"/>
        <v>0</v>
      </c>
      <c r="Y939" s="2305">
        <f t="shared" si="238"/>
        <v>0</v>
      </c>
      <c r="Z939" s="2300"/>
    </row>
    <row r="940" spans="3:26">
      <c r="C940" s="197">
        <f t="shared" si="224"/>
        <v>1</v>
      </c>
      <c r="D940" s="995"/>
      <c r="E940" s="197">
        <f t="shared" si="225"/>
        <v>0</v>
      </c>
      <c r="F940" s="995"/>
      <c r="G940" s="197">
        <f t="shared" si="226"/>
        <v>0</v>
      </c>
      <c r="H940" s="995"/>
      <c r="I940" s="197">
        <f t="shared" si="227"/>
        <v>0.02</v>
      </c>
      <c r="J940" s="995"/>
      <c r="K940" s="197">
        <f t="shared" si="228"/>
        <v>1</v>
      </c>
      <c r="L940" s="995"/>
      <c r="M940" s="197">
        <f t="shared" si="229"/>
        <v>1</v>
      </c>
      <c r="N940" s="995"/>
      <c r="O940" s="197">
        <f t="shared" si="230"/>
        <v>1</v>
      </c>
      <c r="P940" s="995"/>
      <c r="Q940" s="197">
        <f t="shared" si="231"/>
        <v>1</v>
      </c>
      <c r="R940" s="991">
        <f t="shared" si="232"/>
        <v>0</v>
      </c>
      <c r="S940" s="552">
        <f t="shared" si="233"/>
        <v>0</v>
      </c>
      <c r="T940" s="2010">
        <f t="shared" si="234"/>
        <v>0</v>
      </c>
      <c r="U940" s="2305">
        <f t="shared" si="235"/>
        <v>0</v>
      </c>
      <c r="V940" s="2305">
        <f t="shared" si="236"/>
        <v>0</v>
      </c>
      <c r="W940" s="2300"/>
      <c r="X940" s="2305">
        <f t="shared" si="237"/>
        <v>0</v>
      </c>
      <c r="Y940" s="2305">
        <f t="shared" si="238"/>
        <v>0</v>
      </c>
      <c r="Z940" s="2300"/>
    </row>
    <row r="941" spans="3:26">
      <c r="C941" s="197">
        <f t="shared" si="224"/>
        <v>1</v>
      </c>
      <c r="D941" s="995"/>
      <c r="E941" s="197">
        <f t="shared" si="225"/>
        <v>0</v>
      </c>
      <c r="F941" s="995"/>
      <c r="G941" s="197">
        <f t="shared" si="226"/>
        <v>0</v>
      </c>
      <c r="H941" s="995"/>
      <c r="I941" s="197">
        <f t="shared" si="227"/>
        <v>0.02</v>
      </c>
      <c r="J941" s="995"/>
      <c r="K941" s="197">
        <f t="shared" si="228"/>
        <v>1</v>
      </c>
      <c r="L941" s="995"/>
      <c r="M941" s="197">
        <f t="shared" si="229"/>
        <v>1</v>
      </c>
      <c r="N941" s="995"/>
      <c r="O941" s="197">
        <f t="shared" si="230"/>
        <v>1</v>
      </c>
      <c r="P941" s="995"/>
      <c r="Q941" s="197">
        <f t="shared" si="231"/>
        <v>1</v>
      </c>
      <c r="R941" s="991">
        <f t="shared" si="232"/>
        <v>0</v>
      </c>
      <c r="S941" s="552">
        <f t="shared" si="233"/>
        <v>0</v>
      </c>
      <c r="T941" s="2010">
        <f t="shared" si="234"/>
        <v>0</v>
      </c>
      <c r="U941" s="2305">
        <f t="shared" si="235"/>
        <v>0</v>
      </c>
      <c r="V941" s="2305">
        <f t="shared" si="236"/>
        <v>0</v>
      </c>
      <c r="W941" s="2300"/>
      <c r="X941" s="2305">
        <f t="shared" si="237"/>
        <v>0</v>
      </c>
      <c r="Y941" s="2305">
        <f t="shared" si="238"/>
        <v>0</v>
      </c>
      <c r="Z941" s="2300"/>
    </row>
    <row r="942" spans="3:26">
      <c r="C942" s="197">
        <f t="shared" si="224"/>
        <v>1</v>
      </c>
      <c r="D942" s="995"/>
      <c r="E942" s="197">
        <f t="shared" si="225"/>
        <v>0</v>
      </c>
      <c r="F942" s="995"/>
      <c r="G942" s="197">
        <f t="shared" si="226"/>
        <v>0</v>
      </c>
      <c r="H942" s="995"/>
      <c r="I942" s="197">
        <f t="shared" si="227"/>
        <v>0.02</v>
      </c>
      <c r="J942" s="995"/>
      <c r="K942" s="197">
        <f t="shared" si="228"/>
        <v>1</v>
      </c>
      <c r="L942" s="995"/>
      <c r="M942" s="197">
        <f t="shared" si="229"/>
        <v>1</v>
      </c>
      <c r="N942" s="995"/>
      <c r="O942" s="197">
        <f t="shared" si="230"/>
        <v>1</v>
      </c>
      <c r="P942" s="995"/>
      <c r="Q942" s="197">
        <f t="shared" si="231"/>
        <v>1</v>
      </c>
      <c r="R942" s="991">
        <f t="shared" si="232"/>
        <v>0</v>
      </c>
      <c r="S942" s="552">
        <f t="shared" si="233"/>
        <v>0</v>
      </c>
      <c r="T942" s="2010">
        <f t="shared" si="234"/>
        <v>0</v>
      </c>
      <c r="U942" s="2305">
        <f t="shared" si="235"/>
        <v>0</v>
      </c>
      <c r="V942" s="2305">
        <f t="shared" si="236"/>
        <v>0</v>
      </c>
      <c r="W942" s="2300"/>
      <c r="X942" s="2305">
        <f t="shared" si="237"/>
        <v>0</v>
      </c>
      <c r="Y942" s="2305">
        <f t="shared" si="238"/>
        <v>0</v>
      </c>
      <c r="Z942" s="2300"/>
    </row>
    <row r="943" spans="3:26">
      <c r="C943" s="197">
        <f t="shared" si="224"/>
        <v>1</v>
      </c>
      <c r="D943" s="995"/>
      <c r="E943" s="197">
        <f t="shared" si="225"/>
        <v>0</v>
      </c>
      <c r="F943" s="995"/>
      <c r="G943" s="197">
        <f t="shared" si="226"/>
        <v>0</v>
      </c>
      <c r="H943" s="995"/>
      <c r="I943" s="197">
        <f t="shared" si="227"/>
        <v>0.02</v>
      </c>
      <c r="J943" s="995"/>
      <c r="K943" s="197">
        <f t="shared" si="228"/>
        <v>1</v>
      </c>
      <c r="L943" s="995"/>
      <c r="M943" s="197">
        <f t="shared" si="229"/>
        <v>1</v>
      </c>
      <c r="N943" s="995"/>
      <c r="O943" s="197">
        <f t="shared" si="230"/>
        <v>1</v>
      </c>
      <c r="P943" s="995"/>
      <c r="Q943" s="197">
        <f t="shared" si="231"/>
        <v>1</v>
      </c>
      <c r="R943" s="991">
        <f t="shared" si="232"/>
        <v>0</v>
      </c>
      <c r="S943" s="552">
        <f t="shared" si="233"/>
        <v>0</v>
      </c>
      <c r="T943" s="2010">
        <f t="shared" si="234"/>
        <v>0</v>
      </c>
      <c r="U943" s="2305">
        <f t="shared" si="235"/>
        <v>0</v>
      </c>
      <c r="V943" s="2305">
        <f t="shared" si="236"/>
        <v>0</v>
      </c>
      <c r="W943" s="2300"/>
      <c r="X943" s="2305">
        <f t="shared" si="237"/>
        <v>0</v>
      </c>
      <c r="Y943" s="2305">
        <f t="shared" si="238"/>
        <v>0</v>
      </c>
      <c r="Z943" s="2300"/>
    </row>
    <row r="944" spans="3:26">
      <c r="C944" s="197">
        <f t="shared" si="224"/>
        <v>1</v>
      </c>
      <c r="D944" s="995"/>
      <c r="E944" s="197">
        <f t="shared" si="225"/>
        <v>0</v>
      </c>
      <c r="F944" s="995"/>
      <c r="G944" s="197">
        <f t="shared" si="226"/>
        <v>0</v>
      </c>
      <c r="H944" s="995"/>
      <c r="I944" s="197">
        <f t="shared" si="227"/>
        <v>0.02</v>
      </c>
      <c r="J944" s="995"/>
      <c r="K944" s="197">
        <f t="shared" si="228"/>
        <v>1</v>
      </c>
      <c r="L944" s="995"/>
      <c r="M944" s="197">
        <f t="shared" si="229"/>
        <v>1</v>
      </c>
      <c r="N944" s="995"/>
      <c r="O944" s="197">
        <f t="shared" si="230"/>
        <v>1</v>
      </c>
      <c r="P944" s="995"/>
      <c r="Q944" s="197">
        <f t="shared" si="231"/>
        <v>1</v>
      </c>
      <c r="R944" s="991">
        <f t="shared" si="232"/>
        <v>0</v>
      </c>
      <c r="S944" s="552">
        <f t="shared" si="233"/>
        <v>0</v>
      </c>
      <c r="T944" s="2010">
        <f t="shared" si="234"/>
        <v>0</v>
      </c>
      <c r="U944" s="2305">
        <f t="shared" si="235"/>
        <v>0</v>
      </c>
      <c r="V944" s="2305">
        <f t="shared" si="236"/>
        <v>0</v>
      </c>
      <c r="W944" s="2300"/>
      <c r="X944" s="2305">
        <f t="shared" si="237"/>
        <v>0</v>
      </c>
      <c r="Y944" s="2305">
        <f t="shared" si="238"/>
        <v>0</v>
      </c>
      <c r="Z944" s="2300"/>
    </row>
    <row r="945" spans="3:26">
      <c r="C945" s="197">
        <f t="shared" si="224"/>
        <v>1</v>
      </c>
      <c r="D945" s="995"/>
      <c r="E945" s="197">
        <f t="shared" si="225"/>
        <v>0</v>
      </c>
      <c r="F945" s="995"/>
      <c r="G945" s="197">
        <f t="shared" si="226"/>
        <v>0</v>
      </c>
      <c r="H945" s="995"/>
      <c r="I945" s="197">
        <f t="shared" si="227"/>
        <v>0.02</v>
      </c>
      <c r="J945" s="995"/>
      <c r="K945" s="197">
        <f t="shared" si="228"/>
        <v>1</v>
      </c>
      <c r="L945" s="995"/>
      <c r="M945" s="197">
        <f t="shared" si="229"/>
        <v>1</v>
      </c>
      <c r="N945" s="995"/>
      <c r="O945" s="197">
        <f t="shared" si="230"/>
        <v>1</v>
      </c>
      <c r="P945" s="995"/>
      <c r="Q945" s="197">
        <f t="shared" si="231"/>
        <v>1</v>
      </c>
      <c r="R945" s="991">
        <f t="shared" si="232"/>
        <v>0</v>
      </c>
      <c r="S945" s="552">
        <f t="shared" si="233"/>
        <v>0</v>
      </c>
      <c r="T945" s="2010">
        <f t="shared" si="234"/>
        <v>0</v>
      </c>
      <c r="U945" s="2305">
        <f t="shared" si="235"/>
        <v>0</v>
      </c>
      <c r="V945" s="2305">
        <f t="shared" si="236"/>
        <v>0</v>
      </c>
      <c r="W945" s="2300"/>
      <c r="X945" s="2305">
        <f t="shared" si="237"/>
        <v>0</v>
      </c>
      <c r="Y945" s="2305">
        <f t="shared" si="238"/>
        <v>0</v>
      </c>
      <c r="Z945" s="2300"/>
    </row>
    <row r="946" spans="3:26">
      <c r="C946" s="197">
        <f t="shared" si="224"/>
        <v>1</v>
      </c>
      <c r="D946" s="995"/>
      <c r="E946" s="197">
        <f t="shared" si="225"/>
        <v>0</v>
      </c>
      <c r="F946" s="995"/>
      <c r="G946" s="197">
        <f t="shared" si="226"/>
        <v>0</v>
      </c>
      <c r="H946" s="995"/>
      <c r="I946" s="197">
        <f t="shared" si="227"/>
        <v>0.02</v>
      </c>
      <c r="J946" s="995"/>
      <c r="K946" s="197">
        <f t="shared" si="228"/>
        <v>1</v>
      </c>
      <c r="L946" s="995"/>
      <c r="M946" s="197">
        <f t="shared" si="229"/>
        <v>1</v>
      </c>
      <c r="N946" s="995"/>
      <c r="O946" s="197">
        <f t="shared" si="230"/>
        <v>1</v>
      </c>
      <c r="P946" s="995"/>
      <c r="Q946" s="197">
        <f t="shared" si="231"/>
        <v>1</v>
      </c>
      <c r="R946" s="991">
        <f t="shared" si="232"/>
        <v>0</v>
      </c>
      <c r="S946" s="552">
        <f t="shared" si="233"/>
        <v>0</v>
      </c>
      <c r="T946" s="2010">
        <f t="shared" si="234"/>
        <v>0</v>
      </c>
      <c r="U946" s="2305">
        <f t="shared" si="235"/>
        <v>0</v>
      </c>
      <c r="V946" s="2305">
        <f t="shared" si="236"/>
        <v>0</v>
      </c>
      <c r="W946" s="2300"/>
      <c r="X946" s="2305">
        <f t="shared" si="237"/>
        <v>0</v>
      </c>
      <c r="Y946" s="2305">
        <f t="shared" si="238"/>
        <v>0</v>
      </c>
      <c r="Z946" s="2300"/>
    </row>
    <row r="947" spans="3:26">
      <c r="C947" s="197">
        <f t="shared" si="224"/>
        <v>1</v>
      </c>
      <c r="D947" s="995"/>
      <c r="E947" s="197">
        <f t="shared" si="225"/>
        <v>0</v>
      </c>
      <c r="F947" s="995"/>
      <c r="G947" s="197">
        <f t="shared" si="226"/>
        <v>0</v>
      </c>
      <c r="H947" s="995"/>
      <c r="I947" s="197">
        <f t="shared" si="227"/>
        <v>0.02</v>
      </c>
      <c r="J947" s="995"/>
      <c r="K947" s="197">
        <f t="shared" si="228"/>
        <v>1</v>
      </c>
      <c r="L947" s="995"/>
      <c r="M947" s="197">
        <f t="shared" si="229"/>
        <v>1</v>
      </c>
      <c r="N947" s="995"/>
      <c r="O947" s="197">
        <f t="shared" si="230"/>
        <v>1</v>
      </c>
      <c r="P947" s="995"/>
      <c r="Q947" s="197">
        <f t="shared" si="231"/>
        <v>1</v>
      </c>
      <c r="R947" s="991">
        <f t="shared" si="232"/>
        <v>0</v>
      </c>
      <c r="S947" s="552">
        <f t="shared" si="233"/>
        <v>0</v>
      </c>
      <c r="T947" s="2010">
        <f t="shared" si="234"/>
        <v>0</v>
      </c>
      <c r="U947" s="2305">
        <f t="shared" si="235"/>
        <v>0</v>
      </c>
      <c r="V947" s="2305">
        <f t="shared" si="236"/>
        <v>0</v>
      </c>
      <c r="W947" s="2300"/>
      <c r="X947" s="2305">
        <f t="shared" si="237"/>
        <v>0</v>
      </c>
      <c r="Y947" s="2305">
        <f t="shared" si="238"/>
        <v>0</v>
      </c>
      <c r="Z947" s="2300"/>
    </row>
    <row r="948" spans="3:26">
      <c r="C948" s="197">
        <f t="shared" si="224"/>
        <v>1</v>
      </c>
      <c r="D948" s="995"/>
      <c r="E948" s="197">
        <f t="shared" si="225"/>
        <v>0</v>
      </c>
      <c r="F948" s="995"/>
      <c r="G948" s="197">
        <f t="shared" si="226"/>
        <v>0</v>
      </c>
      <c r="H948" s="995"/>
      <c r="I948" s="197">
        <f t="shared" si="227"/>
        <v>0.02</v>
      </c>
      <c r="J948" s="995"/>
      <c r="K948" s="197">
        <f t="shared" si="228"/>
        <v>1</v>
      </c>
      <c r="L948" s="995"/>
      <c r="M948" s="197">
        <f t="shared" si="229"/>
        <v>1</v>
      </c>
      <c r="N948" s="995"/>
      <c r="O948" s="197">
        <f t="shared" si="230"/>
        <v>1</v>
      </c>
      <c r="P948" s="995"/>
      <c r="Q948" s="197">
        <f t="shared" si="231"/>
        <v>1</v>
      </c>
      <c r="R948" s="991">
        <f t="shared" si="232"/>
        <v>0</v>
      </c>
      <c r="S948" s="552">
        <f t="shared" si="233"/>
        <v>0</v>
      </c>
      <c r="T948" s="2010">
        <f t="shared" si="234"/>
        <v>0</v>
      </c>
      <c r="U948" s="2305">
        <f t="shared" si="235"/>
        <v>0</v>
      </c>
      <c r="V948" s="2305">
        <f t="shared" si="236"/>
        <v>0</v>
      </c>
      <c r="W948" s="2300"/>
      <c r="X948" s="2305">
        <f t="shared" si="237"/>
        <v>0</v>
      </c>
      <c r="Y948" s="2305">
        <f t="shared" si="238"/>
        <v>0</v>
      </c>
      <c r="Z948" s="2300"/>
    </row>
    <row r="949" spans="3:26">
      <c r="C949" s="197">
        <f t="shared" si="224"/>
        <v>1</v>
      </c>
      <c r="D949" s="995"/>
      <c r="E949" s="197">
        <f t="shared" si="225"/>
        <v>0</v>
      </c>
      <c r="F949" s="995"/>
      <c r="G949" s="197">
        <f t="shared" si="226"/>
        <v>0</v>
      </c>
      <c r="H949" s="995"/>
      <c r="I949" s="197">
        <f t="shared" si="227"/>
        <v>0.02</v>
      </c>
      <c r="J949" s="995"/>
      <c r="K949" s="197">
        <f t="shared" si="228"/>
        <v>1</v>
      </c>
      <c r="L949" s="995"/>
      <c r="M949" s="197">
        <f t="shared" si="229"/>
        <v>1</v>
      </c>
      <c r="N949" s="995"/>
      <c r="O949" s="197">
        <f t="shared" si="230"/>
        <v>1</v>
      </c>
      <c r="P949" s="995"/>
      <c r="Q949" s="197">
        <f t="shared" si="231"/>
        <v>1</v>
      </c>
      <c r="R949" s="991">
        <f t="shared" si="232"/>
        <v>0</v>
      </c>
      <c r="S949" s="552">
        <f t="shared" si="233"/>
        <v>0</v>
      </c>
      <c r="T949" s="2010">
        <f t="shared" si="234"/>
        <v>0</v>
      </c>
      <c r="U949" s="2305">
        <f t="shared" si="235"/>
        <v>0</v>
      </c>
      <c r="V949" s="2305">
        <f t="shared" si="236"/>
        <v>0</v>
      </c>
      <c r="W949" s="2300"/>
      <c r="X949" s="2305">
        <f t="shared" si="237"/>
        <v>0</v>
      </c>
      <c r="Y949" s="2305">
        <f t="shared" si="238"/>
        <v>0</v>
      </c>
      <c r="Z949" s="2300"/>
    </row>
    <row r="950" spans="3:26">
      <c r="C950" s="197">
        <f t="shared" si="224"/>
        <v>1</v>
      </c>
      <c r="D950" s="995"/>
      <c r="E950" s="197">
        <f t="shared" si="225"/>
        <v>0</v>
      </c>
      <c r="F950" s="995"/>
      <c r="G950" s="197">
        <f t="shared" si="226"/>
        <v>0</v>
      </c>
      <c r="H950" s="995"/>
      <c r="I950" s="197">
        <f t="shared" si="227"/>
        <v>0.02</v>
      </c>
      <c r="J950" s="995"/>
      <c r="K950" s="197">
        <f t="shared" si="228"/>
        <v>1</v>
      </c>
      <c r="L950" s="995"/>
      <c r="M950" s="197">
        <f t="shared" si="229"/>
        <v>1</v>
      </c>
      <c r="N950" s="995"/>
      <c r="O950" s="197">
        <f t="shared" si="230"/>
        <v>1</v>
      </c>
      <c r="P950" s="995"/>
      <c r="Q950" s="197">
        <f t="shared" si="231"/>
        <v>1</v>
      </c>
      <c r="R950" s="991">
        <f t="shared" si="232"/>
        <v>0</v>
      </c>
      <c r="S950" s="552">
        <f t="shared" si="233"/>
        <v>0</v>
      </c>
      <c r="T950" s="2010">
        <f t="shared" si="234"/>
        <v>0</v>
      </c>
      <c r="U950" s="2305">
        <f t="shared" si="235"/>
        <v>0</v>
      </c>
      <c r="V950" s="2305">
        <f t="shared" si="236"/>
        <v>0</v>
      </c>
      <c r="W950" s="2300"/>
      <c r="X950" s="2305">
        <f t="shared" si="237"/>
        <v>0</v>
      </c>
      <c r="Y950" s="2305">
        <f t="shared" si="238"/>
        <v>0</v>
      </c>
      <c r="Z950" s="2300"/>
    </row>
    <row r="951" spans="3:26">
      <c r="C951" s="197">
        <f t="shared" si="224"/>
        <v>1</v>
      </c>
      <c r="D951" s="995"/>
      <c r="E951" s="197">
        <f t="shared" si="225"/>
        <v>0</v>
      </c>
      <c r="F951" s="995"/>
      <c r="G951" s="197">
        <f t="shared" si="226"/>
        <v>0</v>
      </c>
      <c r="H951" s="995"/>
      <c r="I951" s="197">
        <f t="shared" si="227"/>
        <v>0.02</v>
      </c>
      <c r="J951" s="995"/>
      <c r="K951" s="197">
        <f t="shared" si="228"/>
        <v>1</v>
      </c>
      <c r="L951" s="995"/>
      <c r="M951" s="197">
        <f t="shared" si="229"/>
        <v>1</v>
      </c>
      <c r="N951" s="995"/>
      <c r="O951" s="197">
        <f t="shared" si="230"/>
        <v>1</v>
      </c>
      <c r="P951" s="995"/>
      <c r="Q951" s="197">
        <f t="shared" si="231"/>
        <v>1</v>
      </c>
      <c r="R951" s="991">
        <f t="shared" si="232"/>
        <v>0</v>
      </c>
      <c r="S951" s="552">
        <f t="shared" si="233"/>
        <v>0</v>
      </c>
      <c r="T951" s="2010">
        <f t="shared" si="234"/>
        <v>0</v>
      </c>
      <c r="U951" s="2305">
        <f t="shared" si="235"/>
        <v>0</v>
      </c>
      <c r="V951" s="2305">
        <f t="shared" si="236"/>
        <v>0</v>
      </c>
      <c r="W951" s="2300"/>
      <c r="X951" s="2305">
        <f t="shared" si="237"/>
        <v>0</v>
      </c>
      <c r="Y951" s="2305">
        <f t="shared" si="238"/>
        <v>0</v>
      </c>
      <c r="Z951" s="2300"/>
    </row>
    <row r="952" spans="3:26">
      <c r="C952" s="197">
        <f t="shared" si="224"/>
        <v>1</v>
      </c>
      <c r="D952" s="995"/>
      <c r="E952" s="197">
        <f t="shared" si="225"/>
        <v>0</v>
      </c>
      <c r="F952" s="995"/>
      <c r="G952" s="197">
        <f t="shared" si="226"/>
        <v>0</v>
      </c>
      <c r="H952" s="995"/>
      <c r="I952" s="197">
        <f t="shared" si="227"/>
        <v>0.02</v>
      </c>
      <c r="J952" s="995"/>
      <c r="K952" s="197">
        <f t="shared" si="228"/>
        <v>1</v>
      </c>
      <c r="L952" s="995"/>
      <c r="M952" s="197">
        <f t="shared" si="229"/>
        <v>1</v>
      </c>
      <c r="N952" s="995"/>
      <c r="O952" s="197">
        <f t="shared" si="230"/>
        <v>1</v>
      </c>
      <c r="P952" s="995"/>
      <c r="Q952" s="197">
        <f t="shared" si="231"/>
        <v>1</v>
      </c>
      <c r="R952" s="991">
        <f t="shared" si="232"/>
        <v>0</v>
      </c>
      <c r="S952" s="552">
        <f t="shared" si="233"/>
        <v>0</v>
      </c>
      <c r="T952" s="2010">
        <f t="shared" si="234"/>
        <v>0</v>
      </c>
      <c r="U952" s="2305">
        <f t="shared" si="235"/>
        <v>0</v>
      </c>
      <c r="V952" s="2305">
        <f t="shared" si="236"/>
        <v>0</v>
      </c>
      <c r="W952" s="2300"/>
      <c r="X952" s="2305">
        <f t="shared" si="237"/>
        <v>0</v>
      </c>
      <c r="Y952" s="2305">
        <f t="shared" si="238"/>
        <v>0</v>
      </c>
      <c r="Z952" s="2300"/>
    </row>
    <row r="953" spans="3:26">
      <c r="C953" s="197">
        <f t="shared" si="224"/>
        <v>1</v>
      </c>
      <c r="D953" s="995"/>
      <c r="E953" s="197">
        <f t="shared" si="225"/>
        <v>0</v>
      </c>
      <c r="F953" s="995"/>
      <c r="G953" s="197">
        <f t="shared" si="226"/>
        <v>0</v>
      </c>
      <c r="H953" s="995"/>
      <c r="I953" s="197">
        <f t="shared" si="227"/>
        <v>0.02</v>
      </c>
      <c r="J953" s="995"/>
      <c r="K953" s="197">
        <f t="shared" si="228"/>
        <v>1</v>
      </c>
      <c r="L953" s="995"/>
      <c r="M953" s="197">
        <f t="shared" si="229"/>
        <v>1</v>
      </c>
      <c r="N953" s="995"/>
      <c r="O953" s="197">
        <f t="shared" si="230"/>
        <v>1</v>
      </c>
      <c r="P953" s="995"/>
      <c r="Q953" s="197">
        <f t="shared" si="231"/>
        <v>1</v>
      </c>
      <c r="R953" s="991">
        <f t="shared" si="232"/>
        <v>0</v>
      </c>
      <c r="S953" s="552">
        <f t="shared" si="233"/>
        <v>0</v>
      </c>
      <c r="T953" s="2010">
        <f t="shared" si="234"/>
        <v>0</v>
      </c>
      <c r="U953" s="2305">
        <f t="shared" si="235"/>
        <v>0</v>
      </c>
      <c r="V953" s="2305">
        <f t="shared" si="236"/>
        <v>0</v>
      </c>
      <c r="W953" s="2300"/>
      <c r="X953" s="2305">
        <f t="shared" si="237"/>
        <v>0</v>
      </c>
      <c r="Y953" s="2305">
        <f t="shared" si="238"/>
        <v>0</v>
      </c>
      <c r="Z953" s="2300"/>
    </row>
    <row r="954" spans="3:26">
      <c r="C954" s="197">
        <f t="shared" si="224"/>
        <v>1</v>
      </c>
      <c r="D954" s="995"/>
      <c r="E954" s="197">
        <f t="shared" si="225"/>
        <v>0</v>
      </c>
      <c r="F954" s="995"/>
      <c r="G954" s="197">
        <f t="shared" si="226"/>
        <v>0</v>
      </c>
      <c r="H954" s="995"/>
      <c r="I954" s="197">
        <f t="shared" si="227"/>
        <v>0.02</v>
      </c>
      <c r="J954" s="995"/>
      <c r="K954" s="197">
        <f t="shared" si="228"/>
        <v>1</v>
      </c>
      <c r="L954" s="995"/>
      <c r="M954" s="197">
        <f t="shared" si="229"/>
        <v>1</v>
      </c>
      <c r="N954" s="995"/>
      <c r="O954" s="197">
        <f t="shared" si="230"/>
        <v>1</v>
      </c>
      <c r="P954" s="995"/>
      <c r="Q954" s="197">
        <f t="shared" si="231"/>
        <v>1</v>
      </c>
      <c r="R954" s="991">
        <f t="shared" si="232"/>
        <v>0</v>
      </c>
      <c r="S954" s="552">
        <f t="shared" si="233"/>
        <v>0</v>
      </c>
      <c r="T954" s="2010">
        <f t="shared" si="234"/>
        <v>0</v>
      </c>
      <c r="U954" s="2305">
        <f t="shared" si="235"/>
        <v>0</v>
      </c>
      <c r="V954" s="2305">
        <f t="shared" si="236"/>
        <v>0</v>
      </c>
      <c r="W954" s="2300"/>
      <c r="X954" s="2305">
        <f t="shared" si="237"/>
        <v>0</v>
      </c>
      <c r="Y954" s="2305">
        <f t="shared" si="238"/>
        <v>0</v>
      </c>
      <c r="Z954" s="2300"/>
    </row>
    <row r="955" spans="3:26">
      <c r="C955" s="197">
        <f t="shared" si="224"/>
        <v>1</v>
      </c>
      <c r="D955" s="995"/>
      <c r="E955" s="197">
        <f t="shared" si="225"/>
        <v>0</v>
      </c>
      <c r="F955" s="995"/>
      <c r="G955" s="197">
        <f t="shared" si="226"/>
        <v>0</v>
      </c>
      <c r="H955" s="995"/>
      <c r="I955" s="197">
        <f t="shared" si="227"/>
        <v>0.02</v>
      </c>
      <c r="J955" s="995"/>
      <c r="K955" s="197">
        <f t="shared" si="228"/>
        <v>1</v>
      </c>
      <c r="L955" s="995"/>
      <c r="M955" s="197">
        <f t="shared" si="229"/>
        <v>1</v>
      </c>
      <c r="N955" s="995"/>
      <c r="O955" s="197">
        <f t="shared" si="230"/>
        <v>1</v>
      </c>
      <c r="P955" s="995"/>
      <c r="Q955" s="197">
        <f t="shared" si="231"/>
        <v>1</v>
      </c>
      <c r="R955" s="991">
        <f t="shared" si="232"/>
        <v>0</v>
      </c>
      <c r="S955" s="552">
        <f t="shared" si="233"/>
        <v>0</v>
      </c>
      <c r="T955" s="2010">
        <f t="shared" si="234"/>
        <v>0</v>
      </c>
      <c r="U955" s="2305">
        <f t="shared" si="235"/>
        <v>0</v>
      </c>
      <c r="V955" s="2305">
        <f t="shared" si="236"/>
        <v>0</v>
      </c>
      <c r="W955" s="2300"/>
      <c r="X955" s="2305">
        <f t="shared" si="237"/>
        <v>0</v>
      </c>
      <c r="Y955" s="2305">
        <f t="shared" si="238"/>
        <v>0</v>
      </c>
      <c r="Z955" s="2300"/>
    </row>
    <row r="956" spans="3:26">
      <c r="C956" s="197">
        <f t="shared" si="224"/>
        <v>1</v>
      </c>
      <c r="D956" s="995"/>
      <c r="E956" s="197">
        <f t="shared" si="225"/>
        <v>0</v>
      </c>
      <c r="F956" s="995"/>
      <c r="G956" s="197">
        <f t="shared" si="226"/>
        <v>0</v>
      </c>
      <c r="H956" s="995"/>
      <c r="I956" s="197">
        <f t="shared" si="227"/>
        <v>0.02</v>
      </c>
      <c r="J956" s="995"/>
      <c r="K956" s="197">
        <f t="shared" si="228"/>
        <v>1</v>
      </c>
      <c r="L956" s="995"/>
      <c r="M956" s="197">
        <f t="shared" si="229"/>
        <v>1</v>
      </c>
      <c r="N956" s="995"/>
      <c r="O956" s="197">
        <f t="shared" si="230"/>
        <v>1</v>
      </c>
      <c r="P956" s="995"/>
      <c r="Q956" s="197">
        <f t="shared" si="231"/>
        <v>1</v>
      </c>
      <c r="R956" s="991">
        <f t="shared" si="232"/>
        <v>0</v>
      </c>
      <c r="S956" s="552">
        <f t="shared" si="233"/>
        <v>0</v>
      </c>
      <c r="T956" s="2010">
        <f t="shared" si="234"/>
        <v>0</v>
      </c>
      <c r="U956" s="2305">
        <f t="shared" si="235"/>
        <v>0</v>
      </c>
      <c r="V956" s="2305">
        <f t="shared" si="236"/>
        <v>0</v>
      </c>
      <c r="W956" s="2300"/>
      <c r="X956" s="2305">
        <f t="shared" si="237"/>
        <v>0</v>
      </c>
      <c r="Y956" s="2305">
        <f t="shared" si="238"/>
        <v>0</v>
      </c>
      <c r="Z956" s="2300"/>
    </row>
    <row r="957" spans="3:26">
      <c r="C957" s="197">
        <f t="shared" si="224"/>
        <v>1</v>
      </c>
      <c r="D957" s="995"/>
      <c r="E957" s="197">
        <f t="shared" si="225"/>
        <v>0</v>
      </c>
      <c r="F957" s="995"/>
      <c r="G957" s="197">
        <f t="shared" si="226"/>
        <v>0</v>
      </c>
      <c r="H957" s="995"/>
      <c r="I957" s="197">
        <f t="shared" si="227"/>
        <v>0.02</v>
      </c>
      <c r="J957" s="995"/>
      <c r="K957" s="197">
        <f t="shared" si="228"/>
        <v>1</v>
      </c>
      <c r="L957" s="995"/>
      <c r="M957" s="197">
        <f t="shared" si="229"/>
        <v>1</v>
      </c>
      <c r="N957" s="995"/>
      <c r="O957" s="197">
        <f t="shared" si="230"/>
        <v>1</v>
      </c>
      <c r="P957" s="995"/>
      <c r="Q957" s="197">
        <f t="shared" si="231"/>
        <v>1</v>
      </c>
      <c r="R957" s="991">
        <f t="shared" si="232"/>
        <v>0</v>
      </c>
      <c r="S957" s="552">
        <f t="shared" si="233"/>
        <v>0</v>
      </c>
      <c r="T957" s="2010">
        <f t="shared" si="234"/>
        <v>0</v>
      </c>
      <c r="U957" s="2305">
        <f t="shared" si="235"/>
        <v>0</v>
      </c>
      <c r="V957" s="2305">
        <f t="shared" si="236"/>
        <v>0</v>
      </c>
      <c r="W957" s="2300"/>
      <c r="X957" s="2305">
        <f t="shared" si="237"/>
        <v>0</v>
      </c>
      <c r="Y957" s="2305">
        <f t="shared" si="238"/>
        <v>0</v>
      </c>
      <c r="Z957" s="2300"/>
    </row>
    <row r="958" spans="3:26">
      <c r="C958" s="197">
        <f t="shared" si="224"/>
        <v>1</v>
      </c>
      <c r="D958" s="995"/>
      <c r="E958" s="197">
        <f t="shared" si="225"/>
        <v>0</v>
      </c>
      <c r="F958" s="995"/>
      <c r="G958" s="197">
        <f t="shared" si="226"/>
        <v>0</v>
      </c>
      <c r="H958" s="995"/>
      <c r="I958" s="197">
        <f t="shared" si="227"/>
        <v>0.02</v>
      </c>
      <c r="J958" s="995"/>
      <c r="K958" s="197">
        <f t="shared" si="228"/>
        <v>1</v>
      </c>
      <c r="L958" s="995"/>
      <c r="M958" s="197">
        <f t="shared" si="229"/>
        <v>1</v>
      </c>
      <c r="N958" s="995"/>
      <c r="O958" s="197">
        <f t="shared" si="230"/>
        <v>1</v>
      </c>
      <c r="P958" s="995"/>
      <c r="Q958" s="197">
        <f t="shared" si="231"/>
        <v>1</v>
      </c>
      <c r="R958" s="991">
        <f t="shared" si="232"/>
        <v>0</v>
      </c>
      <c r="S958" s="552">
        <f t="shared" si="233"/>
        <v>0</v>
      </c>
      <c r="T958" s="2010">
        <f t="shared" si="234"/>
        <v>0</v>
      </c>
      <c r="U958" s="2305">
        <f t="shared" si="235"/>
        <v>0</v>
      </c>
      <c r="V958" s="2305">
        <f t="shared" si="236"/>
        <v>0</v>
      </c>
      <c r="W958" s="2300"/>
      <c r="X958" s="2305">
        <f t="shared" si="237"/>
        <v>0</v>
      </c>
      <c r="Y958" s="2305">
        <f t="shared" si="238"/>
        <v>0</v>
      </c>
      <c r="Z958" s="2300"/>
    </row>
    <row r="959" spans="3:26">
      <c r="C959" s="197">
        <f t="shared" si="224"/>
        <v>1</v>
      </c>
      <c r="D959" s="995"/>
      <c r="E959" s="197">
        <f t="shared" si="225"/>
        <v>0</v>
      </c>
      <c r="F959" s="995"/>
      <c r="G959" s="197">
        <f t="shared" si="226"/>
        <v>0</v>
      </c>
      <c r="H959" s="995"/>
      <c r="I959" s="197">
        <f t="shared" si="227"/>
        <v>0.02</v>
      </c>
      <c r="J959" s="995"/>
      <c r="K959" s="197">
        <f t="shared" si="228"/>
        <v>1</v>
      </c>
      <c r="L959" s="995"/>
      <c r="M959" s="197">
        <f t="shared" si="229"/>
        <v>1</v>
      </c>
      <c r="N959" s="995"/>
      <c r="O959" s="197">
        <f t="shared" si="230"/>
        <v>1</v>
      </c>
      <c r="P959" s="995"/>
      <c r="Q959" s="197">
        <f t="shared" si="231"/>
        <v>1</v>
      </c>
      <c r="R959" s="991">
        <f t="shared" si="232"/>
        <v>0</v>
      </c>
      <c r="S959" s="552">
        <f t="shared" si="233"/>
        <v>0</v>
      </c>
      <c r="T959" s="2010">
        <f t="shared" si="234"/>
        <v>0</v>
      </c>
      <c r="U959" s="2305">
        <f t="shared" si="235"/>
        <v>0</v>
      </c>
      <c r="V959" s="2305">
        <f t="shared" si="236"/>
        <v>0</v>
      </c>
      <c r="W959" s="2300"/>
      <c r="X959" s="2305">
        <f t="shared" si="237"/>
        <v>0</v>
      </c>
      <c r="Y959" s="2305">
        <f t="shared" si="238"/>
        <v>0</v>
      </c>
      <c r="Z959" s="2300"/>
    </row>
    <row r="960" spans="3:26">
      <c r="C960" s="197">
        <f t="shared" si="224"/>
        <v>1</v>
      </c>
      <c r="D960" s="995"/>
      <c r="E960" s="197">
        <f t="shared" si="225"/>
        <v>0</v>
      </c>
      <c r="F960" s="995"/>
      <c r="G960" s="197">
        <f t="shared" si="226"/>
        <v>0</v>
      </c>
      <c r="H960" s="995"/>
      <c r="I960" s="197">
        <f t="shared" si="227"/>
        <v>0.02</v>
      </c>
      <c r="J960" s="995"/>
      <c r="K960" s="197">
        <f t="shared" si="228"/>
        <v>1</v>
      </c>
      <c r="L960" s="995"/>
      <c r="M960" s="197">
        <f t="shared" si="229"/>
        <v>1</v>
      </c>
      <c r="N960" s="995"/>
      <c r="O960" s="197">
        <f t="shared" si="230"/>
        <v>1</v>
      </c>
      <c r="P960" s="995"/>
      <c r="Q960" s="197">
        <f t="shared" si="231"/>
        <v>1</v>
      </c>
      <c r="R960" s="991">
        <f t="shared" si="232"/>
        <v>0</v>
      </c>
      <c r="S960" s="552">
        <f t="shared" si="233"/>
        <v>0</v>
      </c>
      <c r="T960" s="2010">
        <f t="shared" si="234"/>
        <v>0</v>
      </c>
      <c r="U960" s="2305">
        <f t="shared" si="235"/>
        <v>0</v>
      </c>
      <c r="V960" s="2305">
        <f t="shared" si="236"/>
        <v>0</v>
      </c>
      <c r="W960" s="2300"/>
      <c r="X960" s="2305">
        <f t="shared" si="237"/>
        <v>0</v>
      </c>
      <c r="Y960" s="2305">
        <f t="shared" si="238"/>
        <v>0</v>
      </c>
      <c r="Z960" s="2300"/>
    </row>
    <row r="961" spans="3:26">
      <c r="C961" s="197">
        <f t="shared" si="224"/>
        <v>1</v>
      </c>
      <c r="D961" s="995"/>
      <c r="E961" s="197">
        <f t="shared" si="225"/>
        <v>0</v>
      </c>
      <c r="F961" s="995"/>
      <c r="G961" s="197">
        <f t="shared" si="226"/>
        <v>0</v>
      </c>
      <c r="H961" s="995"/>
      <c r="I961" s="197">
        <f t="shared" si="227"/>
        <v>0.02</v>
      </c>
      <c r="J961" s="995"/>
      <c r="K961" s="197">
        <f t="shared" si="228"/>
        <v>1</v>
      </c>
      <c r="L961" s="995"/>
      <c r="M961" s="197">
        <f t="shared" si="229"/>
        <v>1</v>
      </c>
      <c r="N961" s="995"/>
      <c r="O961" s="197">
        <f t="shared" si="230"/>
        <v>1</v>
      </c>
      <c r="P961" s="995"/>
      <c r="Q961" s="197">
        <f t="shared" si="231"/>
        <v>1</v>
      </c>
      <c r="R961" s="991">
        <f t="shared" si="232"/>
        <v>0</v>
      </c>
      <c r="S961" s="552">
        <f t="shared" si="233"/>
        <v>0</v>
      </c>
      <c r="T961" s="2010">
        <f t="shared" si="234"/>
        <v>0</v>
      </c>
      <c r="U961" s="2305">
        <f t="shared" si="235"/>
        <v>0</v>
      </c>
      <c r="V961" s="2305">
        <f t="shared" si="236"/>
        <v>0</v>
      </c>
      <c r="W961" s="2300"/>
      <c r="X961" s="2305">
        <f t="shared" si="237"/>
        <v>0</v>
      </c>
      <c r="Y961" s="2305">
        <f t="shared" si="238"/>
        <v>0</v>
      </c>
      <c r="Z961" s="2300"/>
    </row>
    <row r="962" spans="3:26">
      <c r="C962" s="197">
        <f t="shared" si="224"/>
        <v>1</v>
      </c>
      <c r="D962" s="995"/>
      <c r="E962" s="197">
        <f t="shared" si="225"/>
        <v>0</v>
      </c>
      <c r="F962" s="995"/>
      <c r="G962" s="197">
        <f t="shared" si="226"/>
        <v>0</v>
      </c>
      <c r="H962" s="995"/>
      <c r="I962" s="197">
        <f t="shared" si="227"/>
        <v>0.02</v>
      </c>
      <c r="J962" s="995"/>
      <c r="K962" s="197">
        <f t="shared" si="228"/>
        <v>1</v>
      </c>
      <c r="L962" s="995"/>
      <c r="M962" s="197">
        <f t="shared" si="229"/>
        <v>1</v>
      </c>
      <c r="N962" s="995"/>
      <c r="O962" s="197">
        <f t="shared" si="230"/>
        <v>1</v>
      </c>
      <c r="P962" s="995"/>
      <c r="Q962" s="197">
        <f t="shared" si="231"/>
        <v>1</v>
      </c>
      <c r="R962" s="991">
        <f t="shared" si="232"/>
        <v>0</v>
      </c>
      <c r="S962" s="552">
        <f t="shared" si="233"/>
        <v>0</v>
      </c>
      <c r="T962" s="2010">
        <f t="shared" si="234"/>
        <v>0</v>
      </c>
      <c r="U962" s="2305">
        <f t="shared" si="235"/>
        <v>0</v>
      </c>
      <c r="V962" s="2305">
        <f t="shared" si="236"/>
        <v>0</v>
      </c>
      <c r="W962" s="2300"/>
      <c r="X962" s="2305">
        <f t="shared" si="237"/>
        <v>0</v>
      </c>
      <c r="Y962" s="2305">
        <f t="shared" si="238"/>
        <v>0</v>
      </c>
      <c r="Z962" s="2300"/>
    </row>
    <row r="963" spans="3:26">
      <c r="C963" s="197">
        <f t="shared" si="224"/>
        <v>1</v>
      </c>
      <c r="D963" s="995"/>
      <c r="E963" s="197">
        <f t="shared" si="225"/>
        <v>0</v>
      </c>
      <c r="F963" s="995"/>
      <c r="G963" s="197">
        <f t="shared" si="226"/>
        <v>0</v>
      </c>
      <c r="H963" s="995"/>
      <c r="I963" s="197">
        <f t="shared" si="227"/>
        <v>0.02</v>
      </c>
      <c r="J963" s="995"/>
      <c r="K963" s="197">
        <f t="shared" si="228"/>
        <v>1</v>
      </c>
      <c r="L963" s="995"/>
      <c r="M963" s="197">
        <f t="shared" si="229"/>
        <v>1</v>
      </c>
      <c r="N963" s="995"/>
      <c r="O963" s="197">
        <f t="shared" si="230"/>
        <v>1</v>
      </c>
      <c r="P963" s="995"/>
      <c r="Q963" s="197">
        <f t="shared" si="231"/>
        <v>1</v>
      </c>
      <c r="R963" s="991">
        <f t="shared" si="232"/>
        <v>0</v>
      </c>
      <c r="S963" s="552">
        <f t="shared" si="233"/>
        <v>0</v>
      </c>
      <c r="T963" s="2010">
        <f t="shared" si="234"/>
        <v>0</v>
      </c>
      <c r="U963" s="2305">
        <f t="shared" si="235"/>
        <v>0</v>
      </c>
      <c r="V963" s="2305">
        <f t="shared" si="236"/>
        <v>0</v>
      </c>
      <c r="W963" s="2300"/>
      <c r="X963" s="2305">
        <f t="shared" si="237"/>
        <v>0</v>
      </c>
      <c r="Y963" s="2305">
        <f t="shared" si="238"/>
        <v>0</v>
      </c>
      <c r="Z963" s="2300"/>
    </row>
    <row r="964" spans="3:26">
      <c r="C964" s="197">
        <f t="shared" si="224"/>
        <v>1</v>
      </c>
      <c r="D964" s="995"/>
      <c r="E964" s="197">
        <f t="shared" si="225"/>
        <v>0</v>
      </c>
      <c r="F964" s="995"/>
      <c r="G964" s="197">
        <f t="shared" si="226"/>
        <v>0</v>
      </c>
      <c r="H964" s="995"/>
      <c r="I964" s="197">
        <f t="shared" si="227"/>
        <v>0.02</v>
      </c>
      <c r="J964" s="995"/>
      <c r="K964" s="197">
        <f t="shared" si="228"/>
        <v>1</v>
      </c>
      <c r="L964" s="995"/>
      <c r="M964" s="197">
        <f t="shared" si="229"/>
        <v>1</v>
      </c>
      <c r="N964" s="995"/>
      <c r="O964" s="197">
        <f t="shared" si="230"/>
        <v>1</v>
      </c>
      <c r="P964" s="995"/>
      <c r="Q964" s="197">
        <f t="shared" si="231"/>
        <v>1</v>
      </c>
      <c r="R964" s="991">
        <f t="shared" si="232"/>
        <v>0</v>
      </c>
      <c r="S964" s="552">
        <f t="shared" si="233"/>
        <v>0</v>
      </c>
      <c r="T964" s="2010">
        <f t="shared" si="234"/>
        <v>0</v>
      </c>
      <c r="U964" s="2305">
        <f t="shared" si="235"/>
        <v>0</v>
      </c>
      <c r="V964" s="2305">
        <f t="shared" si="236"/>
        <v>0</v>
      </c>
      <c r="W964" s="2300"/>
      <c r="X964" s="2305">
        <f t="shared" si="237"/>
        <v>0</v>
      </c>
      <c r="Y964" s="2305">
        <f t="shared" si="238"/>
        <v>0</v>
      </c>
      <c r="Z964" s="2300"/>
    </row>
    <row r="965" spans="3:26">
      <c r="C965" s="197">
        <f t="shared" si="224"/>
        <v>1</v>
      </c>
      <c r="D965" s="995"/>
      <c r="E965" s="197">
        <f t="shared" si="225"/>
        <v>0</v>
      </c>
      <c r="F965" s="995"/>
      <c r="G965" s="197">
        <f t="shared" si="226"/>
        <v>0</v>
      </c>
      <c r="H965" s="995"/>
      <c r="I965" s="197">
        <f t="shared" si="227"/>
        <v>0.02</v>
      </c>
      <c r="J965" s="995"/>
      <c r="K965" s="197">
        <f t="shared" si="228"/>
        <v>1</v>
      </c>
      <c r="L965" s="995"/>
      <c r="M965" s="197">
        <f t="shared" si="229"/>
        <v>1</v>
      </c>
      <c r="N965" s="995"/>
      <c r="O965" s="197">
        <f t="shared" si="230"/>
        <v>1</v>
      </c>
      <c r="P965" s="995"/>
      <c r="Q965" s="197">
        <f t="shared" si="231"/>
        <v>1</v>
      </c>
      <c r="R965" s="991">
        <f t="shared" si="232"/>
        <v>0</v>
      </c>
      <c r="S965" s="552">
        <f t="shared" si="233"/>
        <v>0</v>
      </c>
      <c r="T965" s="2010">
        <f t="shared" si="234"/>
        <v>0</v>
      </c>
      <c r="U965" s="2305">
        <f t="shared" si="235"/>
        <v>0</v>
      </c>
      <c r="V965" s="2305">
        <f t="shared" si="236"/>
        <v>0</v>
      </c>
      <c r="W965" s="2300"/>
      <c r="X965" s="2305">
        <f t="shared" si="237"/>
        <v>0</v>
      </c>
      <c r="Y965" s="2305">
        <f t="shared" si="238"/>
        <v>0</v>
      </c>
      <c r="Z965" s="2300"/>
    </row>
    <row r="966" spans="3:26">
      <c r="C966" s="197">
        <f t="shared" si="224"/>
        <v>1</v>
      </c>
      <c r="D966" s="995"/>
      <c r="E966" s="197">
        <f t="shared" si="225"/>
        <v>0</v>
      </c>
      <c r="F966" s="995"/>
      <c r="G966" s="197">
        <f t="shared" si="226"/>
        <v>0</v>
      </c>
      <c r="H966" s="995"/>
      <c r="I966" s="197">
        <f t="shared" si="227"/>
        <v>0.02</v>
      </c>
      <c r="J966" s="995"/>
      <c r="K966" s="197">
        <f t="shared" si="228"/>
        <v>1</v>
      </c>
      <c r="L966" s="995"/>
      <c r="M966" s="197">
        <f t="shared" si="229"/>
        <v>1</v>
      </c>
      <c r="N966" s="995"/>
      <c r="O966" s="197">
        <f t="shared" si="230"/>
        <v>1</v>
      </c>
      <c r="P966" s="995"/>
      <c r="Q966" s="197">
        <f t="shared" si="231"/>
        <v>1</v>
      </c>
      <c r="R966" s="991">
        <f t="shared" si="232"/>
        <v>0</v>
      </c>
      <c r="S966" s="552">
        <f t="shared" si="233"/>
        <v>0</v>
      </c>
      <c r="T966" s="2010">
        <f t="shared" si="234"/>
        <v>0</v>
      </c>
      <c r="U966" s="2305">
        <f t="shared" si="235"/>
        <v>0</v>
      </c>
      <c r="V966" s="2305">
        <f t="shared" si="236"/>
        <v>0</v>
      </c>
      <c r="W966" s="2300"/>
      <c r="X966" s="2305">
        <f t="shared" si="237"/>
        <v>0</v>
      </c>
      <c r="Y966" s="2305">
        <f t="shared" si="238"/>
        <v>0</v>
      </c>
      <c r="Z966" s="2300"/>
    </row>
    <row r="967" spans="3:26">
      <c r="C967" s="197">
        <f t="shared" si="224"/>
        <v>1</v>
      </c>
      <c r="D967" s="995"/>
      <c r="E967" s="197">
        <f t="shared" si="225"/>
        <v>0</v>
      </c>
      <c r="F967" s="995"/>
      <c r="G967" s="197">
        <f t="shared" si="226"/>
        <v>0</v>
      </c>
      <c r="H967" s="995"/>
      <c r="I967" s="197">
        <f t="shared" si="227"/>
        <v>0.02</v>
      </c>
      <c r="J967" s="995"/>
      <c r="K967" s="197">
        <f t="shared" si="228"/>
        <v>1</v>
      </c>
      <c r="L967" s="995"/>
      <c r="M967" s="197">
        <f t="shared" si="229"/>
        <v>1</v>
      </c>
      <c r="N967" s="995"/>
      <c r="O967" s="197">
        <f t="shared" si="230"/>
        <v>1</v>
      </c>
      <c r="P967" s="995"/>
      <c r="Q967" s="197">
        <f t="shared" si="231"/>
        <v>1</v>
      </c>
      <c r="R967" s="991">
        <f t="shared" si="232"/>
        <v>0</v>
      </c>
      <c r="S967" s="552">
        <f t="shared" si="233"/>
        <v>0</v>
      </c>
      <c r="T967" s="2010">
        <f t="shared" si="234"/>
        <v>0</v>
      </c>
      <c r="U967" s="2305">
        <f t="shared" si="235"/>
        <v>0</v>
      </c>
      <c r="V967" s="2305">
        <f t="shared" si="236"/>
        <v>0</v>
      </c>
      <c r="W967" s="2300"/>
      <c r="X967" s="2305">
        <f t="shared" si="237"/>
        <v>0</v>
      </c>
      <c r="Y967" s="2305">
        <f t="shared" si="238"/>
        <v>0</v>
      </c>
      <c r="Z967" s="2300"/>
    </row>
    <row r="968" spans="3:26">
      <c r="C968" s="197">
        <f t="shared" si="224"/>
        <v>1</v>
      </c>
      <c r="D968" s="995"/>
      <c r="E968" s="197">
        <f t="shared" si="225"/>
        <v>0</v>
      </c>
      <c r="F968" s="995"/>
      <c r="G968" s="197">
        <f t="shared" si="226"/>
        <v>0</v>
      </c>
      <c r="H968" s="995"/>
      <c r="I968" s="197">
        <f t="shared" si="227"/>
        <v>0.02</v>
      </c>
      <c r="J968" s="995"/>
      <c r="K968" s="197">
        <f t="shared" si="228"/>
        <v>1</v>
      </c>
      <c r="L968" s="995"/>
      <c r="M968" s="197">
        <f t="shared" si="229"/>
        <v>1</v>
      </c>
      <c r="N968" s="995"/>
      <c r="O968" s="197">
        <f t="shared" si="230"/>
        <v>1</v>
      </c>
      <c r="P968" s="995"/>
      <c r="Q968" s="197">
        <f t="shared" si="231"/>
        <v>1</v>
      </c>
      <c r="R968" s="991">
        <f t="shared" si="232"/>
        <v>0</v>
      </c>
      <c r="S968" s="552">
        <f t="shared" si="233"/>
        <v>0</v>
      </c>
      <c r="T968" s="2010">
        <f t="shared" si="234"/>
        <v>0</v>
      </c>
      <c r="U968" s="2305">
        <f t="shared" si="235"/>
        <v>0</v>
      </c>
      <c r="V968" s="2305">
        <f t="shared" si="236"/>
        <v>0</v>
      </c>
      <c r="W968" s="2300"/>
      <c r="X968" s="2305">
        <f t="shared" si="237"/>
        <v>0</v>
      </c>
      <c r="Y968" s="2305">
        <f t="shared" si="238"/>
        <v>0</v>
      </c>
      <c r="Z968" s="2300"/>
    </row>
    <row r="969" spans="3:26">
      <c r="C969" s="197">
        <f t="shared" si="224"/>
        <v>1</v>
      </c>
      <c r="D969" s="995"/>
      <c r="E969" s="197">
        <f t="shared" si="225"/>
        <v>0</v>
      </c>
      <c r="F969" s="995"/>
      <c r="G969" s="197">
        <f t="shared" si="226"/>
        <v>0</v>
      </c>
      <c r="H969" s="995"/>
      <c r="I969" s="197">
        <f t="shared" si="227"/>
        <v>0.02</v>
      </c>
      <c r="J969" s="995"/>
      <c r="K969" s="197">
        <f t="shared" si="228"/>
        <v>1</v>
      </c>
      <c r="L969" s="995"/>
      <c r="M969" s="197">
        <f t="shared" si="229"/>
        <v>1</v>
      </c>
      <c r="N969" s="995"/>
      <c r="O969" s="197">
        <f t="shared" si="230"/>
        <v>1</v>
      </c>
      <c r="P969" s="995"/>
      <c r="Q969" s="197">
        <f t="shared" si="231"/>
        <v>1</v>
      </c>
      <c r="R969" s="991">
        <f t="shared" si="232"/>
        <v>0</v>
      </c>
      <c r="S969" s="552">
        <f t="shared" si="233"/>
        <v>0</v>
      </c>
      <c r="T969" s="2010">
        <f t="shared" si="234"/>
        <v>0</v>
      </c>
      <c r="U969" s="2305">
        <f t="shared" si="235"/>
        <v>0</v>
      </c>
      <c r="V969" s="2305">
        <f t="shared" si="236"/>
        <v>0</v>
      </c>
      <c r="W969" s="2300"/>
      <c r="X969" s="2305">
        <f t="shared" si="237"/>
        <v>0</v>
      </c>
      <c r="Y969" s="2305">
        <f t="shared" si="238"/>
        <v>0</v>
      </c>
      <c r="Z969" s="2300"/>
    </row>
    <row r="970" spans="3:26">
      <c r="C970" s="197">
        <f t="shared" si="224"/>
        <v>1</v>
      </c>
      <c r="D970" s="995"/>
      <c r="E970" s="197">
        <f t="shared" si="225"/>
        <v>0</v>
      </c>
      <c r="F970" s="995"/>
      <c r="G970" s="197">
        <f t="shared" si="226"/>
        <v>0</v>
      </c>
      <c r="H970" s="995"/>
      <c r="I970" s="197">
        <f t="shared" si="227"/>
        <v>0.02</v>
      </c>
      <c r="J970" s="995"/>
      <c r="K970" s="197">
        <f t="shared" si="228"/>
        <v>1</v>
      </c>
      <c r="L970" s="995"/>
      <c r="M970" s="197">
        <f t="shared" si="229"/>
        <v>1</v>
      </c>
      <c r="N970" s="995"/>
      <c r="O970" s="197">
        <f t="shared" si="230"/>
        <v>1</v>
      </c>
      <c r="P970" s="995"/>
      <c r="Q970" s="197">
        <f t="shared" si="231"/>
        <v>1</v>
      </c>
      <c r="R970" s="991">
        <f t="shared" si="232"/>
        <v>0</v>
      </c>
      <c r="S970" s="552">
        <f t="shared" si="233"/>
        <v>0</v>
      </c>
      <c r="T970" s="2010">
        <f t="shared" si="234"/>
        <v>0</v>
      </c>
      <c r="U970" s="2305">
        <f t="shared" si="235"/>
        <v>0</v>
      </c>
      <c r="V970" s="2305">
        <f t="shared" si="236"/>
        <v>0</v>
      </c>
      <c r="W970" s="2300"/>
      <c r="X970" s="2305">
        <f t="shared" si="237"/>
        <v>0</v>
      </c>
      <c r="Y970" s="2305">
        <f t="shared" si="238"/>
        <v>0</v>
      </c>
      <c r="Z970" s="2300"/>
    </row>
    <row r="971" spans="3:26">
      <c r="C971" s="197">
        <f t="shared" si="224"/>
        <v>1</v>
      </c>
      <c r="D971" s="995"/>
      <c r="E971" s="197">
        <f t="shared" si="225"/>
        <v>0</v>
      </c>
      <c r="F971" s="995"/>
      <c r="G971" s="197">
        <f t="shared" si="226"/>
        <v>0</v>
      </c>
      <c r="H971" s="995"/>
      <c r="I971" s="197">
        <f t="shared" si="227"/>
        <v>0.02</v>
      </c>
      <c r="J971" s="995"/>
      <c r="K971" s="197">
        <f t="shared" si="228"/>
        <v>1</v>
      </c>
      <c r="L971" s="995"/>
      <c r="M971" s="197">
        <f t="shared" si="229"/>
        <v>1</v>
      </c>
      <c r="N971" s="995"/>
      <c r="O971" s="197">
        <f t="shared" si="230"/>
        <v>1</v>
      </c>
      <c r="P971" s="995"/>
      <c r="Q971" s="197">
        <f t="shared" si="231"/>
        <v>1</v>
      </c>
      <c r="R971" s="991">
        <f t="shared" si="232"/>
        <v>0</v>
      </c>
      <c r="S971" s="552">
        <f t="shared" si="233"/>
        <v>0</v>
      </c>
      <c r="T971" s="2010">
        <f t="shared" si="234"/>
        <v>0</v>
      </c>
      <c r="U971" s="2305">
        <f t="shared" si="235"/>
        <v>0</v>
      </c>
      <c r="V971" s="2305">
        <f t="shared" si="236"/>
        <v>0</v>
      </c>
      <c r="W971" s="2300"/>
      <c r="X971" s="2305">
        <f t="shared" si="237"/>
        <v>0</v>
      </c>
      <c r="Y971" s="2305">
        <f t="shared" si="238"/>
        <v>0</v>
      </c>
      <c r="Z971" s="2300"/>
    </row>
    <row r="972" spans="3:26">
      <c r="C972" s="197">
        <f t="shared" si="224"/>
        <v>1</v>
      </c>
      <c r="D972" s="995"/>
      <c r="E972" s="197">
        <f t="shared" si="225"/>
        <v>0</v>
      </c>
      <c r="F972" s="995"/>
      <c r="G972" s="197">
        <f t="shared" si="226"/>
        <v>0</v>
      </c>
      <c r="H972" s="995"/>
      <c r="I972" s="197">
        <f t="shared" si="227"/>
        <v>0.02</v>
      </c>
      <c r="J972" s="995"/>
      <c r="K972" s="197">
        <f t="shared" si="228"/>
        <v>1</v>
      </c>
      <c r="L972" s="995"/>
      <c r="M972" s="197">
        <f t="shared" si="229"/>
        <v>1</v>
      </c>
      <c r="N972" s="995"/>
      <c r="O972" s="197">
        <f t="shared" si="230"/>
        <v>1</v>
      </c>
      <c r="P972" s="995"/>
      <c r="Q972" s="197">
        <f t="shared" si="231"/>
        <v>1</v>
      </c>
      <c r="R972" s="991">
        <f t="shared" si="232"/>
        <v>0</v>
      </c>
      <c r="S972" s="552">
        <f t="shared" si="233"/>
        <v>0</v>
      </c>
      <c r="T972" s="2010">
        <f t="shared" si="234"/>
        <v>0</v>
      </c>
      <c r="U972" s="2305">
        <f t="shared" si="235"/>
        <v>0</v>
      </c>
      <c r="V972" s="2305">
        <f t="shared" si="236"/>
        <v>0</v>
      </c>
      <c r="W972" s="2300"/>
      <c r="X972" s="2305">
        <f t="shared" si="237"/>
        <v>0</v>
      </c>
      <c r="Y972" s="2305">
        <f t="shared" si="238"/>
        <v>0</v>
      </c>
      <c r="Z972" s="2300"/>
    </row>
    <row r="973" spans="3:26">
      <c r="C973" s="197">
        <f t="shared" si="224"/>
        <v>1</v>
      </c>
      <c r="D973" s="995"/>
      <c r="E973" s="197">
        <f t="shared" si="225"/>
        <v>0</v>
      </c>
      <c r="F973" s="995"/>
      <c r="G973" s="197">
        <f t="shared" si="226"/>
        <v>0</v>
      </c>
      <c r="H973" s="995"/>
      <c r="I973" s="197">
        <f t="shared" si="227"/>
        <v>0.02</v>
      </c>
      <c r="J973" s="995"/>
      <c r="K973" s="197">
        <f t="shared" si="228"/>
        <v>1</v>
      </c>
      <c r="L973" s="995"/>
      <c r="M973" s="197">
        <f t="shared" si="229"/>
        <v>1</v>
      </c>
      <c r="N973" s="995"/>
      <c r="O973" s="197">
        <f t="shared" si="230"/>
        <v>1</v>
      </c>
      <c r="P973" s="995"/>
      <c r="Q973" s="197">
        <f t="shared" si="231"/>
        <v>1</v>
      </c>
      <c r="R973" s="991">
        <f t="shared" si="232"/>
        <v>0</v>
      </c>
      <c r="S973" s="552">
        <f t="shared" si="233"/>
        <v>0</v>
      </c>
      <c r="T973" s="2010">
        <f t="shared" si="234"/>
        <v>0</v>
      </c>
      <c r="U973" s="2305">
        <f t="shared" si="235"/>
        <v>0</v>
      </c>
      <c r="V973" s="2305">
        <f t="shared" si="236"/>
        <v>0</v>
      </c>
      <c r="W973" s="2300"/>
      <c r="X973" s="2305">
        <f t="shared" si="237"/>
        <v>0</v>
      </c>
      <c r="Y973" s="2305">
        <f t="shared" si="238"/>
        <v>0</v>
      </c>
      <c r="Z973" s="2300"/>
    </row>
    <row r="974" spans="3:26">
      <c r="C974" s="197">
        <f t="shared" si="224"/>
        <v>1</v>
      </c>
      <c r="D974" s="995"/>
      <c r="E974" s="197">
        <f t="shared" si="225"/>
        <v>0</v>
      </c>
      <c r="F974" s="995"/>
      <c r="G974" s="197">
        <f t="shared" si="226"/>
        <v>0</v>
      </c>
      <c r="H974" s="995"/>
      <c r="I974" s="197">
        <f t="shared" si="227"/>
        <v>0.02</v>
      </c>
      <c r="J974" s="995"/>
      <c r="K974" s="197">
        <f t="shared" si="228"/>
        <v>1</v>
      </c>
      <c r="L974" s="995"/>
      <c r="M974" s="197">
        <f t="shared" si="229"/>
        <v>1</v>
      </c>
      <c r="N974" s="995"/>
      <c r="O974" s="197">
        <f t="shared" si="230"/>
        <v>1</v>
      </c>
      <c r="P974" s="995"/>
      <c r="Q974" s="197">
        <f t="shared" si="231"/>
        <v>1</v>
      </c>
      <c r="R974" s="991">
        <f t="shared" si="232"/>
        <v>0</v>
      </c>
      <c r="S974" s="552">
        <f t="shared" si="233"/>
        <v>0</v>
      </c>
      <c r="T974" s="2010">
        <f t="shared" si="234"/>
        <v>0</v>
      </c>
      <c r="U974" s="2305">
        <f t="shared" si="235"/>
        <v>0</v>
      </c>
      <c r="V974" s="2305">
        <f t="shared" si="236"/>
        <v>0</v>
      </c>
      <c r="W974" s="2300"/>
      <c r="X974" s="2305">
        <f t="shared" si="237"/>
        <v>0</v>
      </c>
      <c r="Y974" s="2305">
        <f t="shared" si="238"/>
        <v>0</v>
      </c>
      <c r="Z974" s="2300"/>
    </row>
    <row r="975" spans="3:26">
      <c r="C975" s="197">
        <f t="shared" si="224"/>
        <v>1</v>
      </c>
      <c r="D975" s="995"/>
      <c r="E975" s="197">
        <f t="shared" si="225"/>
        <v>0</v>
      </c>
      <c r="F975" s="995"/>
      <c r="G975" s="197">
        <f t="shared" si="226"/>
        <v>0</v>
      </c>
      <c r="H975" s="995"/>
      <c r="I975" s="197">
        <f t="shared" si="227"/>
        <v>0.02</v>
      </c>
      <c r="J975" s="995"/>
      <c r="K975" s="197">
        <f t="shared" si="228"/>
        <v>1</v>
      </c>
      <c r="L975" s="995"/>
      <c r="M975" s="197">
        <f t="shared" si="229"/>
        <v>1</v>
      </c>
      <c r="N975" s="995"/>
      <c r="O975" s="197">
        <f t="shared" si="230"/>
        <v>1</v>
      </c>
      <c r="P975" s="995"/>
      <c r="Q975" s="197">
        <f t="shared" si="231"/>
        <v>1</v>
      </c>
      <c r="R975" s="991">
        <f t="shared" si="232"/>
        <v>0</v>
      </c>
      <c r="S975" s="552">
        <f t="shared" si="233"/>
        <v>0</v>
      </c>
      <c r="T975" s="2010">
        <f t="shared" si="234"/>
        <v>0</v>
      </c>
      <c r="U975" s="2305">
        <f t="shared" si="235"/>
        <v>0</v>
      </c>
      <c r="V975" s="2305">
        <f t="shared" si="236"/>
        <v>0</v>
      </c>
      <c r="W975" s="2300"/>
      <c r="X975" s="2305">
        <f t="shared" si="237"/>
        <v>0</v>
      </c>
      <c r="Y975" s="2305">
        <f t="shared" si="238"/>
        <v>0</v>
      </c>
      <c r="Z975" s="2300"/>
    </row>
    <row r="976" spans="3:26">
      <c r="C976" s="197">
        <f t="shared" ref="C976:C1013" si="239">IF(B976="",1,(LOOKUP(B976,$6:$6,$7:$7)-LOOKUP($B$27,$6:$6,$7:$7)+100)/100)</f>
        <v>1</v>
      </c>
      <c r="D976" s="995"/>
      <c r="E976" s="197">
        <f t="shared" ref="E976:E1013" si="240">(SUMIF($8:$8,D976,$9:$9)-SUMIF($8:$8,$D$27,$9:$9)+100)/100</f>
        <v>0</v>
      </c>
      <c r="F976" s="995"/>
      <c r="G976" s="197">
        <f t="shared" ref="G976:G1013" si="241">(SUMIF($10:$10,F976,$11:$11)-SUMIF($10:$10,$F$27,$11:$11)+100)/100</f>
        <v>0</v>
      </c>
      <c r="H976" s="995"/>
      <c r="I976" s="197">
        <f t="shared" ref="I976:I1013" si="242">(SUMIF($12:$12,H976,$13:$13)-SUMIF($12:$12,$H$27,$13:$13)+100)/100</f>
        <v>0.02</v>
      </c>
      <c r="J976" s="995"/>
      <c r="K976" s="197">
        <f t="shared" ref="K976:K1013" si="243">(SUMIF($14:$14,J976,$15:$15)-SUMIF($14:$14,$J$27,$15:$15)+100)/100</f>
        <v>1</v>
      </c>
      <c r="L976" s="995"/>
      <c r="M976" s="197">
        <f t="shared" ref="M976:M1013" si="244">(SUMIF($16:$16,L976,$17:$17)-SUMIF($16:$16,$L$27,$17:$17)+100)/100</f>
        <v>1</v>
      </c>
      <c r="N976" s="995"/>
      <c r="O976" s="197">
        <f t="shared" ref="O976:O1013" si="245">(SUMIF($18:$18,N976,$19:$19)-SUMIF($18:$18,$N$27,$19:$19)+100)/100</f>
        <v>1</v>
      </c>
      <c r="P976" s="995"/>
      <c r="Q976" s="197">
        <f t="shared" ref="Q976:Q1013" si="246">(SUMIF($20:$20,P976,$21:$21)-SUMIF($20:$20,$P$27,$21:$21)+100)/100</f>
        <v>1</v>
      </c>
      <c r="R976" s="991">
        <f t="shared" ref="R976:R1013" si="247">IF(B976="",0,ROUND($R$27*C976*E976*G976*I976*K976*M976*O976*Q976,0))</f>
        <v>0</v>
      </c>
      <c r="S976" s="552">
        <f t="shared" ref="S976:S1013" si="248">ROUND(R976*B976,0)</f>
        <v>0</v>
      </c>
      <c r="T976" s="2010">
        <f t="shared" ref="T976:T1013" si="249">ROUND(R976*B976/10000,0)</f>
        <v>0</v>
      </c>
      <c r="U976" s="2305">
        <f t="shared" ref="U976:U1013" si="250">ROUND(W976*B976,0)</f>
        <v>0</v>
      </c>
      <c r="V976" s="2305">
        <f t="shared" ref="V976:V1013" si="251">ROUND(W976*B976/10000,0)</f>
        <v>0</v>
      </c>
      <c r="W976" s="2300"/>
      <c r="X976" s="2305">
        <f t="shared" ref="X976:X1013" si="252">ROUND(Z976*B976,0)</f>
        <v>0</v>
      </c>
      <c r="Y976" s="2305">
        <f t="shared" ref="Y976:Y1013" si="253">ROUND(Z976*B976/10000,0)</f>
        <v>0</v>
      </c>
      <c r="Z976" s="2300"/>
    </row>
    <row r="977" spans="3:26">
      <c r="C977" s="197">
        <f t="shared" si="239"/>
        <v>1</v>
      </c>
      <c r="D977" s="995"/>
      <c r="E977" s="197">
        <f t="shared" si="240"/>
        <v>0</v>
      </c>
      <c r="F977" s="995"/>
      <c r="G977" s="197">
        <f t="shared" si="241"/>
        <v>0</v>
      </c>
      <c r="H977" s="995"/>
      <c r="I977" s="197">
        <f t="shared" si="242"/>
        <v>0.02</v>
      </c>
      <c r="J977" s="995"/>
      <c r="K977" s="197">
        <f t="shared" si="243"/>
        <v>1</v>
      </c>
      <c r="L977" s="995"/>
      <c r="M977" s="197">
        <f t="shared" si="244"/>
        <v>1</v>
      </c>
      <c r="N977" s="995"/>
      <c r="O977" s="197">
        <f t="shared" si="245"/>
        <v>1</v>
      </c>
      <c r="P977" s="995"/>
      <c r="Q977" s="197">
        <f t="shared" si="246"/>
        <v>1</v>
      </c>
      <c r="R977" s="991">
        <f t="shared" si="247"/>
        <v>0</v>
      </c>
      <c r="S977" s="552">
        <f t="shared" si="248"/>
        <v>0</v>
      </c>
      <c r="T977" s="2010">
        <f t="shared" si="249"/>
        <v>0</v>
      </c>
      <c r="U977" s="2305">
        <f t="shared" si="250"/>
        <v>0</v>
      </c>
      <c r="V977" s="2305">
        <f t="shared" si="251"/>
        <v>0</v>
      </c>
      <c r="W977" s="2300"/>
      <c r="X977" s="2305">
        <f t="shared" si="252"/>
        <v>0</v>
      </c>
      <c r="Y977" s="2305">
        <f t="shared" si="253"/>
        <v>0</v>
      </c>
      <c r="Z977" s="2300"/>
    </row>
    <row r="978" spans="3:26">
      <c r="C978" s="197">
        <f t="shared" si="239"/>
        <v>1</v>
      </c>
      <c r="D978" s="995"/>
      <c r="E978" s="197">
        <f t="shared" si="240"/>
        <v>0</v>
      </c>
      <c r="F978" s="995"/>
      <c r="G978" s="197">
        <f t="shared" si="241"/>
        <v>0</v>
      </c>
      <c r="H978" s="995"/>
      <c r="I978" s="197">
        <f t="shared" si="242"/>
        <v>0.02</v>
      </c>
      <c r="J978" s="995"/>
      <c r="K978" s="197">
        <f t="shared" si="243"/>
        <v>1</v>
      </c>
      <c r="L978" s="995"/>
      <c r="M978" s="197">
        <f t="shared" si="244"/>
        <v>1</v>
      </c>
      <c r="N978" s="995"/>
      <c r="O978" s="197">
        <f t="shared" si="245"/>
        <v>1</v>
      </c>
      <c r="P978" s="995"/>
      <c r="Q978" s="197">
        <f t="shared" si="246"/>
        <v>1</v>
      </c>
      <c r="R978" s="991">
        <f t="shared" si="247"/>
        <v>0</v>
      </c>
      <c r="S978" s="552">
        <f t="shared" si="248"/>
        <v>0</v>
      </c>
      <c r="T978" s="2010">
        <f t="shared" si="249"/>
        <v>0</v>
      </c>
      <c r="U978" s="2305">
        <f t="shared" si="250"/>
        <v>0</v>
      </c>
      <c r="V978" s="2305">
        <f t="shared" si="251"/>
        <v>0</v>
      </c>
      <c r="W978" s="2300"/>
      <c r="X978" s="2305">
        <f t="shared" si="252"/>
        <v>0</v>
      </c>
      <c r="Y978" s="2305">
        <f t="shared" si="253"/>
        <v>0</v>
      </c>
      <c r="Z978" s="2300"/>
    </row>
    <row r="979" spans="3:26">
      <c r="C979" s="197">
        <f t="shared" si="239"/>
        <v>1</v>
      </c>
      <c r="D979" s="995"/>
      <c r="E979" s="197">
        <f t="shared" si="240"/>
        <v>0</v>
      </c>
      <c r="F979" s="995"/>
      <c r="G979" s="197">
        <f t="shared" si="241"/>
        <v>0</v>
      </c>
      <c r="H979" s="995"/>
      <c r="I979" s="197">
        <f t="shared" si="242"/>
        <v>0.02</v>
      </c>
      <c r="J979" s="995"/>
      <c r="K979" s="197">
        <f t="shared" si="243"/>
        <v>1</v>
      </c>
      <c r="L979" s="995"/>
      <c r="M979" s="197">
        <f t="shared" si="244"/>
        <v>1</v>
      </c>
      <c r="N979" s="995"/>
      <c r="O979" s="197">
        <f t="shared" si="245"/>
        <v>1</v>
      </c>
      <c r="P979" s="995"/>
      <c r="Q979" s="197">
        <f t="shared" si="246"/>
        <v>1</v>
      </c>
      <c r="R979" s="991">
        <f t="shared" si="247"/>
        <v>0</v>
      </c>
      <c r="S979" s="552">
        <f t="shared" si="248"/>
        <v>0</v>
      </c>
      <c r="T979" s="2010">
        <f t="shared" si="249"/>
        <v>0</v>
      </c>
      <c r="U979" s="2305">
        <f t="shared" si="250"/>
        <v>0</v>
      </c>
      <c r="V979" s="2305">
        <f t="shared" si="251"/>
        <v>0</v>
      </c>
      <c r="W979" s="2300"/>
      <c r="X979" s="2305">
        <f t="shared" si="252"/>
        <v>0</v>
      </c>
      <c r="Y979" s="2305">
        <f t="shared" si="253"/>
        <v>0</v>
      </c>
      <c r="Z979" s="2300"/>
    </row>
    <row r="980" spans="3:26">
      <c r="C980" s="197">
        <f t="shared" si="239"/>
        <v>1</v>
      </c>
      <c r="D980" s="995"/>
      <c r="E980" s="197">
        <f t="shared" si="240"/>
        <v>0</v>
      </c>
      <c r="F980" s="995"/>
      <c r="G980" s="197">
        <f t="shared" si="241"/>
        <v>0</v>
      </c>
      <c r="H980" s="995"/>
      <c r="I980" s="197">
        <f t="shared" si="242"/>
        <v>0.02</v>
      </c>
      <c r="J980" s="995"/>
      <c r="K980" s="197">
        <f t="shared" si="243"/>
        <v>1</v>
      </c>
      <c r="L980" s="995"/>
      <c r="M980" s="197">
        <f t="shared" si="244"/>
        <v>1</v>
      </c>
      <c r="N980" s="995"/>
      <c r="O980" s="197">
        <f t="shared" si="245"/>
        <v>1</v>
      </c>
      <c r="P980" s="995"/>
      <c r="Q980" s="197">
        <f t="shared" si="246"/>
        <v>1</v>
      </c>
      <c r="R980" s="991">
        <f t="shared" si="247"/>
        <v>0</v>
      </c>
      <c r="S980" s="552">
        <f t="shared" si="248"/>
        <v>0</v>
      </c>
      <c r="T980" s="2010">
        <f t="shared" si="249"/>
        <v>0</v>
      </c>
      <c r="U980" s="2305">
        <f t="shared" si="250"/>
        <v>0</v>
      </c>
      <c r="V980" s="2305">
        <f t="shared" si="251"/>
        <v>0</v>
      </c>
      <c r="W980" s="2300"/>
      <c r="X980" s="2305">
        <f t="shared" si="252"/>
        <v>0</v>
      </c>
      <c r="Y980" s="2305">
        <f t="shared" si="253"/>
        <v>0</v>
      </c>
      <c r="Z980" s="2300"/>
    </row>
    <row r="981" spans="3:26">
      <c r="C981" s="197">
        <f t="shared" si="239"/>
        <v>1</v>
      </c>
      <c r="D981" s="995"/>
      <c r="E981" s="197">
        <f t="shared" si="240"/>
        <v>0</v>
      </c>
      <c r="F981" s="995"/>
      <c r="G981" s="197">
        <f t="shared" si="241"/>
        <v>0</v>
      </c>
      <c r="H981" s="995"/>
      <c r="I981" s="197">
        <f t="shared" si="242"/>
        <v>0.02</v>
      </c>
      <c r="J981" s="995"/>
      <c r="K981" s="197">
        <f t="shared" si="243"/>
        <v>1</v>
      </c>
      <c r="L981" s="995"/>
      <c r="M981" s="197">
        <f t="shared" si="244"/>
        <v>1</v>
      </c>
      <c r="N981" s="995"/>
      <c r="O981" s="197">
        <f t="shared" si="245"/>
        <v>1</v>
      </c>
      <c r="P981" s="995"/>
      <c r="Q981" s="197">
        <f t="shared" si="246"/>
        <v>1</v>
      </c>
      <c r="R981" s="991">
        <f t="shared" si="247"/>
        <v>0</v>
      </c>
      <c r="S981" s="552">
        <f t="shared" si="248"/>
        <v>0</v>
      </c>
      <c r="T981" s="2010">
        <f t="shared" si="249"/>
        <v>0</v>
      </c>
      <c r="U981" s="2305">
        <f t="shared" si="250"/>
        <v>0</v>
      </c>
      <c r="V981" s="2305">
        <f t="shared" si="251"/>
        <v>0</v>
      </c>
      <c r="W981" s="2300"/>
      <c r="X981" s="2305">
        <f t="shared" si="252"/>
        <v>0</v>
      </c>
      <c r="Y981" s="2305">
        <f t="shared" si="253"/>
        <v>0</v>
      </c>
      <c r="Z981" s="2300"/>
    </row>
    <row r="982" spans="3:26">
      <c r="C982" s="197">
        <f t="shared" si="239"/>
        <v>1</v>
      </c>
      <c r="D982" s="995"/>
      <c r="E982" s="197">
        <f t="shared" si="240"/>
        <v>0</v>
      </c>
      <c r="F982" s="995"/>
      <c r="G982" s="197">
        <f t="shared" si="241"/>
        <v>0</v>
      </c>
      <c r="H982" s="995"/>
      <c r="I982" s="197">
        <f t="shared" si="242"/>
        <v>0.02</v>
      </c>
      <c r="J982" s="995"/>
      <c r="K982" s="197">
        <f t="shared" si="243"/>
        <v>1</v>
      </c>
      <c r="L982" s="995"/>
      <c r="M982" s="197">
        <f t="shared" si="244"/>
        <v>1</v>
      </c>
      <c r="N982" s="995"/>
      <c r="O982" s="197">
        <f t="shared" si="245"/>
        <v>1</v>
      </c>
      <c r="P982" s="995"/>
      <c r="Q982" s="197">
        <f t="shared" si="246"/>
        <v>1</v>
      </c>
      <c r="R982" s="991">
        <f t="shared" si="247"/>
        <v>0</v>
      </c>
      <c r="S982" s="552">
        <f t="shared" si="248"/>
        <v>0</v>
      </c>
      <c r="T982" s="2010">
        <f t="shared" si="249"/>
        <v>0</v>
      </c>
      <c r="U982" s="2305">
        <f t="shared" si="250"/>
        <v>0</v>
      </c>
      <c r="V982" s="2305">
        <f t="shared" si="251"/>
        <v>0</v>
      </c>
      <c r="W982" s="2300"/>
      <c r="X982" s="2305">
        <f t="shared" si="252"/>
        <v>0</v>
      </c>
      <c r="Y982" s="2305">
        <f t="shared" si="253"/>
        <v>0</v>
      </c>
      <c r="Z982" s="2300"/>
    </row>
    <row r="983" spans="3:26">
      <c r="C983" s="197">
        <f t="shared" si="239"/>
        <v>1</v>
      </c>
      <c r="D983" s="995"/>
      <c r="E983" s="197">
        <f t="shared" si="240"/>
        <v>0</v>
      </c>
      <c r="F983" s="995"/>
      <c r="G983" s="197">
        <f t="shared" si="241"/>
        <v>0</v>
      </c>
      <c r="H983" s="995"/>
      <c r="I983" s="197">
        <f t="shared" si="242"/>
        <v>0.02</v>
      </c>
      <c r="J983" s="995"/>
      <c r="K983" s="197">
        <f t="shared" si="243"/>
        <v>1</v>
      </c>
      <c r="L983" s="995"/>
      <c r="M983" s="197">
        <f t="shared" si="244"/>
        <v>1</v>
      </c>
      <c r="N983" s="995"/>
      <c r="O983" s="197">
        <f t="shared" si="245"/>
        <v>1</v>
      </c>
      <c r="P983" s="995"/>
      <c r="Q983" s="197">
        <f t="shared" si="246"/>
        <v>1</v>
      </c>
      <c r="R983" s="991">
        <f t="shared" si="247"/>
        <v>0</v>
      </c>
      <c r="S983" s="552">
        <f t="shared" si="248"/>
        <v>0</v>
      </c>
      <c r="T983" s="2010">
        <f t="shared" si="249"/>
        <v>0</v>
      </c>
      <c r="U983" s="2305">
        <f t="shared" si="250"/>
        <v>0</v>
      </c>
      <c r="V983" s="2305">
        <f t="shared" si="251"/>
        <v>0</v>
      </c>
      <c r="W983" s="2300"/>
      <c r="X983" s="2305">
        <f t="shared" si="252"/>
        <v>0</v>
      </c>
      <c r="Y983" s="2305">
        <f t="shared" si="253"/>
        <v>0</v>
      </c>
      <c r="Z983" s="2300"/>
    </row>
    <row r="984" spans="3:26">
      <c r="C984" s="197">
        <f t="shared" si="239"/>
        <v>1</v>
      </c>
      <c r="D984" s="995"/>
      <c r="E984" s="197">
        <f t="shared" si="240"/>
        <v>0</v>
      </c>
      <c r="F984" s="995"/>
      <c r="G984" s="197">
        <f t="shared" si="241"/>
        <v>0</v>
      </c>
      <c r="H984" s="995"/>
      <c r="I984" s="197">
        <f t="shared" si="242"/>
        <v>0.02</v>
      </c>
      <c r="J984" s="995"/>
      <c r="K984" s="197">
        <f t="shared" si="243"/>
        <v>1</v>
      </c>
      <c r="L984" s="995"/>
      <c r="M984" s="197">
        <f t="shared" si="244"/>
        <v>1</v>
      </c>
      <c r="N984" s="995"/>
      <c r="O984" s="197">
        <f t="shared" si="245"/>
        <v>1</v>
      </c>
      <c r="P984" s="995"/>
      <c r="Q984" s="197">
        <f t="shared" si="246"/>
        <v>1</v>
      </c>
      <c r="R984" s="991">
        <f t="shared" si="247"/>
        <v>0</v>
      </c>
      <c r="S984" s="552">
        <f t="shared" si="248"/>
        <v>0</v>
      </c>
      <c r="T984" s="2010">
        <f t="shared" si="249"/>
        <v>0</v>
      </c>
      <c r="U984" s="2305">
        <f t="shared" si="250"/>
        <v>0</v>
      </c>
      <c r="V984" s="2305">
        <f t="shared" si="251"/>
        <v>0</v>
      </c>
      <c r="W984" s="2300"/>
      <c r="X984" s="2305">
        <f t="shared" si="252"/>
        <v>0</v>
      </c>
      <c r="Y984" s="2305">
        <f t="shared" si="253"/>
        <v>0</v>
      </c>
      <c r="Z984" s="2300"/>
    </row>
    <row r="985" spans="3:26">
      <c r="C985" s="197">
        <f t="shared" si="239"/>
        <v>1</v>
      </c>
      <c r="D985" s="995"/>
      <c r="E985" s="197">
        <f t="shared" si="240"/>
        <v>0</v>
      </c>
      <c r="F985" s="995"/>
      <c r="G985" s="197">
        <f t="shared" si="241"/>
        <v>0</v>
      </c>
      <c r="H985" s="995"/>
      <c r="I985" s="197">
        <f t="shared" si="242"/>
        <v>0.02</v>
      </c>
      <c r="J985" s="995"/>
      <c r="K985" s="197">
        <f t="shared" si="243"/>
        <v>1</v>
      </c>
      <c r="L985" s="995"/>
      <c r="M985" s="197">
        <f t="shared" si="244"/>
        <v>1</v>
      </c>
      <c r="N985" s="995"/>
      <c r="O985" s="197">
        <f t="shared" si="245"/>
        <v>1</v>
      </c>
      <c r="P985" s="995"/>
      <c r="Q985" s="197">
        <f t="shared" si="246"/>
        <v>1</v>
      </c>
      <c r="R985" s="991">
        <f t="shared" si="247"/>
        <v>0</v>
      </c>
      <c r="S985" s="552">
        <f t="shared" si="248"/>
        <v>0</v>
      </c>
      <c r="T985" s="2010">
        <f t="shared" si="249"/>
        <v>0</v>
      </c>
      <c r="U985" s="2305">
        <f t="shared" si="250"/>
        <v>0</v>
      </c>
      <c r="V985" s="2305">
        <f t="shared" si="251"/>
        <v>0</v>
      </c>
      <c r="W985" s="2300"/>
      <c r="X985" s="2305">
        <f t="shared" si="252"/>
        <v>0</v>
      </c>
      <c r="Y985" s="2305">
        <f t="shared" si="253"/>
        <v>0</v>
      </c>
      <c r="Z985" s="2300"/>
    </row>
    <row r="986" spans="3:26">
      <c r="C986" s="197">
        <f t="shared" si="239"/>
        <v>1</v>
      </c>
      <c r="D986" s="995"/>
      <c r="E986" s="197">
        <f t="shared" si="240"/>
        <v>0</v>
      </c>
      <c r="F986" s="995"/>
      <c r="G986" s="197">
        <f t="shared" si="241"/>
        <v>0</v>
      </c>
      <c r="H986" s="995"/>
      <c r="I986" s="197">
        <f t="shared" si="242"/>
        <v>0.02</v>
      </c>
      <c r="J986" s="995"/>
      <c r="K986" s="197">
        <f t="shared" si="243"/>
        <v>1</v>
      </c>
      <c r="L986" s="995"/>
      <c r="M986" s="197">
        <f t="shared" si="244"/>
        <v>1</v>
      </c>
      <c r="N986" s="995"/>
      <c r="O986" s="197">
        <f t="shared" si="245"/>
        <v>1</v>
      </c>
      <c r="P986" s="995"/>
      <c r="Q986" s="197">
        <f t="shared" si="246"/>
        <v>1</v>
      </c>
      <c r="R986" s="991">
        <f t="shared" si="247"/>
        <v>0</v>
      </c>
      <c r="S986" s="552">
        <f t="shared" si="248"/>
        <v>0</v>
      </c>
      <c r="T986" s="2010">
        <f t="shared" si="249"/>
        <v>0</v>
      </c>
      <c r="U986" s="2305">
        <f t="shared" si="250"/>
        <v>0</v>
      </c>
      <c r="V986" s="2305">
        <f t="shared" si="251"/>
        <v>0</v>
      </c>
      <c r="W986" s="2300"/>
      <c r="X986" s="2305">
        <f t="shared" si="252"/>
        <v>0</v>
      </c>
      <c r="Y986" s="2305">
        <f t="shared" si="253"/>
        <v>0</v>
      </c>
      <c r="Z986" s="2300"/>
    </row>
    <row r="987" spans="3:26">
      <c r="C987" s="197">
        <f t="shared" si="239"/>
        <v>1</v>
      </c>
      <c r="D987" s="995"/>
      <c r="E987" s="197">
        <f t="shared" si="240"/>
        <v>0</v>
      </c>
      <c r="F987" s="995"/>
      <c r="G987" s="197">
        <f t="shared" si="241"/>
        <v>0</v>
      </c>
      <c r="H987" s="995"/>
      <c r="I987" s="197">
        <f t="shared" si="242"/>
        <v>0.02</v>
      </c>
      <c r="J987" s="995"/>
      <c r="K987" s="197">
        <f t="shared" si="243"/>
        <v>1</v>
      </c>
      <c r="L987" s="995"/>
      <c r="M987" s="197">
        <f t="shared" si="244"/>
        <v>1</v>
      </c>
      <c r="N987" s="995"/>
      <c r="O987" s="197">
        <f t="shared" si="245"/>
        <v>1</v>
      </c>
      <c r="P987" s="995"/>
      <c r="Q987" s="197">
        <f t="shared" si="246"/>
        <v>1</v>
      </c>
      <c r="R987" s="991">
        <f t="shared" si="247"/>
        <v>0</v>
      </c>
      <c r="S987" s="552">
        <f t="shared" si="248"/>
        <v>0</v>
      </c>
      <c r="T987" s="2010">
        <f t="shared" si="249"/>
        <v>0</v>
      </c>
      <c r="U987" s="2305">
        <f t="shared" si="250"/>
        <v>0</v>
      </c>
      <c r="V987" s="2305">
        <f t="shared" si="251"/>
        <v>0</v>
      </c>
      <c r="W987" s="2300"/>
      <c r="X987" s="2305">
        <f t="shared" si="252"/>
        <v>0</v>
      </c>
      <c r="Y987" s="2305">
        <f t="shared" si="253"/>
        <v>0</v>
      </c>
      <c r="Z987" s="2300"/>
    </row>
    <row r="988" spans="3:26">
      <c r="C988" s="197">
        <f t="shared" si="239"/>
        <v>1</v>
      </c>
      <c r="D988" s="995"/>
      <c r="E988" s="197">
        <f t="shared" si="240"/>
        <v>0</v>
      </c>
      <c r="F988" s="995"/>
      <c r="G988" s="197">
        <f t="shared" si="241"/>
        <v>0</v>
      </c>
      <c r="H988" s="995"/>
      <c r="I988" s="197">
        <f t="shared" si="242"/>
        <v>0.02</v>
      </c>
      <c r="J988" s="995"/>
      <c r="K988" s="197">
        <f t="shared" si="243"/>
        <v>1</v>
      </c>
      <c r="L988" s="995"/>
      <c r="M988" s="197">
        <f t="shared" si="244"/>
        <v>1</v>
      </c>
      <c r="N988" s="995"/>
      <c r="O988" s="197">
        <f t="shared" si="245"/>
        <v>1</v>
      </c>
      <c r="P988" s="995"/>
      <c r="Q988" s="197">
        <f t="shared" si="246"/>
        <v>1</v>
      </c>
      <c r="R988" s="991">
        <f t="shared" si="247"/>
        <v>0</v>
      </c>
      <c r="S988" s="552">
        <f t="shared" si="248"/>
        <v>0</v>
      </c>
      <c r="T988" s="2010">
        <f t="shared" si="249"/>
        <v>0</v>
      </c>
      <c r="U988" s="2305">
        <f t="shared" si="250"/>
        <v>0</v>
      </c>
      <c r="V988" s="2305">
        <f t="shared" si="251"/>
        <v>0</v>
      </c>
      <c r="W988" s="2300"/>
      <c r="X988" s="2305">
        <f t="shared" si="252"/>
        <v>0</v>
      </c>
      <c r="Y988" s="2305">
        <f t="shared" si="253"/>
        <v>0</v>
      </c>
      <c r="Z988" s="2300"/>
    </row>
    <row r="989" spans="3:26">
      <c r="C989" s="197">
        <f t="shared" si="239"/>
        <v>1</v>
      </c>
      <c r="D989" s="995"/>
      <c r="E989" s="197">
        <f t="shared" si="240"/>
        <v>0</v>
      </c>
      <c r="F989" s="995"/>
      <c r="G989" s="197">
        <f t="shared" si="241"/>
        <v>0</v>
      </c>
      <c r="H989" s="995"/>
      <c r="I989" s="197">
        <f t="shared" si="242"/>
        <v>0.02</v>
      </c>
      <c r="J989" s="995"/>
      <c r="K989" s="197">
        <f t="shared" si="243"/>
        <v>1</v>
      </c>
      <c r="L989" s="995"/>
      <c r="M989" s="197">
        <f t="shared" si="244"/>
        <v>1</v>
      </c>
      <c r="N989" s="995"/>
      <c r="O989" s="197">
        <f t="shared" si="245"/>
        <v>1</v>
      </c>
      <c r="P989" s="995"/>
      <c r="Q989" s="197">
        <f t="shared" si="246"/>
        <v>1</v>
      </c>
      <c r="R989" s="991">
        <f t="shared" si="247"/>
        <v>0</v>
      </c>
      <c r="S989" s="552">
        <f t="shared" si="248"/>
        <v>0</v>
      </c>
      <c r="T989" s="2010">
        <f t="shared" si="249"/>
        <v>0</v>
      </c>
      <c r="U989" s="2305">
        <f t="shared" si="250"/>
        <v>0</v>
      </c>
      <c r="V989" s="2305">
        <f t="shared" si="251"/>
        <v>0</v>
      </c>
      <c r="W989" s="2300"/>
      <c r="X989" s="2305">
        <f t="shared" si="252"/>
        <v>0</v>
      </c>
      <c r="Y989" s="2305">
        <f t="shared" si="253"/>
        <v>0</v>
      </c>
      <c r="Z989" s="2300"/>
    </row>
    <row r="990" spans="3:26">
      <c r="C990" s="197">
        <f t="shared" si="239"/>
        <v>1</v>
      </c>
      <c r="D990" s="995"/>
      <c r="E990" s="197">
        <f t="shared" si="240"/>
        <v>0</v>
      </c>
      <c r="F990" s="995"/>
      <c r="G990" s="197">
        <f t="shared" si="241"/>
        <v>0</v>
      </c>
      <c r="H990" s="995"/>
      <c r="I990" s="197">
        <f t="shared" si="242"/>
        <v>0.02</v>
      </c>
      <c r="J990" s="995"/>
      <c r="K990" s="197">
        <f t="shared" si="243"/>
        <v>1</v>
      </c>
      <c r="L990" s="995"/>
      <c r="M990" s="197">
        <f t="shared" si="244"/>
        <v>1</v>
      </c>
      <c r="N990" s="995"/>
      <c r="O990" s="197">
        <f t="shared" si="245"/>
        <v>1</v>
      </c>
      <c r="P990" s="995"/>
      <c r="Q990" s="197">
        <f t="shared" si="246"/>
        <v>1</v>
      </c>
      <c r="R990" s="991">
        <f t="shared" si="247"/>
        <v>0</v>
      </c>
      <c r="S990" s="552">
        <f t="shared" si="248"/>
        <v>0</v>
      </c>
      <c r="T990" s="2010">
        <f t="shared" si="249"/>
        <v>0</v>
      </c>
      <c r="U990" s="2305">
        <f t="shared" si="250"/>
        <v>0</v>
      </c>
      <c r="V990" s="2305">
        <f t="shared" si="251"/>
        <v>0</v>
      </c>
      <c r="W990" s="2300"/>
      <c r="X990" s="2305">
        <f t="shared" si="252"/>
        <v>0</v>
      </c>
      <c r="Y990" s="2305">
        <f t="shared" si="253"/>
        <v>0</v>
      </c>
      <c r="Z990" s="2300"/>
    </row>
    <row r="991" spans="3:26">
      <c r="C991" s="197">
        <f t="shared" si="239"/>
        <v>1</v>
      </c>
      <c r="D991" s="995"/>
      <c r="E991" s="197">
        <f t="shared" si="240"/>
        <v>0</v>
      </c>
      <c r="F991" s="995"/>
      <c r="G991" s="197">
        <f t="shared" si="241"/>
        <v>0</v>
      </c>
      <c r="H991" s="995"/>
      <c r="I991" s="197">
        <f t="shared" si="242"/>
        <v>0.02</v>
      </c>
      <c r="J991" s="995"/>
      <c r="K991" s="197">
        <f t="shared" si="243"/>
        <v>1</v>
      </c>
      <c r="L991" s="995"/>
      <c r="M991" s="197">
        <f t="shared" si="244"/>
        <v>1</v>
      </c>
      <c r="N991" s="995"/>
      <c r="O991" s="197">
        <f t="shared" si="245"/>
        <v>1</v>
      </c>
      <c r="P991" s="995"/>
      <c r="Q991" s="197">
        <f t="shared" si="246"/>
        <v>1</v>
      </c>
      <c r="R991" s="991">
        <f t="shared" si="247"/>
        <v>0</v>
      </c>
      <c r="S991" s="552">
        <f t="shared" si="248"/>
        <v>0</v>
      </c>
      <c r="T991" s="2010">
        <f t="shared" si="249"/>
        <v>0</v>
      </c>
      <c r="U991" s="2305">
        <f t="shared" si="250"/>
        <v>0</v>
      </c>
      <c r="V991" s="2305">
        <f t="shared" si="251"/>
        <v>0</v>
      </c>
      <c r="W991" s="2300"/>
      <c r="X991" s="2305">
        <f t="shared" si="252"/>
        <v>0</v>
      </c>
      <c r="Y991" s="2305">
        <f t="shared" si="253"/>
        <v>0</v>
      </c>
      <c r="Z991" s="2300"/>
    </row>
    <row r="992" spans="3:26">
      <c r="C992" s="197">
        <f t="shared" si="239"/>
        <v>1</v>
      </c>
      <c r="D992" s="995"/>
      <c r="E992" s="197">
        <f t="shared" si="240"/>
        <v>0</v>
      </c>
      <c r="F992" s="995"/>
      <c r="G992" s="197">
        <f t="shared" si="241"/>
        <v>0</v>
      </c>
      <c r="H992" s="995"/>
      <c r="I992" s="197">
        <f t="shared" si="242"/>
        <v>0.02</v>
      </c>
      <c r="J992" s="995"/>
      <c r="K992" s="197">
        <f t="shared" si="243"/>
        <v>1</v>
      </c>
      <c r="L992" s="995"/>
      <c r="M992" s="197">
        <f t="shared" si="244"/>
        <v>1</v>
      </c>
      <c r="N992" s="995"/>
      <c r="O992" s="197">
        <f t="shared" si="245"/>
        <v>1</v>
      </c>
      <c r="P992" s="995"/>
      <c r="Q992" s="197">
        <f t="shared" si="246"/>
        <v>1</v>
      </c>
      <c r="R992" s="991">
        <f t="shared" si="247"/>
        <v>0</v>
      </c>
      <c r="S992" s="552">
        <f t="shared" si="248"/>
        <v>0</v>
      </c>
      <c r="T992" s="2010">
        <f t="shared" si="249"/>
        <v>0</v>
      </c>
      <c r="U992" s="2305">
        <f t="shared" si="250"/>
        <v>0</v>
      </c>
      <c r="V992" s="2305">
        <f t="shared" si="251"/>
        <v>0</v>
      </c>
      <c r="W992" s="2300"/>
      <c r="X992" s="2305">
        <f t="shared" si="252"/>
        <v>0</v>
      </c>
      <c r="Y992" s="2305">
        <f t="shared" si="253"/>
        <v>0</v>
      </c>
      <c r="Z992" s="2300"/>
    </row>
    <row r="993" spans="3:26">
      <c r="C993" s="197">
        <f t="shared" si="239"/>
        <v>1</v>
      </c>
      <c r="D993" s="995"/>
      <c r="E993" s="197">
        <f t="shared" si="240"/>
        <v>0</v>
      </c>
      <c r="F993" s="995"/>
      <c r="G993" s="197">
        <f t="shared" si="241"/>
        <v>0</v>
      </c>
      <c r="H993" s="995"/>
      <c r="I993" s="197">
        <f t="shared" si="242"/>
        <v>0.02</v>
      </c>
      <c r="J993" s="995"/>
      <c r="K993" s="197">
        <f t="shared" si="243"/>
        <v>1</v>
      </c>
      <c r="L993" s="995"/>
      <c r="M993" s="197">
        <f t="shared" si="244"/>
        <v>1</v>
      </c>
      <c r="N993" s="995"/>
      <c r="O993" s="197">
        <f t="shared" si="245"/>
        <v>1</v>
      </c>
      <c r="P993" s="995"/>
      <c r="Q993" s="197">
        <f t="shared" si="246"/>
        <v>1</v>
      </c>
      <c r="R993" s="991">
        <f t="shared" si="247"/>
        <v>0</v>
      </c>
      <c r="S993" s="552">
        <f t="shared" si="248"/>
        <v>0</v>
      </c>
      <c r="T993" s="2010">
        <f t="shared" si="249"/>
        <v>0</v>
      </c>
      <c r="U993" s="2305">
        <f t="shared" si="250"/>
        <v>0</v>
      </c>
      <c r="V993" s="2305">
        <f t="shared" si="251"/>
        <v>0</v>
      </c>
      <c r="W993" s="2300"/>
      <c r="X993" s="2305">
        <f t="shared" si="252"/>
        <v>0</v>
      </c>
      <c r="Y993" s="2305">
        <f t="shared" si="253"/>
        <v>0</v>
      </c>
      <c r="Z993" s="2300"/>
    </row>
    <row r="994" spans="3:26">
      <c r="C994" s="197">
        <f t="shared" si="239"/>
        <v>1</v>
      </c>
      <c r="D994" s="995"/>
      <c r="E994" s="197">
        <f t="shared" si="240"/>
        <v>0</v>
      </c>
      <c r="F994" s="995"/>
      <c r="G994" s="197">
        <f t="shared" si="241"/>
        <v>0</v>
      </c>
      <c r="H994" s="995"/>
      <c r="I994" s="197">
        <f t="shared" si="242"/>
        <v>0.02</v>
      </c>
      <c r="J994" s="995"/>
      <c r="K994" s="197">
        <f t="shared" si="243"/>
        <v>1</v>
      </c>
      <c r="L994" s="995"/>
      <c r="M994" s="197">
        <f t="shared" si="244"/>
        <v>1</v>
      </c>
      <c r="N994" s="995"/>
      <c r="O994" s="197">
        <f t="shared" si="245"/>
        <v>1</v>
      </c>
      <c r="P994" s="995"/>
      <c r="Q994" s="197">
        <f t="shared" si="246"/>
        <v>1</v>
      </c>
      <c r="R994" s="991">
        <f t="shared" si="247"/>
        <v>0</v>
      </c>
      <c r="S994" s="552">
        <f t="shared" si="248"/>
        <v>0</v>
      </c>
      <c r="T994" s="2010">
        <f t="shared" si="249"/>
        <v>0</v>
      </c>
      <c r="U994" s="2305">
        <f t="shared" si="250"/>
        <v>0</v>
      </c>
      <c r="V994" s="2305">
        <f t="shared" si="251"/>
        <v>0</v>
      </c>
      <c r="W994" s="2300"/>
      <c r="X994" s="2305">
        <f t="shared" si="252"/>
        <v>0</v>
      </c>
      <c r="Y994" s="2305">
        <f t="shared" si="253"/>
        <v>0</v>
      </c>
      <c r="Z994" s="2300"/>
    </row>
    <row r="995" spans="3:26">
      <c r="C995" s="197">
        <f t="shared" si="239"/>
        <v>1</v>
      </c>
      <c r="D995" s="995"/>
      <c r="E995" s="197">
        <f t="shared" si="240"/>
        <v>0</v>
      </c>
      <c r="F995" s="995"/>
      <c r="G995" s="197">
        <f t="shared" si="241"/>
        <v>0</v>
      </c>
      <c r="H995" s="995"/>
      <c r="I995" s="197">
        <f t="shared" si="242"/>
        <v>0.02</v>
      </c>
      <c r="J995" s="995"/>
      <c r="K995" s="197">
        <f t="shared" si="243"/>
        <v>1</v>
      </c>
      <c r="L995" s="995"/>
      <c r="M995" s="197">
        <f t="shared" si="244"/>
        <v>1</v>
      </c>
      <c r="N995" s="995"/>
      <c r="O995" s="197">
        <f t="shared" si="245"/>
        <v>1</v>
      </c>
      <c r="P995" s="995"/>
      <c r="Q995" s="197">
        <f t="shared" si="246"/>
        <v>1</v>
      </c>
      <c r="R995" s="991">
        <f t="shared" si="247"/>
        <v>0</v>
      </c>
      <c r="S995" s="552">
        <f t="shared" si="248"/>
        <v>0</v>
      </c>
      <c r="T995" s="2010">
        <f t="shared" si="249"/>
        <v>0</v>
      </c>
      <c r="U995" s="2305">
        <f t="shared" si="250"/>
        <v>0</v>
      </c>
      <c r="V995" s="2305">
        <f t="shared" si="251"/>
        <v>0</v>
      </c>
      <c r="W995" s="2300"/>
      <c r="X995" s="2305">
        <f t="shared" si="252"/>
        <v>0</v>
      </c>
      <c r="Y995" s="2305">
        <f t="shared" si="253"/>
        <v>0</v>
      </c>
      <c r="Z995" s="2300"/>
    </row>
    <row r="996" spans="3:26">
      <c r="C996" s="197">
        <f t="shared" si="239"/>
        <v>1</v>
      </c>
      <c r="D996" s="995"/>
      <c r="E996" s="197">
        <f t="shared" si="240"/>
        <v>0</v>
      </c>
      <c r="F996" s="995"/>
      <c r="G996" s="197">
        <f t="shared" si="241"/>
        <v>0</v>
      </c>
      <c r="H996" s="995"/>
      <c r="I996" s="197">
        <f t="shared" si="242"/>
        <v>0.02</v>
      </c>
      <c r="J996" s="995"/>
      <c r="K996" s="197">
        <f t="shared" si="243"/>
        <v>1</v>
      </c>
      <c r="L996" s="995"/>
      <c r="M996" s="197">
        <f t="shared" si="244"/>
        <v>1</v>
      </c>
      <c r="N996" s="995"/>
      <c r="O996" s="197">
        <f t="shared" si="245"/>
        <v>1</v>
      </c>
      <c r="P996" s="995"/>
      <c r="Q996" s="197">
        <f t="shared" si="246"/>
        <v>1</v>
      </c>
      <c r="R996" s="991">
        <f t="shared" si="247"/>
        <v>0</v>
      </c>
      <c r="S996" s="552">
        <f t="shared" si="248"/>
        <v>0</v>
      </c>
      <c r="T996" s="2010">
        <f t="shared" si="249"/>
        <v>0</v>
      </c>
      <c r="U996" s="2305">
        <f t="shared" si="250"/>
        <v>0</v>
      </c>
      <c r="V996" s="2305">
        <f t="shared" si="251"/>
        <v>0</v>
      </c>
      <c r="W996" s="2300"/>
      <c r="X996" s="2305">
        <f t="shared" si="252"/>
        <v>0</v>
      </c>
      <c r="Y996" s="2305">
        <f t="shared" si="253"/>
        <v>0</v>
      </c>
      <c r="Z996" s="2300"/>
    </row>
    <row r="997" spans="3:26">
      <c r="C997" s="197">
        <f t="shared" si="239"/>
        <v>1</v>
      </c>
      <c r="D997" s="995"/>
      <c r="E997" s="197">
        <f t="shared" si="240"/>
        <v>0</v>
      </c>
      <c r="F997" s="995"/>
      <c r="G997" s="197">
        <f t="shared" si="241"/>
        <v>0</v>
      </c>
      <c r="H997" s="995"/>
      <c r="I997" s="197">
        <f t="shared" si="242"/>
        <v>0.02</v>
      </c>
      <c r="J997" s="995"/>
      <c r="K997" s="197">
        <f t="shared" si="243"/>
        <v>1</v>
      </c>
      <c r="L997" s="995"/>
      <c r="M997" s="197">
        <f t="shared" si="244"/>
        <v>1</v>
      </c>
      <c r="N997" s="995"/>
      <c r="O997" s="197">
        <f t="shared" si="245"/>
        <v>1</v>
      </c>
      <c r="P997" s="995"/>
      <c r="Q997" s="197">
        <f t="shared" si="246"/>
        <v>1</v>
      </c>
      <c r="R997" s="991">
        <f t="shared" si="247"/>
        <v>0</v>
      </c>
      <c r="S997" s="552">
        <f t="shared" si="248"/>
        <v>0</v>
      </c>
      <c r="T997" s="2010">
        <f t="shared" si="249"/>
        <v>0</v>
      </c>
      <c r="U997" s="2305">
        <f t="shared" si="250"/>
        <v>0</v>
      </c>
      <c r="V997" s="2305">
        <f t="shared" si="251"/>
        <v>0</v>
      </c>
      <c r="W997" s="2300"/>
      <c r="X997" s="2305">
        <f t="shared" si="252"/>
        <v>0</v>
      </c>
      <c r="Y997" s="2305">
        <f t="shared" si="253"/>
        <v>0</v>
      </c>
      <c r="Z997" s="2300"/>
    </row>
    <row r="998" spans="3:26">
      <c r="C998" s="197">
        <f t="shared" si="239"/>
        <v>1</v>
      </c>
      <c r="D998" s="995"/>
      <c r="E998" s="197">
        <f t="shared" si="240"/>
        <v>0</v>
      </c>
      <c r="F998" s="995"/>
      <c r="G998" s="197">
        <f t="shared" si="241"/>
        <v>0</v>
      </c>
      <c r="H998" s="995"/>
      <c r="I998" s="197">
        <f t="shared" si="242"/>
        <v>0.02</v>
      </c>
      <c r="J998" s="995"/>
      <c r="K998" s="197">
        <f t="shared" si="243"/>
        <v>1</v>
      </c>
      <c r="L998" s="995"/>
      <c r="M998" s="197">
        <f t="shared" si="244"/>
        <v>1</v>
      </c>
      <c r="N998" s="995"/>
      <c r="O998" s="197">
        <f t="shared" si="245"/>
        <v>1</v>
      </c>
      <c r="P998" s="995"/>
      <c r="Q998" s="197">
        <f t="shared" si="246"/>
        <v>1</v>
      </c>
      <c r="R998" s="991">
        <f t="shared" si="247"/>
        <v>0</v>
      </c>
      <c r="S998" s="552">
        <f t="shared" si="248"/>
        <v>0</v>
      </c>
      <c r="T998" s="2010">
        <f t="shared" si="249"/>
        <v>0</v>
      </c>
      <c r="U998" s="2305">
        <f t="shared" si="250"/>
        <v>0</v>
      </c>
      <c r="V998" s="2305">
        <f t="shared" si="251"/>
        <v>0</v>
      </c>
      <c r="W998" s="2300"/>
      <c r="X998" s="2305">
        <f t="shared" si="252"/>
        <v>0</v>
      </c>
      <c r="Y998" s="2305">
        <f t="shared" si="253"/>
        <v>0</v>
      </c>
      <c r="Z998" s="2300"/>
    </row>
    <row r="999" spans="3:26">
      <c r="C999" s="197">
        <f t="shared" si="239"/>
        <v>1</v>
      </c>
      <c r="D999" s="995"/>
      <c r="E999" s="197">
        <f t="shared" si="240"/>
        <v>0</v>
      </c>
      <c r="F999" s="995"/>
      <c r="G999" s="197">
        <f t="shared" si="241"/>
        <v>0</v>
      </c>
      <c r="H999" s="995"/>
      <c r="I999" s="197">
        <f t="shared" si="242"/>
        <v>0.02</v>
      </c>
      <c r="J999" s="995"/>
      <c r="K999" s="197">
        <f t="shared" si="243"/>
        <v>1</v>
      </c>
      <c r="L999" s="995"/>
      <c r="M999" s="197">
        <f t="shared" si="244"/>
        <v>1</v>
      </c>
      <c r="N999" s="995"/>
      <c r="O999" s="197">
        <f t="shared" si="245"/>
        <v>1</v>
      </c>
      <c r="P999" s="995"/>
      <c r="Q999" s="197">
        <f t="shared" si="246"/>
        <v>1</v>
      </c>
      <c r="R999" s="991">
        <f t="shared" si="247"/>
        <v>0</v>
      </c>
      <c r="S999" s="552">
        <f t="shared" si="248"/>
        <v>0</v>
      </c>
      <c r="T999" s="2010">
        <f t="shared" si="249"/>
        <v>0</v>
      </c>
      <c r="U999" s="2305">
        <f t="shared" si="250"/>
        <v>0</v>
      </c>
      <c r="V999" s="2305">
        <f t="shared" si="251"/>
        <v>0</v>
      </c>
      <c r="W999" s="2300"/>
      <c r="X999" s="2305">
        <f t="shared" si="252"/>
        <v>0</v>
      </c>
      <c r="Y999" s="2305">
        <f t="shared" si="253"/>
        <v>0</v>
      </c>
      <c r="Z999" s="2300"/>
    </row>
    <row r="1000" spans="3:26">
      <c r="C1000" s="197">
        <f t="shared" si="239"/>
        <v>1</v>
      </c>
      <c r="D1000" s="995"/>
      <c r="E1000" s="197">
        <f t="shared" si="240"/>
        <v>0</v>
      </c>
      <c r="F1000" s="995"/>
      <c r="G1000" s="197">
        <f t="shared" si="241"/>
        <v>0</v>
      </c>
      <c r="H1000" s="995"/>
      <c r="I1000" s="197">
        <f t="shared" si="242"/>
        <v>0.02</v>
      </c>
      <c r="J1000" s="995"/>
      <c r="K1000" s="197">
        <f t="shared" si="243"/>
        <v>1</v>
      </c>
      <c r="L1000" s="995"/>
      <c r="M1000" s="197">
        <f t="shared" si="244"/>
        <v>1</v>
      </c>
      <c r="N1000" s="995"/>
      <c r="O1000" s="197">
        <f t="shared" si="245"/>
        <v>1</v>
      </c>
      <c r="P1000" s="995"/>
      <c r="Q1000" s="197">
        <f t="shared" si="246"/>
        <v>1</v>
      </c>
      <c r="R1000" s="991">
        <f t="shared" si="247"/>
        <v>0</v>
      </c>
      <c r="S1000" s="552">
        <f t="shared" si="248"/>
        <v>0</v>
      </c>
      <c r="T1000" s="2010">
        <f t="shared" si="249"/>
        <v>0</v>
      </c>
      <c r="U1000" s="2305">
        <f t="shared" si="250"/>
        <v>0</v>
      </c>
      <c r="V1000" s="2305">
        <f t="shared" si="251"/>
        <v>0</v>
      </c>
      <c r="W1000" s="2300"/>
      <c r="X1000" s="2305">
        <f t="shared" si="252"/>
        <v>0</v>
      </c>
      <c r="Y1000" s="2305">
        <f t="shared" si="253"/>
        <v>0</v>
      </c>
      <c r="Z1000" s="2300"/>
    </row>
    <row r="1001" spans="3:26">
      <c r="C1001" s="197">
        <f t="shared" si="239"/>
        <v>1</v>
      </c>
      <c r="D1001" s="995"/>
      <c r="E1001" s="197">
        <f t="shared" si="240"/>
        <v>0</v>
      </c>
      <c r="F1001" s="995"/>
      <c r="G1001" s="197">
        <f t="shared" si="241"/>
        <v>0</v>
      </c>
      <c r="H1001" s="995"/>
      <c r="I1001" s="197">
        <f t="shared" si="242"/>
        <v>0.02</v>
      </c>
      <c r="J1001" s="995"/>
      <c r="K1001" s="197">
        <f t="shared" si="243"/>
        <v>1</v>
      </c>
      <c r="L1001" s="995"/>
      <c r="M1001" s="197">
        <f t="shared" si="244"/>
        <v>1</v>
      </c>
      <c r="N1001" s="995"/>
      <c r="O1001" s="197">
        <f t="shared" si="245"/>
        <v>1</v>
      </c>
      <c r="P1001" s="995"/>
      <c r="Q1001" s="197">
        <f t="shared" si="246"/>
        <v>1</v>
      </c>
      <c r="R1001" s="991">
        <f t="shared" si="247"/>
        <v>0</v>
      </c>
      <c r="S1001" s="552">
        <f t="shared" si="248"/>
        <v>0</v>
      </c>
      <c r="T1001" s="2010">
        <f t="shared" si="249"/>
        <v>0</v>
      </c>
      <c r="U1001" s="2305">
        <f t="shared" si="250"/>
        <v>0</v>
      </c>
      <c r="V1001" s="2305">
        <f t="shared" si="251"/>
        <v>0</v>
      </c>
      <c r="W1001" s="2300"/>
      <c r="X1001" s="2305">
        <f t="shared" si="252"/>
        <v>0</v>
      </c>
      <c r="Y1001" s="2305">
        <f t="shared" si="253"/>
        <v>0</v>
      </c>
      <c r="Z1001" s="2300"/>
    </row>
    <row r="1002" spans="3:26">
      <c r="C1002" s="197">
        <f t="shared" si="239"/>
        <v>1</v>
      </c>
      <c r="D1002" s="995"/>
      <c r="E1002" s="197">
        <f t="shared" si="240"/>
        <v>0</v>
      </c>
      <c r="F1002" s="995"/>
      <c r="G1002" s="197">
        <f t="shared" si="241"/>
        <v>0</v>
      </c>
      <c r="H1002" s="995"/>
      <c r="I1002" s="197">
        <f t="shared" si="242"/>
        <v>0.02</v>
      </c>
      <c r="J1002" s="995"/>
      <c r="K1002" s="197">
        <f t="shared" si="243"/>
        <v>1</v>
      </c>
      <c r="L1002" s="995"/>
      <c r="M1002" s="197">
        <f t="shared" si="244"/>
        <v>1</v>
      </c>
      <c r="N1002" s="995"/>
      <c r="O1002" s="197">
        <f t="shared" si="245"/>
        <v>1</v>
      </c>
      <c r="P1002" s="995"/>
      <c r="Q1002" s="197">
        <f t="shared" si="246"/>
        <v>1</v>
      </c>
      <c r="R1002" s="991">
        <f t="shared" si="247"/>
        <v>0</v>
      </c>
      <c r="S1002" s="552">
        <f t="shared" si="248"/>
        <v>0</v>
      </c>
      <c r="T1002" s="2010">
        <f t="shared" si="249"/>
        <v>0</v>
      </c>
      <c r="U1002" s="2305">
        <f t="shared" si="250"/>
        <v>0</v>
      </c>
      <c r="V1002" s="2305">
        <f t="shared" si="251"/>
        <v>0</v>
      </c>
      <c r="W1002" s="2300"/>
      <c r="X1002" s="2305">
        <f t="shared" si="252"/>
        <v>0</v>
      </c>
      <c r="Y1002" s="2305">
        <f t="shared" si="253"/>
        <v>0</v>
      </c>
      <c r="Z1002" s="2300"/>
    </row>
    <row r="1003" spans="3:26">
      <c r="C1003" s="197">
        <f t="shared" si="239"/>
        <v>1</v>
      </c>
      <c r="D1003" s="995"/>
      <c r="E1003" s="197">
        <f t="shared" si="240"/>
        <v>0</v>
      </c>
      <c r="F1003" s="995"/>
      <c r="G1003" s="197">
        <f t="shared" si="241"/>
        <v>0</v>
      </c>
      <c r="H1003" s="995"/>
      <c r="I1003" s="197">
        <f t="shared" si="242"/>
        <v>0.02</v>
      </c>
      <c r="J1003" s="995"/>
      <c r="K1003" s="197">
        <f t="shared" si="243"/>
        <v>1</v>
      </c>
      <c r="L1003" s="995"/>
      <c r="M1003" s="197">
        <f t="shared" si="244"/>
        <v>1</v>
      </c>
      <c r="N1003" s="995"/>
      <c r="O1003" s="197">
        <f t="shared" si="245"/>
        <v>1</v>
      </c>
      <c r="P1003" s="995"/>
      <c r="Q1003" s="197">
        <f t="shared" si="246"/>
        <v>1</v>
      </c>
      <c r="R1003" s="991">
        <f t="shared" si="247"/>
        <v>0</v>
      </c>
      <c r="S1003" s="552">
        <f t="shared" si="248"/>
        <v>0</v>
      </c>
      <c r="T1003" s="2010">
        <f t="shared" si="249"/>
        <v>0</v>
      </c>
      <c r="U1003" s="2305">
        <f t="shared" si="250"/>
        <v>0</v>
      </c>
      <c r="V1003" s="2305">
        <f t="shared" si="251"/>
        <v>0</v>
      </c>
      <c r="W1003" s="2300"/>
      <c r="X1003" s="2305">
        <f t="shared" si="252"/>
        <v>0</v>
      </c>
      <c r="Y1003" s="2305">
        <f t="shared" si="253"/>
        <v>0</v>
      </c>
      <c r="Z1003" s="2300"/>
    </row>
    <row r="1004" spans="3:26">
      <c r="C1004" s="197">
        <f t="shared" si="239"/>
        <v>1</v>
      </c>
      <c r="D1004" s="995"/>
      <c r="E1004" s="197">
        <f t="shared" si="240"/>
        <v>0</v>
      </c>
      <c r="F1004" s="995"/>
      <c r="G1004" s="197">
        <f t="shared" si="241"/>
        <v>0</v>
      </c>
      <c r="H1004" s="995"/>
      <c r="I1004" s="197">
        <f t="shared" si="242"/>
        <v>0.02</v>
      </c>
      <c r="J1004" s="995"/>
      <c r="K1004" s="197">
        <f t="shared" si="243"/>
        <v>1</v>
      </c>
      <c r="L1004" s="995"/>
      <c r="M1004" s="197">
        <f t="shared" si="244"/>
        <v>1</v>
      </c>
      <c r="N1004" s="995"/>
      <c r="O1004" s="197">
        <f t="shared" si="245"/>
        <v>1</v>
      </c>
      <c r="P1004" s="995"/>
      <c r="Q1004" s="197">
        <f t="shared" si="246"/>
        <v>1</v>
      </c>
      <c r="R1004" s="991">
        <f t="shared" si="247"/>
        <v>0</v>
      </c>
      <c r="S1004" s="552">
        <f t="shared" si="248"/>
        <v>0</v>
      </c>
      <c r="T1004" s="2010">
        <f t="shared" si="249"/>
        <v>0</v>
      </c>
      <c r="U1004" s="2305">
        <f t="shared" si="250"/>
        <v>0</v>
      </c>
      <c r="V1004" s="2305">
        <f t="shared" si="251"/>
        <v>0</v>
      </c>
      <c r="W1004" s="2300"/>
      <c r="X1004" s="2305">
        <f t="shared" si="252"/>
        <v>0</v>
      </c>
      <c r="Y1004" s="2305">
        <f t="shared" si="253"/>
        <v>0</v>
      </c>
      <c r="Z1004" s="2300"/>
    </row>
    <row r="1005" spans="3:26">
      <c r="C1005" s="197">
        <f t="shared" si="239"/>
        <v>1</v>
      </c>
      <c r="D1005" s="995"/>
      <c r="E1005" s="197">
        <f t="shared" si="240"/>
        <v>0</v>
      </c>
      <c r="F1005" s="995"/>
      <c r="G1005" s="197">
        <f t="shared" si="241"/>
        <v>0</v>
      </c>
      <c r="H1005" s="995"/>
      <c r="I1005" s="197">
        <f t="shared" si="242"/>
        <v>0.02</v>
      </c>
      <c r="J1005" s="995"/>
      <c r="K1005" s="197">
        <f t="shared" si="243"/>
        <v>1</v>
      </c>
      <c r="L1005" s="995"/>
      <c r="M1005" s="197">
        <f t="shared" si="244"/>
        <v>1</v>
      </c>
      <c r="N1005" s="995"/>
      <c r="O1005" s="197">
        <f t="shared" si="245"/>
        <v>1</v>
      </c>
      <c r="P1005" s="995"/>
      <c r="Q1005" s="197">
        <f t="shared" si="246"/>
        <v>1</v>
      </c>
      <c r="R1005" s="991">
        <f t="shared" si="247"/>
        <v>0</v>
      </c>
      <c r="S1005" s="552">
        <f t="shared" si="248"/>
        <v>0</v>
      </c>
      <c r="T1005" s="2010">
        <f t="shared" si="249"/>
        <v>0</v>
      </c>
      <c r="U1005" s="2305">
        <f t="shared" si="250"/>
        <v>0</v>
      </c>
      <c r="V1005" s="2305">
        <f t="shared" si="251"/>
        <v>0</v>
      </c>
      <c r="W1005" s="2300"/>
      <c r="X1005" s="2305">
        <f t="shared" si="252"/>
        <v>0</v>
      </c>
      <c r="Y1005" s="2305">
        <f t="shared" si="253"/>
        <v>0</v>
      </c>
      <c r="Z1005" s="2300"/>
    </row>
    <row r="1006" spans="3:26">
      <c r="C1006" s="197">
        <f t="shared" si="239"/>
        <v>1</v>
      </c>
      <c r="D1006" s="995"/>
      <c r="E1006" s="197">
        <f t="shared" si="240"/>
        <v>0</v>
      </c>
      <c r="F1006" s="995"/>
      <c r="G1006" s="197">
        <f t="shared" si="241"/>
        <v>0</v>
      </c>
      <c r="H1006" s="995"/>
      <c r="I1006" s="197">
        <f t="shared" si="242"/>
        <v>0.02</v>
      </c>
      <c r="J1006" s="995"/>
      <c r="K1006" s="197">
        <f t="shared" si="243"/>
        <v>1</v>
      </c>
      <c r="L1006" s="995"/>
      <c r="M1006" s="197">
        <f t="shared" si="244"/>
        <v>1</v>
      </c>
      <c r="N1006" s="995"/>
      <c r="O1006" s="197">
        <f t="shared" si="245"/>
        <v>1</v>
      </c>
      <c r="P1006" s="995"/>
      <c r="Q1006" s="197">
        <f t="shared" si="246"/>
        <v>1</v>
      </c>
      <c r="R1006" s="991">
        <f t="shared" si="247"/>
        <v>0</v>
      </c>
      <c r="S1006" s="552">
        <f t="shared" si="248"/>
        <v>0</v>
      </c>
      <c r="T1006" s="2010">
        <f t="shared" si="249"/>
        <v>0</v>
      </c>
      <c r="U1006" s="2305">
        <f t="shared" si="250"/>
        <v>0</v>
      </c>
      <c r="V1006" s="2305">
        <f t="shared" si="251"/>
        <v>0</v>
      </c>
      <c r="W1006" s="2300"/>
      <c r="X1006" s="2305">
        <f t="shared" si="252"/>
        <v>0</v>
      </c>
      <c r="Y1006" s="2305">
        <f t="shared" si="253"/>
        <v>0</v>
      </c>
      <c r="Z1006" s="2300"/>
    </row>
    <row r="1007" spans="3:26">
      <c r="C1007" s="197">
        <f t="shared" si="239"/>
        <v>1</v>
      </c>
      <c r="D1007" s="995"/>
      <c r="E1007" s="197">
        <f t="shared" si="240"/>
        <v>0</v>
      </c>
      <c r="F1007" s="995"/>
      <c r="G1007" s="197">
        <f t="shared" si="241"/>
        <v>0</v>
      </c>
      <c r="H1007" s="995"/>
      <c r="I1007" s="197">
        <f t="shared" si="242"/>
        <v>0.02</v>
      </c>
      <c r="J1007" s="995"/>
      <c r="K1007" s="197">
        <f t="shared" si="243"/>
        <v>1</v>
      </c>
      <c r="L1007" s="995"/>
      <c r="M1007" s="197">
        <f t="shared" si="244"/>
        <v>1</v>
      </c>
      <c r="N1007" s="995"/>
      <c r="O1007" s="197">
        <f t="shared" si="245"/>
        <v>1</v>
      </c>
      <c r="P1007" s="995"/>
      <c r="Q1007" s="197">
        <f t="shared" si="246"/>
        <v>1</v>
      </c>
      <c r="R1007" s="991">
        <f t="shared" si="247"/>
        <v>0</v>
      </c>
      <c r="S1007" s="552">
        <f t="shared" si="248"/>
        <v>0</v>
      </c>
      <c r="T1007" s="2010">
        <f t="shared" si="249"/>
        <v>0</v>
      </c>
      <c r="U1007" s="2305">
        <f t="shared" si="250"/>
        <v>0</v>
      </c>
      <c r="V1007" s="2305">
        <f t="shared" si="251"/>
        <v>0</v>
      </c>
      <c r="W1007" s="2300"/>
      <c r="X1007" s="2305">
        <f t="shared" si="252"/>
        <v>0</v>
      </c>
      <c r="Y1007" s="2305">
        <f t="shared" si="253"/>
        <v>0</v>
      </c>
      <c r="Z1007" s="2300"/>
    </row>
    <row r="1008" spans="3:26">
      <c r="C1008" s="197">
        <f t="shared" si="239"/>
        <v>1</v>
      </c>
      <c r="D1008" s="995"/>
      <c r="E1008" s="197">
        <f t="shared" si="240"/>
        <v>0</v>
      </c>
      <c r="F1008" s="995"/>
      <c r="G1008" s="197">
        <f t="shared" si="241"/>
        <v>0</v>
      </c>
      <c r="H1008" s="995"/>
      <c r="I1008" s="197">
        <f t="shared" si="242"/>
        <v>0.02</v>
      </c>
      <c r="J1008" s="995"/>
      <c r="K1008" s="197">
        <f t="shared" si="243"/>
        <v>1</v>
      </c>
      <c r="L1008" s="995"/>
      <c r="M1008" s="197">
        <f t="shared" si="244"/>
        <v>1</v>
      </c>
      <c r="N1008" s="995"/>
      <c r="O1008" s="197">
        <f t="shared" si="245"/>
        <v>1</v>
      </c>
      <c r="P1008" s="995"/>
      <c r="Q1008" s="197">
        <f t="shared" si="246"/>
        <v>1</v>
      </c>
      <c r="R1008" s="991">
        <f t="shared" si="247"/>
        <v>0</v>
      </c>
      <c r="S1008" s="552">
        <f t="shared" si="248"/>
        <v>0</v>
      </c>
      <c r="T1008" s="2010">
        <f t="shared" si="249"/>
        <v>0</v>
      </c>
      <c r="U1008" s="2305">
        <f t="shared" si="250"/>
        <v>0</v>
      </c>
      <c r="V1008" s="2305">
        <f t="shared" si="251"/>
        <v>0</v>
      </c>
      <c r="W1008" s="2300"/>
      <c r="X1008" s="2305">
        <f t="shared" si="252"/>
        <v>0</v>
      </c>
      <c r="Y1008" s="2305">
        <f t="shared" si="253"/>
        <v>0</v>
      </c>
      <c r="Z1008" s="2300"/>
    </row>
    <row r="1009" spans="3:26">
      <c r="C1009" s="197">
        <f t="shared" si="239"/>
        <v>1</v>
      </c>
      <c r="D1009" s="995"/>
      <c r="E1009" s="197">
        <f t="shared" si="240"/>
        <v>0</v>
      </c>
      <c r="F1009" s="995"/>
      <c r="G1009" s="197">
        <f t="shared" si="241"/>
        <v>0</v>
      </c>
      <c r="H1009" s="995"/>
      <c r="I1009" s="197">
        <f t="shared" si="242"/>
        <v>0.02</v>
      </c>
      <c r="J1009" s="995"/>
      <c r="K1009" s="197">
        <f t="shared" si="243"/>
        <v>1</v>
      </c>
      <c r="L1009" s="995"/>
      <c r="M1009" s="197">
        <f t="shared" si="244"/>
        <v>1</v>
      </c>
      <c r="N1009" s="995"/>
      <c r="O1009" s="197">
        <f t="shared" si="245"/>
        <v>1</v>
      </c>
      <c r="P1009" s="995"/>
      <c r="Q1009" s="197">
        <f t="shared" si="246"/>
        <v>1</v>
      </c>
      <c r="R1009" s="991">
        <f t="shared" si="247"/>
        <v>0</v>
      </c>
      <c r="S1009" s="552">
        <f t="shared" si="248"/>
        <v>0</v>
      </c>
      <c r="T1009" s="2010">
        <f t="shared" si="249"/>
        <v>0</v>
      </c>
      <c r="U1009" s="2305">
        <f t="shared" si="250"/>
        <v>0</v>
      </c>
      <c r="V1009" s="2305">
        <f t="shared" si="251"/>
        <v>0</v>
      </c>
      <c r="W1009" s="2300"/>
      <c r="X1009" s="2305">
        <f t="shared" si="252"/>
        <v>0</v>
      </c>
      <c r="Y1009" s="2305">
        <f t="shared" si="253"/>
        <v>0</v>
      </c>
      <c r="Z1009" s="2300"/>
    </row>
    <row r="1010" spans="3:26">
      <c r="C1010" s="197">
        <f t="shared" si="239"/>
        <v>1</v>
      </c>
      <c r="D1010" s="995"/>
      <c r="E1010" s="197">
        <f t="shared" si="240"/>
        <v>0</v>
      </c>
      <c r="F1010" s="995"/>
      <c r="G1010" s="197">
        <f t="shared" si="241"/>
        <v>0</v>
      </c>
      <c r="H1010" s="995"/>
      <c r="I1010" s="197">
        <f t="shared" si="242"/>
        <v>0.02</v>
      </c>
      <c r="J1010" s="995"/>
      <c r="K1010" s="197">
        <f t="shared" si="243"/>
        <v>1</v>
      </c>
      <c r="L1010" s="995"/>
      <c r="M1010" s="197">
        <f t="shared" si="244"/>
        <v>1</v>
      </c>
      <c r="N1010" s="995"/>
      <c r="O1010" s="197">
        <f t="shared" si="245"/>
        <v>1</v>
      </c>
      <c r="P1010" s="995"/>
      <c r="Q1010" s="197">
        <f t="shared" si="246"/>
        <v>1</v>
      </c>
      <c r="R1010" s="991">
        <f t="shared" si="247"/>
        <v>0</v>
      </c>
      <c r="S1010" s="552">
        <f t="shared" si="248"/>
        <v>0</v>
      </c>
      <c r="T1010" s="2010">
        <f t="shared" si="249"/>
        <v>0</v>
      </c>
      <c r="U1010" s="2305">
        <f t="shared" si="250"/>
        <v>0</v>
      </c>
      <c r="V1010" s="2305">
        <f t="shared" si="251"/>
        <v>0</v>
      </c>
      <c r="W1010" s="2300"/>
      <c r="X1010" s="2305">
        <f t="shared" si="252"/>
        <v>0</v>
      </c>
      <c r="Y1010" s="2305">
        <f t="shared" si="253"/>
        <v>0</v>
      </c>
      <c r="Z1010" s="2300"/>
    </row>
    <row r="1011" spans="3:26">
      <c r="C1011" s="197">
        <f t="shared" si="239"/>
        <v>1</v>
      </c>
      <c r="D1011" s="995"/>
      <c r="E1011" s="197">
        <f t="shared" si="240"/>
        <v>0</v>
      </c>
      <c r="F1011" s="995"/>
      <c r="G1011" s="197">
        <f t="shared" si="241"/>
        <v>0</v>
      </c>
      <c r="H1011" s="995"/>
      <c r="I1011" s="197">
        <f t="shared" si="242"/>
        <v>0.02</v>
      </c>
      <c r="J1011" s="995"/>
      <c r="K1011" s="197">
        <f t="shared" si="243"/>
        <v>1</v>
      </c>
      <c r="L1011" s="995"/>
      <c r="M1011" s="197">
        <f t="shared" si="244"/>
        <v>1</v>
      </c>
      <c r="N1011" s="995"/>
      <c r="O1011" s="197">
        <f t="shared" si="245"/>
        <v>1</v>
      </c>
      <c r="P1011" s="995"/>
      <c r="Q1011" s="197">
        <f t="shared" si="246"/>
        <v>1</v>
      </c>
      <c r="R1011" s="991">
        <f t="shared" si="247"/>
        <v>0</v>
      </c>
      <c r="S1011" s="552">
        <f t="shared" si="248"/>
        <v>0</v>
      </c>
      <c r="T1011" s="2010">
        <f t="shared" si="249"/>
        <v>0</v>
      </c>
      <c r="U1011" s="2305">
        <f t="shared" si="250"/>
        <v>0</v>
      </c>
      <c r="V1011" s="2305">
        <f t="shared" si="251"/>
        <v>0</v>
      </c>
      <c r="W1011" s="2300"/>
      <c r="X1011" s="2305">
        <f t="shared" si="252"/>
        <v>0</v>
      </c>
      <c r="Y1011" s="2305">
        <f t="shared" si="253"/>
        <v>0</v>
      </c>
      <c r="Z1011" s="2300"/>
    </row>
    <row r="1012" spans="3:26">
      <c r="C1012" s="197">
        <f t="shared" si="239"/>
        <v>1</v>
      </c>
      <c r="D1012" s="995"/>
      <c r="E1012" s="197">
        <f t="shared" si="240"/>
        <v>0</v>
      </c>
      <c r="F1012" s="995"/>
      <c r="G1012" s="197">
        <f t="shared" si="241"/>
        <v>0</v>
      </c>
      <c r="H1012" s="995"/>
      <c r="I1012" s="197">
        <f t="shared" si="242"/>
        <v>0.02</v>
      </c>
      <c r="J1012" s="995"/>
      <c r="K1012" s="197">
        <f t="shared" si="243"/>
        <v>1</v>
      </c>
      <c r="L1012" s="995"/>
      <c r="M1012" s="197">
        <f t="shared" si="244"/>
        <v>1</v>
      </c>
      <c r="N1012" s="995"/>
      <c r="O1012" s="197">
        <f t="shared" si="245"/>
        <v>1</v>
      </c>
      <c r="P1012" s="995"/>
      <c r="Q1012" s="197">
        <f t="shared" si="246"/>
        <v>1</v>
      </c>
      <c r="R1012" s="991">
        <f t="shared" si="247"/>
        <v>0</v>
      </c>
      <c r="S1012" s="552">
        <f t="shared" si="248"/>
        <v>0</v>
      </c>
      <c r="T1012" s="2010">
        <f t="shared" si="249"/>
        <v>0</v>
      </c>
      <c r="U1012" s="2305">
        <f t="shared" si="250"/>
        <v>0</v>
      </c>
      <c r="V1012" s="2305">
        <f t="shared" si="251"/>
        <v>0</v>
      </c>
      <c r="W1012" s="2300"/>
      <c r="X1012" s="2305">
        <f t="shared" si="252"/>
        <v>0</v>
      </c>
      <c r="Y1012" s="2305">
        <f t="shared" si="253"/>
        <v>0</v>
      </c>
      <c r="Z1012" s="2300"/>
    </row>
    <row r="1013" spans="3:26">
      <c r="C1013" s="197">
        <f t="shared" si="239"/>
        <v>1</v>
      </c>
      <c r="D1013" s="995"/>
      <c r="E1013" s="197">
        <f t="shared" si="240"/>
        <v>0</v>
      </c>
      <c r="F1013" s="995"/>
      <c r="G1013" s="197">
        <f t="shared" si="241"/>
        <v>0</v>
      </c>
      <c r="H1013" s="995"/>
      <c r="I1013" s="197">
        <f t="shared" si="242"/>
        <v>0.02</v>
      </c>
      <c r="J1013" s="995"/>
      <c r="K1013" s="197">
        <f t="shared" si="243"/>
        <v>1</v>
      </c>
      <c r="L1013" s="995"/>
      <c r="M1013" s="197">
        <f t="shared" si="244"/>
        <v>1</v>
      </c>
      <c r="N1013" s="995"/>
      <c r="O1013" s="197">
        <f t="shared" si="245"/>
        <v>1</v>
      </c>
      <c r="P1013" s="995"/>
      <c r="Q1013" s="197">
        <f t="shared" si="246"/>
        <v>1</v>
      </c>
      <c r="R1013" s="991">
        <f t="shared" si="247"/>
        <v>0</v>
      </c>
      <c r="S1013" s="552">
        <f t="shared" si="248"/>
        <v>0</v>
      </c>
      <c r="T1013" s="2010">
        <f t="shared" si="249"/>
        <v>0</v>
      </c>
      <c r="U1013" s="2305">
        <f t="shared" si="250"/>
        <v>0</v>
      </c>
      <c r="V1013" s="2305">
        <f t="shared" si="251"/>
        <v>0</v>
      </c>
      <c r="W1013" s="2300"/>
      <c r="X1013" s="2305">
        <f t="shared" si="252"/>
        <v>0</v>
      </c>
      <c r="Y1013" s="2305">
        <f t="shared" si="253"/>
        <v>0</v>
      </c>
      <c r="Z1013" s="2300"/>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1013">
      <formula1>一修多修正项2</formula1>
    </dataValidation>
    <dataValidation type="list" allowBlank="1" showInputMessage="1" showErrorMessage="1" sqref="F27:F1013">
      <formula1>一修多修正项3</formula1>
    </dataValidation>
    <dataValidation type="list" allowBlank="1" showInputMessage="1" showErrorMessage="1" sqref="H27:H1013">
      <formula1>一修多修正项4</formula1>
    </dataValidation>
    <dataValidation type="list" allowBlank="1" showInputMessage="1" showErrorMessage="1" sqref="J27:J1013">
      <formula1>一修多修正项5</formula1>
    </dataValidation>
    <dataValidation type="list" allowBlank="1" showInputMessage="1" showErrorMessage="1" sqref="L27:L1013">
      <formula1>一修多修正项6</formula1>
    </dataValidation>
    <dataValidation type="list" allowBlank="1" showInputMessage="1" showErrorMessage="1" sqref="N27:N1013">
      <formula1>一修多修正项7</formula1>
    </dataValidation>
    <dataValidation type="list" allowBlank="1" showInputMessage="1" showErrorMessage="1" sqref="P27:P1013">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104</v>
      </c>
      <c r="B1" s="2887" t="s">
        <v>1</v>
      </c>
      <c r="C1" s="2888"/>
      <c r="D1" s="2899"/>
      <c r="E1" s="2890"/>
      <c r="F1" s="2891" t="s">
        <v>129</v>
      </c>
      <c r="G1" s="2892"/>
      <c r="H1" s="2892"/>
      <c r="I1" s="2892"/>
      <c r="J1" s="2892"/>
      <c r="K1" s="2893"/>
      <c r="L1" s="2894"/>
      <c r="M1" s="2887"/>
      <c r="N1" s="2887"/>
      <c r="O1" s="2887"/>
      <c r="P1" s="2895"/>
      <c r="Q1" s="2896"/>
      <c r="R1" s="2896"/>
      <c r="S1" s="2896"/>
      <c r="T1" s="2896"/>
      <c r="U1" s="2896"/>
      <c r="V1" s="2896"/>
      <c r="W1" s="2896"/>
      <c r="X1" s="2896"/>
      <c r="Y1" s="2896"/>
      <c r="Z1" s="2896"/>
      <c r="AA1" s="2896"/>
      <c r="AB1" s="2896"/>
      <c r="AC1" s="2897"/>
    </row>
    <row r="2" spans="1:29" s="37" customFormat="1" ht="28.5" customHeight="1" thickTop="1">
      <c r="A2" s="2881" t="s">
        <v>178</v>
      </c>
      <c r="B2" s="2882" t="e">
        <f ca="1">IF(D2="——",IF(C2="元",ROUND(C49*D3,0),ROUND(C49*D3/10000,0)),IF(C2="元",ROUND(C49*D3,0),ROUND(C49*D3/10000,0))-E2)</f>
        <v>#DIV/0!</v>
      </c>
      <c r="C2" s="32" t="str">
        <f>'数据-取费表'!B3</f>
        <v>万元</v>
      </c>
      <c r="D2" s="2883"/>
      <c r="E2" s="3030" t="e">
        <f ca="1">SUMIF(INDIRECT("'"&amp;G2&amp;"'"&amp;"!A:A"),"承租人权益价值",INDIRECT("'"&amp;G2&amp;"'"&amp;"!c:c"))</f>
        <v>#REF!</v>
      </c>
      <c r="F2" s="2884" t="str">
        <f>C2</f>
        <v>万元</v>
      </c>
      <c r="G2" s="2885"/>
      <c r="H2" s="2184"/>
      <c r="I2" s="2184"/>
      <c r="J2" s="2184"/>
      <c r="K2" s="2184"/>
      <c r="L2" s="2185"/>
      <c r="M2" s="2186"/>
      <c r="N2" s="2186"/>
      <c r="O2" s="2186"/>
      <c r="P2" s="1126"/>
      <c r="Q2" s="1127"/>
      <c r="R2" s="1127"/>
      <c r="S2" s="1127"/>
      <c r="T2" s="1127"/>
      <c r="U2" s="1127"/>
      <c r="V2" s="1127"/>
      <c r="W2" s="1127"/>
      <c r="X2" s="1127"/>
      <c r="Y2" s="1127"/>
      <c r="Z2" s="1127"/>
      <c r="AA2" s="1127"/>
      <c r="AB2" s="1127"/>
      <c r="AC2" s="1128"/>
    </row>
    <row r="3" spans="1:29" s="37" customFormat="1" ht="28.5" customHeight="1" thickBot="1">
      <c r="A3" s="34" t="s">
        <v>179</v>
      </c>
      <c r="B3" s="811" t="e">
        <f ca="1">ROUND(IF(D2="——",C49,IF(C2="万元",B2*10000/D3,B2/D3)),0)</f>
        <v>#DIV/0!</v>
      </c>
      <c r="C3" s="89" t="s">
        <v>171</v>
      </c>
      <c r="D3" s="596">
        <f>IF(C1="仅计算典型户型",'数据-取费表'!E5,'数据-取费表'!B5)</f>
        <v>88039.929999999338</v>
      </c>
      <c r="E3" s="1637"/>
      <c r="F3" s="2183"/>
      <c r="G3" s="2184"/>
      <c r="H3" s="2184"/>
      <c r="I3" s="2184"/>
      <c r="J3" s="2184"/>
      <c r="K3" s="2187"/>
      <c r="L3" s="2185"/>
      <c r="M3" s="2186"/>
      <c r="N3" s="2186"/>
      <c r="O3" s="2186"/>
      <c r="P3" s="1126"/>
      <c r="Q3" s="1127"/>
      <c r="R3" s="1127"/>
      <c r="S3" s="1127"/>
      <c r="T3" s="1127"/>
      <c r="U3" s="1127"/>
      <c r="V3" s="1127"/>
      <c r="W3" s="1127"/>
      <c r="X3" s="1127"/>
      <c r="Y3" s="1127"/>
      <c r="Z3" s="1127"/>
      <c r="AA3" s="1127"/>
      <c r="AB3" s="1127"/>
      <c r="AC3" s="1187"/>
    </row>
    <row r="4" spans="1:29">
      <c r="A4" s="90" t="s">
        <v>48</v>
      </c>
      <c r="B4" s="91"/>
      <c r="C4" s="3500" t="s">
        <v>49</v>
      </c>
      <c r="D4" s="3501"/>
      <c r="E4" s="3502" t="s">
        <v>50</v>
      </c>
      <c r="F4" s="3503"/>
      <c r="G4" s="3500" t="s">
        <v>51</v>
      </c>
      <c r="H4" s="3501"/>
      <c r="I4" s="3500" t="s">
        <v>52</v>
      </c>
      <c r="J4" s="3501"/>
      <c r="K4" s="139" t="s">
        <v>53</v>
      </c>
      <c r="L4" s="2159"/>
      <c r="M4" s="2160"/>
      <c r="N4" s="2160"/>
      <c r="O4" s="2160"/>
      <c r="P4" s="3504" t="s">
        <v>48</v>
      </c>
      <c r="Q4" s="3505"/>
      <c r="R4" s="3489" t="s">
        <v>50</v>
      </c>
      <c r="S4" s="3490"/>
      <c r="T4" s="3489" t="s">
        <v>51</v>
      </c>
      <c r="U4" s="3490"/>
      <c r="V4" s="3510" t="s">
        <v>52</v>
      </c>
      <c r="W4" s="3510"/>
      <c r="X4" s="1133"/>
      <c r="Y4" s="3489" t="s">
        <v>48</v>
      </c>
      <c r="Z4" s="3490"/>
      <c r="AA4" s="3497" t="s">
        <v>50</v>
      </c>
      <c r="AB4" s="3510" t="s">
        <v>51</v>
      </c>
      <c r="AC4" s="3497" t="s">
        <v>52</v>
      </c>
    </row>
    <row r="5" spans="1:29">
      <c r="A5" s="93"/>
      <c r="B5" s="94"/>
      <c r="C5" s="3485" t="s">
        <v>54</v>
      </c>
      <c r="D5" s="3486"/>
      <c r="E5" s="3511" t="s">
        <v>55</v>
      </c>
      <c r="F5" s="3512"/>
      <c r="G5" s="3485" t="s">
        <v>56</v>
      </c>
      <c r="H5" s="3486"/>
      <c r="I5" s="3485" t="s">
        <v>57</v>
      </c>
      <c r="J5" s="3486"/>
      <c r="K5" s="139"/>
      <c r="L5" s="2159"/>
      <c r="M5" s="2160"/>
      <c r="N5" s="2160"/>
      <c r="O5" s="2160"/>
      <c r="P5" s="3506"/>
      <c r="Q5" s="3507"/>
      <c r="R5" s="3491"/>
      <c r="S5" s="3492"/>
      <c r="T5" s="3491"/>
      <c r="U5" s="3492"/>
      <c r="V5" s="3510"/>
      <c r="W5" s="3510"/>
      <c r="X5" s="1133"/>
      <c r="Y5" s="3491"/>
      <c r="Z5" s="3492"/>
      <c r="AA5" s="3498"/>
      <c r="AB5" s="3510"/>
      <c r="AC5" s="3498"/>
    </row>
    <row r="6" spans="1:29" ht="14.25" thickBot="1">
      <c r="A6" s="95"/>
      <c r="B6" s="96"/>
      <c r="C6" s="3483" t="s">
        <v>58</v>
      </c>
      <c r="D6" s="3484"/>
      <c r="E6" s="3513" t="s">
        <v>58</v>
      </c>
      <c r="F6" s="3514"/>
      <c r="G6" s="3483" t="s">
        <v>58</v>
      </c>
      <c r="H6" s="3484"/>
      <c r="I6" s="3483" t="s">
        <v>58</v>
      </c>
      <c r="J6" s="3484"/>
      <c r="K6" s="139" t="s">
        <v>118</v>
      </c>
      <c r="L6" s="2159"/>
      <c r="M6" s="2160"/>
      <c r="N6" s="2160"/>
      <c r="O6" s="2160"/>
      <c r="P6" s="3508"/>
      <c r="Q6" s="3509"/>
      <c r="R6" s="3491"/>
      <c r="S6" s="3492"/>
      <c r="T6" s="3493"/>
      <c r="U6" s="3494"/>
      <c r="V6" s="3510"/>
      <c r="W6" s="3510"/>
      <c r="X6" s="1133"/>
      <c r="Y6" s="3493"/>
      <c r="Z6" s="3494"/>
      <c r="AA6" s="3499"/>
      <c r="AB6" s="3510"/>
      <c r="AC6" s="3499"/>
    </row>
    <row r="7" spans="1:29" s="11" customFormat="1" ht="15" thickBot="1">
      <c r="A7" s="872" t="s">
        <v>59</v>
      </c>
      <c r="B7" s="873"/>
      <c r="C7" s="874">
        <f>'数据-取费表'!B2</f>
        <v>42916</v>
      </c>
      <c r="D7" s="608">
        <v>100</v>
      </c>
      <c r="E7" s="875"/>
      <c r="F7" s="610">
        <f>SUMIF(58:58,YEAR(E7)&amp;"-"&amp;MONTH(E7),59:59)</f>
        <v>0</v>
      </c>
      <c r="G7" s="875"/>
      <c r="H7" s="608">
        <f>SUMIF(58:58,YEAR(G7)&amp;"-"&amp;MONTH(G7),59:59)</f>
        <v>0</v>
      </c>
      <c r="I7" s="875"/>
      <c r="J7" s="608">
        <f>SUMIF(58:58,YEAR(I7)&amp;"-"&amp;MONTH(I7),59:59)</f>
        <v>0</v>
      </c>
      <c r="K7" s="877"/>
      <c r="L7" s="2161"/>
      <c r="M7" s="2103"/>
      <c r="N7" s="2103"/>
      <c r="O7" s="2103"/>
      <c r="P7" s="3487" t="s">
        <v>59</v>
      </c>
      <c r="Q7" s="3495"/>
      <c r="R7" s="1135" t="s">
        <v>60</v>
      </c>
      <c r="S7" s="1136">
        <f t="shared" ref="S7:S15" si="0">F7</f>
        <v>0</v>
      </c>
      <c r="T7" s="1135" t="s">
        <v>60</v>
      </c>
      <c r="U7" s="1136">
        <f t="shared" ref="U7:U15" si="1">H7</f>
        <v>0</v>
      </c>
      <c r="V7" s="1135" t="s">
        <v>60</v>
      </c>
      <c r="W7" s="1136">
        <f t="shared" ref="W7:W15" si="2">J7</f>
        <v>0</v>
      </c>
      <c r="X7" s="184"/>
      <c r="Y7" s="3487" t="s">
        <v>59</v>
      </c>
      <c r="Z7" s="3488"/>
      <c r="AA7" s="1137" t="e">
        <f>D7/F7</f>
        <v>#DIV/0!</v>
      </c>
      <c r="AB7" s="1137" t="e">
        <f>D7/H7</f>
        <v>#DIV/0!</v>
      </c>
      <c r="AC7" s="1137" t="e">
        <f>D7/J7</f>
        <v>#DIV/0!</v>
      </c>
    </row>
    <row r="8" spans="1:29" s="11" customFormat="1" ht="15" thickBot="1">
      <c r="A8" s="872" t="s">
        <v>61</v>
      </c>
      <c r="B8" s="873"/>
      <c r="C8" s="878" t="s">
        <v>117</v>
      </c>
      <c r="D8" s="608">
        <v>100</v>
      </c>
      <c r="E8" s="878"/>
      <c r="F8" s="610">
        <f>SUMIF(61:61,E8,62:62)-SUMIF(61:61,C8,62:62)+100</f>
        <v>0</v>
      </c>
      <c r="G8" s="878"/>
      <c r="H8" s="608">
        <f>SUMIF(61:61,G8,62:62)-SUMIF(61:61,C8,62:62)+100</f>
        <v>0</v>
      </c>
      <c r="I8" s="878"/>
      <c r="J8" s="608">
        <f>SUMIF(61:61,I8,62:62)-SUMIF(61:61,C8,62:62)+100</f>
        <v>0</v>
      </c>
      <c r="K8" s="877"/>
      <c r="L8" s="2161"/>
      <c r="M8" s="2103"/>
      <c r="N8" s="2103"/>
      <c r="O8" s="2103"/>
      <c r="P8" s="3487" t="s">
        <v>926</v>
      </c>
      <c r="Q8" s="3488"/>
      <c r="R8" s="1135" t="s">
        <v>60</v>
      </c>
      <c r="S8" s="1136">
        <f t="shared" si="0"/>
        <v>0</v>
      </c>
      <c r="T8" s="1135" t="s">
        <v>60</v>
      </c>
      <c r="U8" s="1136">
        <f t="shared" si="1"/>
        <v>0</v>
      </c>
      <c r="V8" s="1135" t="s">
        <v>60</v>
      </c>
      <c r="W8" s="1136">
        <f t="shared" si="2"/>
        <v>0</v>
      </c>
      <c r="X8" s="184"/>
      <c r="Y8" s="3487" t="s">
        <v>926</v>
      </c>
      <c r="Z8" s="3488"/>
      <c r="AA8" s="1137" t="e">
        <f t="shared" ref="AA8:AA46" si="3">D8/F8</f>
        <v>#DIV/0!</v>
      </c>
      <c r="AB8" s="1137" t="e">
        <f t="shared" ref="AB8:AB46" si="4">D8/H8</f>
        <v>#DIV/0!</v>
      </c>
      <c r="AC8" s="1137" t="e">
        <f t="shared" ref="AC8:AC46" si="5">D8/J8</f>
        <v>#DIV/0!</v>
      </c>
    </row>
    <row r="9" spans="1:29" s="11" customFormat="1" ht="14.25">
      <c r="A9" s="879" t="s">
        <v>927</v>
      </c>
      <c r="B9" s="20" t="s">
        <v>928</v>
      </c>
      <c r="C9" s="1139"/>
      <c r="D9" s="234">
        <v>100</v>
      </c>
      <c r="E9" s="1140"/>
      <c r="F9" s="616">
        <f>SUMIF(63:63,E9,64:64)-SUMIF(63:63,C9,64:64)+100</f>
        <v>100</v>
      </c>
      <c r="G9" s="1140"/>
      <c r="H9" s="234">
        <f>SUMIF(63:63,G9,64:64)-SUMIF(63:63,C9,64:64)+100</f>
        <v>100</v>
      </c>
      <c r="I9" s="1140"/>
      <c r="J9" s="234">
        <f>SUMIF(63:63,I9,64:64)-SUMIF(63:63,C9,64:64)+100</f>
        <v>100</v>
      </c>
      <c r="K9" s="877"/>
      <c r="L9" s="2161"/>
      <c r="M9" s="2103"/>
      <c r="N9" s="2103"/>
      <c r="O9" s="2103"/>
      <c r="P9" s="3496" t="s">
        <v>62</v>
      </c>
      <c r="Q9" s="2" t="str">
        <f t="shared" ref="Q9:Q15" si="6">B9</f>
        <v>用途</v>
      </c>
      <c r="R9" s="1135" t="s">
        <v>60</v>
      </c>
      <c r="S9" s="1136">
        <f t="shared" si="0"/>
        <v>100</v>
      </c>
      <c r="T9" s="1135" t="s">
        <v>60</v>
      </c>
      <c r="U9" s="1136">
        <f t="shared" si="1"/>
        <v>100</v>
      </c>
      <c r="V9" s="1135" t="s">
        <v>60</v>
      </c>
      <c r="W9" s="1136">
        <f t="shared" si="2"/>
        <v>100</v>
      </c>
      <c r="X9" s="184"/>
      <c r="Y9" s="3314"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3"/>
      <c r="F10" s="623">
        <f>SUMIF(65:65,E10,66:66)-SUMIF(65:65,C10,66:66)+100</f>
        <v>100</v>
      </c>
      <c r="G10" s="1142"/>
      <c r="H10" s="235">
        <f>SUMIF(65:65,G10,66:66)-SUMIF(65:65,C10,66:66)+100</f>
        <v>100</v>
      </c>
      <c r="I10" s="1142"/>
      <c r="J10" s="235">
        <f>SUMIF(65:65,I10,66:66)-SUMIF(65:65,C10,66:66)+100</f>
        <v>100</v>
      </c>
      <c r="K10" s="814"/>
      <c r="L10" s="2162"/>
      <c r="M10" s="2163"/>
      <c r="N10" s="2163"/>
      <c r="O10" s="2163"/>
      <c r="P10" s="3496"/>
      <c r="Q10" s="2" t="str">
        <f t="shared" si="6"/>
        <v>土地使用年限（年）</v>
      </c>
      <c r="R10" s="1135" t="s">
        <v>60</v>
      </c>
      <c r="S10" s="1136">
        <f t="shared" si="0"/>
        <v>100</v>
      </c>
      <c r="T10" s="1135" t="s">
        <v>60</v>
      </c>
      <c r="U10" s="1136">
        <f t="shared" si="1"/>
        <v>100</v>
      </c>
      <c r="V10" s="1135" t="s">
        <v>60</v>
      </c>
      <c r="W10" s="1136">
        <f t="shared" si="2"/>
        <v>100</v>
      </c>
      <c r="X10" s="184"/>
      <c r="Y10" s="3314"/>
      <c r="Z10" s="185" t="str">
        <f t="shared" si="7"/>
        <v>土地使用年限（年）</v>
      </c>
      <c r="AA10" s="1137">
        <f t="shared" si="3"/>
        <v>1</v>
      </c>
      <c r="AB10" s="1137">
        <f t="shared" si="4"/>
        <v>1</v>
      </c>
      <c r="AC10" s="1137">
        <f t="shared" si="5"/>
        <v>1</v>
      </c>
    </row>
    <row r="11" spans="1:29" ht="15">
      <c r="A11" s="98"/>
      <c r="B11" s="4" t="s">
        <v>87</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4"/>
      <c r="M11" s="2160"/>
      <c r="N11" s="2160"/>
      <c r="O11" s="2160"/>
      <c r="P11" s="3496"/>
      <c r="Q11" s="2" t="str">
        <f t="shared" si="6"/>
        <v>容积率</v>
      </c>
      <c r="R11" s="1135" t="s">
        <v>60</v>
      </c>
      <c r="S11" s="1136" t="e">
        <f t="shared" si="0"/>
        <v>#N/A</v>
      </c>
      <c r="T11" s="1135" t="s">
        <v>60</v>
      </c>
      <c r="U11" s="1136" t="e">
        <f t="shared" si="1"/>
        <v>#N/A</v>
      </c>
      <c r="V11" s="1135" t="s">
        <v>60</v>
      </c>
      <c r="W11" s="1136" t="e">
        <f t="shared" si="2"/>
        <v>#N/A</v>
      </c>
      <c r="X11" s="184"/>
      <c r="Y11" s="331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1"/>
      <c r="M12" s="2103"/>
      <c r="N12" s="2103"/>
      <c r="O12" s="2103"/>
      <c r="P12" s="3496"/>
      <c r="Q12" s="2">
        <f t="shared" si="6"/>
        <v>111</v>
      </c>
      <c r="R12" s="1135" t="s">
        <v>60</v>
      </c>
      <c r="S12" s="1136">
        <f t="shared" si="0"/>
        <v>100</v>
      </c>
      <c r="T12" s="1135" t="s">
        <v>60</v>
      </c>
      <c r="U12" s="1136">
        <f t="shared" si="1"/>
        <v>100</v>
      </c>
      <c r="V12" s="1135" t="s">
        <v>60</v>
      </c>
      <c r="W12" s="1136">
        <f t="shared" si="2"/>
        <v>100</v>
      </c>
      <c r="X12" s="184"/>
      <c r="Y12" s="3314"/>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5"/>
      <c r="M13" s="2160"/>
      <c r="N13" s="2160"/>
      <c r="O13" s="2160"/>
      <c r="P13" s="3496"/>
      <c r="Q13" s="2">
        <f t="shared" si="6"/>
        <v>111</v>
      </c>
      <c r="R13" s="1135" t="s">
        <v>60</v>
      </c>
      <c r="S13" s="1136">
        <f t="shared" si="0"/>
        <v>100</v>
      </c>
      <c r="T13" s="1135" t="s">
        <v>60</v>
      </c>
      <c r="U13" s="1136">
        <f t="shared" si="1"/>
        <v>100</v>
      </c>
      <c r="V13" s="1135" t="s">
        <v>60</v>
      </c>
      <c r="W13" s="1136">
        <f t="shared" si="2"/>
        <v>100</v>
      </c>
      <c r="X13" s="184"/>
      <c r="Y13" s="3314"/>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5"/>
      <c r="M14" s="2160"/>
      <c r="N14" s="2160"/>
      <c r="O14" s="2160"/>
      <c r="P14" s="3496"/>
      <c r="Q14" s="2">
        <f t="shared" si="6"/>
        <v>111</v>
      </c>
      <c r="R14" s="1135" t="s">
        <v>60</v>
      </c>
      <c r="S14" s="1136">
        <f t="shared" si="0"/>
        <v>100</v>
      </c>
      <c r="T14" s="1135" t="s">
        <v>60</v>
      </c>
      <c r="U14" s="1136">
        <f t="shared" si="1"/>
        <v>100</v>
      </c>
      <c r="V14" s="1135" t="s">
        <v>60</v>
      </c>
      <c r="W14" s="1136">
        <f t="shared" si="2"/>
        <v>100</v>
      </c>
      <c r="X14" s="184"/>
      <c r="Y14" s="3314"/>
      <c r="Z14" s="185">
        <f t="shared" si="7"/>
        <v>111</v>
      </c>
      <c r="AA14" s="1137">
        <f t="shared" si="3"/>
        <v>1</v>
      </c>
      <c r="AB14" s="1137">
        <f t="shared" si="4"/>
        <v>1</v>
      </c>
      <c r="AC14" s="1137">
        <f t="shared" si="5"/>
        <v>1</v>
      </c>
    </row>
    <row r="15" spans="1:29" ht="15">
      <c r="A15" s="105" t="s">
        <v>64</v>
      </c>
      <c r="B15" s="19" t="s">
        <v>130</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5"/>
      <c r="M15" s="2160"/>
      <c r="N15" s="2160"/>
      <c r="O15" s="2160"/>
      <c r="P15" s="3474" t="s">
        <v>64</v>
      </c>
      <c r="Q15" s="1145" t="str">
        <f t="shared" si="6"/>
        <v>商业繁华度</v>
      </c>
      <c r="R15" s="1146" t="s">
        <v>60</v>
      </c>
      <c r="S15" s="1147">
        <f t="shared" si="0"/>
        <v>100</v>
      </c>
      <c r="T15" s="1146" t="s">
        <v>60</v>
      </c>
      <c r="U15" s="1147">
        <f t="shared" si="1"/>
        <v>100</v>
      </c>
      <c r="V15" s="1146" t="s">
        <v>60</v>
      </c>
      <c r="W15" s="1147">
        <f t="shared" si="2"/>
        <v>100</v>
      </c>
      <c r="X15" s="1133"/>
      <c r="Y15" s="3476" t="s">
        <v>64</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5"/>
      <c r="M16" s="2160"/>
      <c r="N16" s="2160"/>
      <c r="O16" s="2160"/>
      <c r="P16" s="3475"/>
      <c r="Q16" s="1145"/>
      <c r="R16" s="1146"/>
      <c r="S16" s="1147"/>
      <c r="T16" s="1146"/>
      <c r="U16" s="1147"/>
      <c r="V16" s="1146"/>
      <c r="W16" s="1147"/>
      <c r="X16" s="1133"/>
      <c r="Y16" s="3477"/>
      <c r="Z16" s="1148"/>
      <c r="AA16" s="1149">
        <v>1</v>
      </c>
      <c r="AB16" s="1149">
        <v>1</v>
      </c>
      <c r="AC16" s="1149">
        <v>1</v>
      </c>
    </row>
    <row r="17" spans="1:29" ht="27">
      <c r="A17" s="98"/>
      <c r="B17" s="1150" t="s">
        <v>66</v>
      </c>
      <c r="C17" s="108" t="str">
        <f>估价对象房地状况!C6</f>
        <v>192路 764路 778路</v>
      </c>
      <c r="D17" s="648">
        <v>100</v>
      </c>
      <c r="E17" s="47"/>
      <c r="F17" s="651">
        <f>SUMIF(78:78,E18,79:79)-SUMIF(78:78,C18,79:79)+100</f>
        <v>100</v>
      </c>
      <c r="G17" s="48"/>
      <c r="H17" s="653">
        <f>SUMIF(78:78,G18,79:79)-SUMIF(78:78,C18,79:79)+100</f>
        <v>100</v>
      </c>
      <c r="I17" s="47"/>
      <c r="J17" s="653">
        <f>SUMIF(78:78,I18,79:79)-SUMIF(78:78,C18,79:79)+100</f>
        <v>100</v>
      </c>
      <c r="K17" s="816"/>
      <c r="L17" s="2165"/>
      <c r="M17" s="2160"/>
      <c r="N17" s="2160"/>
      <c r="O17" s="2160"/>
      <c r="P17" s="3475"/>
      <c r="Q17" s="1145" t="str">
        <f>B17</f>
        <v>交通便捷度</v>
      </c>
      <c r="R17" s="1146" t="s">
        <v>60</v>
      </c>
      <c r="S17" s="1147">
        <f>F17</f>
        <v>100</v>
      </c>
      <c r="T17" s="1146" t="s">
        <v>60</v>
      </c>
      <c r="U17" s="1147">
        <f>H17</f>
        <v>100</v>
      </c>
      <c r="V17" s="1146" t="s">
        <v>60</v>
      </c>
      <c r="W17" s="1147">
        <f>J17</f>
        <v>100</v>
      </c>
      <c r="X17" s="1133"/>
      <c r="Y17" s="347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5"/>
      <c r="M18" s="2160"/>
      <c r="N18" s="2160"/>
      <c r="O18" s="2160"/>
      <c r="P18" s="3475"/>
      <c r="Q18" s="1145"/>
      <c r="R18" s="1146"/>
      <c r="S18" s="1147"/>
      <c r="T18" s="1146"/>
      <c r="U18" s="1147"/>
      <c r="V18" s="1146"/>
      <c r="W18" s="1147"/>
      <c r="X18" s="1133"/>
      <c r="Y18" s="3477"/>
      <c r="Z18" s="1148"/>
      <c r="AA18" s="1149">
        <v>1</v>
      </c>
      <c r="AB18" s="1149">
        <v>1</v>
      </c>
      <c r="AC18" s="1149">
        <v>1</v>
      </c>
    </row>
    <row r="19" spans="1:29" ht="135">
      <c r="A19" s="98"/>
      <c r="B19" s="1150" t="s">
        <v>2539</v>
      </c>
      <c r="C19" s="108" t="str">
        <f>估价对象房地状况!C7</f>
        <v>余杭区良渚二小、勾庄镇中星桥小学、良渚街道社区卫生服务中心勾庄院区、中信银行(杭州良渚支行)、中信银行(杭州良渚支行)</v>
      </c>
      <c r="D19" s="653">
        <v>100</v>
      </c>
      <c r="E19" s="52"/>
      <c r="F19" s="657">
        <f>SUMIF(80:80,E20,81:81)-SUMIF(80:80,C20,81:81)+100</f>
        <v>100</v>
      </c>
      <c r="G19" s="53"/>
      <c r="H19" s="648">
        <f>SUMIF(80:80,G20,81:81)-SUMIF(80:80,C20,81:81)+100</f>
        <v>100</v>
      </c>
      <c r="I19" s="52"/>
      <c r="J19" s="648">
        <f>SUMIF(80:80,I20,81:81)-SUMIF(80:80,C20,81:81)+100</f>
        <v>100</v>
      </c>
      <c r="K19" s="816"/>
      <c r="L19" s="2165"/>
      <c r="M19" s="2160"/>
      <c r="N19" s="2160"/>
      <c r="O19" s="2160"/>
      <c r="P19" s="3475"/>
      <c r="Q19" s="1145" t="str">
        <f>B19</f>
        <v>公共配套设施</v>
      </c>
      <c r="R19" s="1146" t="s">
        <v>60</v>
      </c>
      <c r="S19" s="1147">
        <f>F19</f>
        <v>100</v>
      </c>
      <c r="T19" s="1146" t="s">
        <v>60</v>
      </c>
      <c r="U19" s="1147">
        <f>H19</f>
        <v>100</v>
      </c>
      <c r="V19" s="1146" t="s">
        <v>60</v>
      </c>
      <c r="W19" s="1147">
        <f>J19</f>
        <v>100</v>
      </c>
      <c r="X19" s="1133"/>
      <c r="Y19" s="3477"/>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5"/>
      <c r="M20" s="2160"/>
      <c r="N20" s="2160"/>
      <c r="O20" s="2160"/>
      <c r="P20" s="3475"/>
      <c r="Q20" s="1145"/>
      <c r="R20" s="1146"/>
      <c r="S20" s="1147"/>
      <c r="T20" s="1146"/>
      <c r="U20" s="1147"/>
      <c r="V20" s="1146"/>
      <c r="W20" s="1147"/>
      <c r="X20" s="1133"/>
      <c r="Y20" s="3477"/>
      <c r="Z20" s="1148"/>
      <c r="AA20" s="1149">
        <v>1</v>
      </c>
      <c r="AB20" s="1149">
        <v>1</v>
      </c>
      <c r="AC20" s="1149">
        <v>1</v>
      </c>
    </row>
    <row r="21" spans="1:29" ht="15">
      <c r="A21" s="98"/>
      <c r="B21" s="1205" t="s">
        <v>2540</v>
      </c>
      <c r="C21" s="108" t="str">
        <f>估价对象房地状况!C8</f>
        <v>六通</v>
      </c>
      <c r="D21" s="653">
        <v>100</v>
      </c>
      <c r="E21" s="52"/>
      <c r="F21" s="657">
        <f>SUMIF(82:82,E22,83:83)-SUMIF(82:82,C22,83:83)+100</f>
        <v>100</v>
      </c>
      <c r="G21" s="53"/>
      <c r="H21" s="648">
        <f>SUMIF(82:82,G22,83:83)-SUMIF(82:82,C22,83:83)+100</f>
        <v>100</v>
      </c>
      <c r="I21" s="52"/>
      <c r="J21" s="648">
        <f>SUMIF(82:82,I22,83:83)-SUMIF(82:82,C22,83:83)+100</f>
        <v>100</v>
      </c>
      <c r="K21" s="816"/>
      <c r="L21" s="2165"/>
      <c r="M21" s="2160"/>
      <c r="N21" s="2160"/>
      <c r="O21" s="2160"/>
      <c r="P21" s="3475"/>
      <c r="Q21" s="2545" t="str">
        <f>B21</f>
        <v>基础设施水平</v>
      </c>
      <c r="R21" s="1146" t="s">
        <v>60</v>
      </c>
      <c r="S21" s="1147">
        <f>F21</f>
        <v>100</v>
      </c>
      <c r="T21" s="1146" t="s">
        <v>60</v>
      </c>
      <c r="U21" s="1147">
        <f>H21</f>
        <v>100</v>
      </c>
      <c r="V21" s="1146" t="s">
        <v>60</v>
      </c>
      <c r="W21" s="1147">
        <f>J21</f>
        <v>100</v>
      </c>
      <c r="X21" s="2543"/>
      <c r="Y21" s="3477"/>
      <c r="Z21" s="254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6"/>
      <c r="L22" s="2165"/>
      <c r="M22" s="2160"/>
      <c r="N22" s="2160"/>
      <c r="O22" s="2160"/>
      <c r="P22" s="3475"/>
      <c r="Q22" s="2545"/>
      <c r="R22" s="1146"/>
      <c r="S22" s="1147"/>
      <c r="T22" s="1146"/>
      <c r="U22" s="1147"/>
      <c r="V22" s="1146"/>
      <c r="W22" s="1147"/>
      <c r="X22" s="2543"/>
      <c r="Y22" s="3477"/>
      <c r="Z22" s="2544"/>
      <c r="AA22" s="1149">
        <v>1</v>
      </c>
      <c r="AB22" s="1149">
        <v>1</v>
      </c>
      <c r="AC22" s="1149">
        <v>1</v>
      </c>
    </row>
    <row r="23" spans="1:29" ht="15">
      <c r="A23" s="98"/>
      <c r="B23" s="1150" t="s">
        <v>67</v>
      </c>
      <c r="C23" s="142" t="str">
        <f>估价对象房地状况!C9</f>
        <v>海德公园</v>
      </c>
      <c r="D23" s="648">
        <v>100</v>
      </c>
      <c r="E23" s="47"/>
      <c r="F23" s="651">
        <f>SUMIF(84:84,E24,85:85)-SUMIF(84:84,C24,85:85)+100</f>
        <v>100</v>
      </c>
      <c r="G23" s="48"/>
      <c r="H23" s="648">
        <f>SUMIF(84:84,G24,85:85)-SUMIF(84:84,C24,85:85)+100</f>
        <v>100</v>
      </c>
      <c r="I23" s="47"/>
      <c r="J23" s="648">
        <f>SUMIF(84:84,I24,85:85)-SUMIF(84:84,C24,85:85)+100</f>
        <v>100</v>
      </c>
      <c r="K23" s="816"/>
      <c r="L23" s="2165"/>
      <c r="M23" s="2160"/>
      <c r="N23" s="2160"/>
      <c r="O23" s="2160"/>
      <c r="P23" s="3475"/>
      <c r="Q23" s="1145" t="str">
        <f>B23</f>
        <v>自然及人文环境</v>
      </c>
      <c r="R23" s="1146" t="s">
        <v>60</v>
      </c>
      <c r="S23" s="1147">
        <f>F23</f>
        <v>100</v>
      </c>
      <c r="T23" s="1146" t="s">
        <v>60</v>
      </c>
      <c r="U23" s="1147">
        <f>H23</f>
        <v>100</v>
      </c>
      <c r="V23" s="1146" t="s">
        <v>60</v>
      </c>
      <c r="W23" s="1147">
        <f>J23</f>
        <v>100</v>
      </c>
      <c r="X23" s="1133"/>
      <c r="Y23" s="3477"/>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5"/>
      <c r="M24" s="2160"/>
      <c r="N24" s="2160"/>
      <c r="O24" s="2160"/>
      <c r="P24" s="3475"/>
      <c r="Q24" s="1145"/>
      <c r="R24" s="1146"/>
      <c r="S24" s="1147"/>
      <c r="T24" s="1146"/>
      <c r="U24" s="1147"/>
      <c r="V24" s="1146"/>
      <c r="W24" s="1147"/>
      <c r="X24" s="1133"/>
      <c r="Y24" s="3477"/>
      <c r="Z24" s="1148"/>
      <c r="AA24" s="1149">
        <v>1</v>
      </c>
      <c r="AB24" s="1149">
        <v>1</v>
      </c>
      <c r="AC24" s="1149">
        <v>1</v>
      </c>
    </row>
    <row r="25" spans="1:29" ht="15">
      <c r="A25" s="98"/>
      <c r="B25" s="4" t="s">
        <v>131</v>
      </c>
      <c r="C25" s="134"/>
      <c r="D25" s="633">
        <v>100</v>
      </c>
      <c r="E25" s="134"/>
      <c r="F25" s="660">
        <f>SUMIF(86:86,E25,87:87)-SUMIF(86:86,C25,87:87)+100</f>
        <v>100</v>
      </c>
      <c r="G25" s="134"/>
      <c r="H25" s="633">
        <f>SUMIF(86:86,G25,87:87)-SUMIF(86:86,C25,87:87)+100</f>
        <v>100</v>
      </c>
      <c r="I25" s="134"/>
      <c r="J25" s="633">
        <f>SUMIF(86:86,I25,87:87)-SUMIF(86:86,C25,87:87)+100</f>
        <v>100</v>
      </c>
      <c r="K25" s="814"/>
      <c r="L25" s="2165"/>
      <c r="M25" s="2160"/>
      <c r="N25" s="2160"/>
      <c r="O25" s="2160"/>
      <c r="P25" s="3475"/>
      <c r="Q25" s="1145" t="str">
        <f t="shared" ref="Q25:Q46" si="11">B25</f>
        <v>临街状况</v>
      </c>
      <c r="R25" s="1146" t="s">
        <v>60</v>
      </c>
      <c r="S25" s="1147">
        <f>F25</f>
        <v>100</v>
      </c>
      <c r="T25" s="1146" t="s">
        <v>60</v>
      </c>
      <c r="U25" s="1147">
        <f>H25</f>
        <v>100</v>
      </c>
      <c r="V25" s="1146" t="s">
        <v>60</v>
      </c>
      <c r="W25" s="1147">
        <f>J25</f>
        <v>100</v>
      </c>
      <c r="X25" s="1133"/>
      <c r="Y25" s="3477"/>
      <c r="Z25" s="1148" t="str">
        <f>Q25</f>
        <v>临街状况</v>
      </c>
      <c r="AA25" s="1149">
        <f t="shared" si="3"/>
        <v>1</v>
      </c>
      <c r="AB25" s="1149">
        <f t="shared" si="4"/>
        <v>1</v>
      </c>
      <c r="AC25" s="1149">
        <f t="shared" si="5"/>
        <v>1</v>
      </c>
    </row>
    <row r="26" spans="1:29" ht="14.25">
      <c r="A26" s="98"/>
      <c r="B26" s="1151" t="s">
        <v>929</v>
      </c>
      <c r="C26" s="40"/>
      <c r="D26" s="633">
        <v>100</v>
      </c>
      <c r="E26" s="40"/>
      <c r="F26" s="660">
        <f>SUMIF(88:88,E26,89:89)-SUMIF(88:88,C26,89:89)+100</f>
        <v>100</v>
      </c>
      <c r="G26" s="40"/>
      <c r="H26" s="633">
        <f>SUMIF(88:88,G26,89:89)-SUMIF(88:88,C26,89:89)+100</f>
        <v>100</v>
      </c>
      <c r="I26" s="40"/>
      <c r="J26" s="633">
        <f>SUMIF(88:88,I26,89:89)-SUMIF(88:88,C26,89:89)+100</f>
        <v>100</v>
      </c>
      <c r="K26" s="140"/>
      <c r="L26" s="2165"/>
      <c r="M26" s="2160"/>
      <c r="N26" s="2160"/>
      <c r="O26" s="2160"/>
      <c r="P26" s="3475"/>
      <c r="Q26" s="1145" t="str">
        <f t="shared" si="11"/>
        <v>平面位置/可视性</v>
      </c>
      <c r="R26" s="1146" t="s">
        <v>60</v>
      </c>
      <c r="S26" s="1147">
        <f>F26</f>
        <v>100</v>
      </c>
      <c r="T26" s="1146" t="s">
        <v>60</v>
      </c>
      <c r="U26" s="1147">
        <f>H26</f>
        <v>100</v>
      </c>
      <c r="V26" s="1146" t="s">
        <v>60</v>
      </c>
      <c r="W26" s="1147">
        <f>J26</f>
        <v>100</v>
      </c>
      <c r="X26" s="1133"/>
      <c r="Y26" s="3477"/>
      <c r="Z26" s="1148" t="str">
        <f>Q26</f>
        <v>平面位置/可视性</v>
      </c>
      <c r="AA26" s="1149">
        <f t="shared" si="3"/>
        <v>1</v>
      </c>
      <c r="AB26" s="1149">
        <f t="shared" si="4"/>
        <v>1</v>
      </c>
      <c r="AC26" s="1149">
        <f t="shared" si="5"/>
        <v>1</v>
      </c>
    </row>
    <row r="27" spans="1:29" s="11" customFormat="1" ht="15">
      <c r="A27" s="888"/>
      <c r="B27" s="1150" t="s">
        <v>930</v>
      </c>
      <c r="C27" s="1182"/>
      <c r="D27" s="661">
        <v>100</v>
      </c>
      <c r="E27" s="1182"/>
      <c r="F27" s="663">
        <f>SUMIF(90:90,E27,91:91)-SUMIF(90:90,C27,91:91)+100</f>
        <v>100</v>
      </c>
      <c r="G27" s="1182"/>
      <c r="H27" s="661">
        <f>SUMIF(90:90,G27,91:91)-SUMIF(90:90,C27,91:91)+100</f>
        <v>100</v>
      </c>
      <c r="I27" s="1182"/>
      <c r="J27" s="661">
        <f>SUMIF(90:90,I27,91:91)-SUMIF(90:90,C27,91:91)+100</f>
        <v>100</v>
      </c>
      <c r="K27" s="814"/>
      <c r="L27" s="2161"/>
      <c r="M27" s="2103"/>
      <c r="N27" s="2103"/>
      <c r="O27" s="2103"/>
      <c r="P27" s="3475"/>
      <c r="Q27" s="2" t="str">
        <f t="shared" si="11"/>
        <v>人流量</v>
      </c>
      <c r="R27" s="1135" t="s">
        <v>60</v>
      </c>
      <c r="S27" s="1136">
        <f>F27</f>
        <v>100</v>
      </c>
      <c r="T27" s="1135" t="s">
        <v>60</v>
      </c>
      <c r="U27" s="1136">
        <f>H27</f>
        <v>100</v>
      </c>
      <c r="V27" s="1135" t="s">
        <v>60</v>
      </c>
      <c r="W27" s="1136">
        <f>J27</f>
        <v>100</v>
      </c>
      <c r="X27" s="184"/>
      <c r="Y27" s="3477"/>
      <c r="Z27" s="185" t="str">
        <f>Q27</f>
        <v>人流量</v>
      </c>
      <c r="AA27" s="1149">
        <f>D27/F27</f>
        <v>1</v>
      </c>
      <c r="AB27" s="1149">
        <f>D27/H27</f>
        <v>1</v>
      </c>
      <c r="AC27" s="1149">
        <f>D27/J27</f>
        <v>1</v>
      </c>
    </row>
    <row r="28" spans="1:29" ht="14.25">
      <c r="A28" s="98"/>
      <c r="B28" s="4" t="s">
        <v>132</v>
      </c>
      <c r="C28" s="134"/>
      <c r="D28" s="633">
        <v>100</v>
      </c>
      <c r="E28" s="134"/>
      <c r="F28" s="660">
        <f>SUMIF(92:92,E28,93:93)-SUMIF(92:92,C28,93:93)+100</f>
        <v>100</v>
      </c>
      <c r="G28" s="134"/>
      <c r="H28" s="633">
        <f>SUMIF(92:92,G28,93:93)-SUMIF(92:92,C28,93:93)+100</f>
        <v>100</v>
      </c>
      <c r="I28" s="134"/>
      <c r="J28" s="633">
        <f>SUMIF(92:92,I28,93:93)-SUMIF(92:92,C28,93:93)+100</f>
        <v>100</v>
      </c>
      <c r="K28" s="140"/>
      <c r="L28" s="2165"/>
      <c r="M28" s="2160"/>
      <c r="N28" s="2160"/>
      <c r="O28" s="2160"/>
      <c r="P28" s="3475"/>
      <c r="Q28" s="1145" t="str">
        <f t="shared" si="11"/>
        <v>楼层</v>
      </c>
      <c r="R28" s="1146" t="s">
        <v>60</v>
      </c>
      <c r="S28" s="1147">
        <f t="shared" ref="S28:S46" si="12">F28</f>
        <v>100</v>
      </c>
      <c r="T28" s="1146" t="s">
        <v>60</v>
      </c>
      <c r="U28" s="1147">
        <f t="shared" ref="U28:U46" si="13">H28</f>
        <v>100</v>
      </c>
      <c r="V28" s="1146" t="s">
        <v>60</v>
      </c>
      <c r="W28" s="1147">
        <f t="shared" ref="W28:W46" si="14">J28</f>
        <v>100</v>
      </c>
      <c r="X28" s="1133"/>
      <c r="Y28" s="3477"/>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5"/>
      <c r="M29" s="2160"/>
      <c r="N29" s="2160"/>
      <c r="O29" s="2160"/>
      <c r="P29" s="3475"/>
      <c r="Q29" s="1145">
        <f t="shared" si="11"/>
        <v>111</v>
      </c>
      <c r="R29" s="1146" t="s">
        <v>60</v>
      </c>
      <c r="S29" s="1147">
        <f t="shared" si="12"/>
        <v>100</v>
      </c>
      <c r="T29" s="1146" t="s">
        <v>60</v>
      </c>
      <c r="U29" s="1147">
        <f t="shared" si="13"/>
        <v>100</v>
      </c>
      <c r="V29" s="1146" t="s">
        <v>60</v>
      </c>
      <c r="W29" s="1147">
        <f t="shared" si="14"/>
        <v>100</v>
      </c>
      <c r="X29" s="1133"/>
      <c r="Y29" s="3477"/>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5"/>
      <c r="M30" s="2160"/>
      <c r="N30" s="2160"/>
      <c r="O30" s="2160"/>
      <c r="P30" s="3475"/>
      <c r="Q30" s="1145">
        <f t="shared" si="11"/>
        <v>111</v>
      </c>
      <c r="R30" s="1146" t="s">
        <v>60</v>
      </c>
      <c r="S30" s="1147">
        <f t="shared" si="12"/>
        <v>100</v>
      </c>
      <c r="T30" s="1146" t="s">
        <v>60</v>
      </c>
      <c r="U30" s="1147">
        <f t="shared" si="13"/>
        <v>100</v>
      </c>
      <c r="V30" s="1146" t="s">
        <v>60</v>
      </c>
      <c r="W30" s="1147">
        <f t="shared" si="14"/>
        <v>100</v>
      </c>
      <c r="X30" s="1133"/>
      <c r="Y30" s="3477"/>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5"/>
      <c r="M31" s="2160"/>
      <c r="N31" s="2160"/>
      <c r="O31" s="2160"/>
      <c r="P31" s="3475"/>
      <c r="Q31" s="1145">
        <f t="shared" si="11"/>
        <v>111</v>
      </c>
      <c r="R31" s="1146" t="s">
        <v>60</v>
      </c>
      <c r="S31" s="1147">
        <f t="shared" si="12"/>
        <v>100</v>
      </c>
      <c r="T31" s="1146" t="s">
        <v>60</v>
      </c>
      <c r="U31" s="1147">
        <f t="shared" si="13"/>
        <v>100</v>
      </c>
      <c r="V31" s="1146" t="s">
        <v>60</v>
      </c>
      <c r="W31" s="1147">
        <f t="shared" si="14"/>
        <v>100</v>
      </c>
      <c r="X31" s="1133"/>
      <c r="Y31" s="3477"/>
      <c r="Z31" s="1148">
        <f t="shared" si="15"/>
        <v>111</v>
      </c>
      <c r="AA31" s="1149">
        <f t="shared" si="3"/>
        <v>1</v>
      </c>
      <c r="AB31" s="1149">
        <f t="shared" si="4"/>
        <v>1</v>
      </c>
      <c r="AC31" s="1149">
        <f t="shared" si="5"/>
        <v>1</v>
      </c>
    </row>
    <row r="32" spans="1:29" ht="15">
      <c r="A32" s="105" t="s">
        <v>931</v>
      </c>
      <c r="B32" s="20" t="s">
        <v>932</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5"/>
      <c r="M32" s="2160"/>
      <c r="N32" s="2160"/>
      <c r="O32" s="2160"/>
      <c r="P32" s="3478" t="s">
        <v>933</v>
      </c>
      <c r="Q32" s="1145" t="str">
        <f t="shared" si="11"/>
        <v>商业类型</v>
      </c>
      <c r="R32" s="1146" t="s">
        <v>60</v>
      </c>
      <c r="S32" s="1147">
        <f t="shared" si="12"/>
        <v>100</v>
      </c>
      <c r="T32" s="1146" t="s">
        <v>60</v>
      </c>
      <c r="U32" s="1147">
        <f t="shared" si="13"/>
        <v>100</v>
      </c>
      <c r="V32" s="1146" t="s">
        <v>60</v>
      </c>
      <c r="W32" s="1147">
        <f t="shared" si="14"/>
        <v>100</v>
      </c>
      <c r="X32" s="1133"/>
      <c r="Y32" s="3481" t="s">
        <v>933</v>
      </c>
      <c r="Z32" s="1148" t="str">
        <f t="shared" si="15"/>
        <v>商业类型</v>
      </c>
      <c r="AA32" s="1149">
        <f t="shared" si="3"/>
        <v>1</v>
      </c>
      <c r="AB32" s="1149">
        <f t="shared" si="4"/>
        <v>1</v>
      </c>
      <c r="AC32" s="1149">
        <f t="shared" si="5"/>
        <v>1</v>
      </c>
    </row>
    <row r="33" spans="1:29" s="898" customFormat="1" ht="14.25">
      <c r="A33" s="902"/>
      <c r="B33" s="4" t="s">
        <v>70</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4"/>
      <c r="M33" s="2166"/>
      <c r="N33" s="2166"/>
      <c r="O33" s="2166"/>
      <c r="P33" s="3479"/>
      <c r="Q33" s="1153" t="str">
        <f t="shared" si="11"/>
        <v>项目建筑规模</v>
      </c>
      <c r="R33" s="1154" t="s">
        <v>60</v>
      </c>
      <c r="S33" s="1155" t="e">
        <f t="shared" si="12"/>
        <v>#N/A</v>
      </c>
      <c r="T33" s="1154" t="s">
        <v>60</v>
      </c>
      <c r="U33" s="1155" t="e">
        <f t="shared" si="13"/>
        <v>#N/A</v>
      </c>
      <c r="V33" s="1154" t="s">
        <v>60</v>
      </c>
      <c r="W33" s="1155" t="e">
        <f t="shared" si="14"/>
        <v>#N/A</v>
      </c>
      <c r="X33" s="1156"/>
      <c r="Y33" s="3481"/>
      <c r="Z33" s="1157" t="str">
        <f t="shared" si="15"/>
        <v>项目建筑规模</v>
      </c>
      <c r="AA33" s="1149" t="e">
        <f t="shared" si="3"/>
        <v>#N/A</v>
      </c>
      <c r="AB33" s="1149" t="e">
        <f t="shared" si="4"/>
        <v>#N/A</v>
      </c>
      <c r="AC33" s="1149" t="e">
        <f t="shared" si="5"/>
        <v>#N/A</v>
      </c>
    </row>
    <row r="34" spans="1:29" ht="15">
      <c r="A34" s="111"/>
      <c r="B34" s="4" t="s">
        <v>71</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5"/>
      <c r="M34" s="2160"/>
      <c r="N34" s="2160"/>
      <c r="O34" s="2160"/>
      <c r="P34" s="3479"/>
      <c r="Q34" s="1145" t="str">
        <f t="shared" si="11"/>
        <v>建筑结构</v>
      </c>
      <c r="R34" s="1146" t="s">
        <v>60</v>
      </c>
      <c r="S34" s="1147">
        <f t="shared" si="12"/>
        <v>100</v>
      </c>
      <c r="T34" s="1146" t="s">
        <v>60</v>
      </c>
      <c r="U34" s="1147">
        <f t="shared" si="13"/>
        <v>100</v>
      </c>
      <c r="V34" s="1146" t="s">
        <v>60</v>
      </c>
      <c r="W34" s="1147">
        <f t="shared" si="14"/>
        <v>100</v>
      </c>
      <c r="X34" s="1133"/>
      <c r="Y34" s="3481"/>
      <c r="Z34" s="1148" t="str">
        <f t="shared" si="15"/>
        <v>建筑结构</v>
      </c>
      <c r="AA34" s="1149">
        <f t="shared" si="3"/>
        <v>1</v>
      </c>
      <c r="AB34" s="1149">
        <f t="shared" si="4"/>
        <v>1</v>
      </c>
      <c r="AC34" s="1149">
        <f t="shared" si="5"/>
        <v>1</v>
      </c>
    </row>
    <row r="35" spans="1:29" ht="15">
      <c r="A35" s="111"/>
      <c r="B35" s="4" t="s">
        <v>934</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5"/>
      <c r="M35" s="2160"/>
      <c r="N35" s="2160"/>
      <c r="O35" s="2160"/>
      <c r="P35" s="3479"/>
      <c r="Q35" s="1145" t="str">
        <f t="shared" si="11"/>
        <v>公共部分装修</v>
      </c>
      <c r="R35" s="1146" t="s">
        <v>60</v>
      </c>
      <c r="S35" s="1147">
        <f t="shared" si="12"/>
        <v>100</v>
      </c>
      <c r="T35" s="1146" t="s">
        <v>60</v>
      </c>
      <c r="U35" s="1147">
        <f t="shared" si="13"/>
        <v>100</v>
      </c>
      <c r="V35" s="1146" t="s">
        <v>60</v>
      </c>
      <c r="W35" s="1147">
        <f t="shared" si="14"/>
        <v>100</v>
      </c>
      <c r="X35" s="1133"/>
      <c r="Y35" s="3481"/>
      <c r="Z35" s="1148" t="str">
        <f t="shared" si="15"/>
        <v>公共部分装修</v>
      </c>
      <c r="AA35" s="1149">
        <f t="shared" si="3"/>
        <v>1</v>
      </c>
      <c r="AB35" s="1149">
        <f t="shared" si="4"/>
        <v>1</v>
      </c>
      <c r="AC35" s="1149">
        <f t="shared" si="5"/>
        <v>1</v>
      </c>
    </row>
    <row r="36" spans="1:29" ht="15">
      <c r="A36" s="111"/>
      <c r="B36" s="4" t="s">
        <v>935</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5"/>
      <c r="M36" s="2160"/>
      <c r="N36" s="2160"/>
      <c r="O36" s="2160"/>
      <c r="P36" s="3479"/>
      <c r="Q36" s="1145" t="str">
        <f t="shared" si="11"/>
        <v>成新度</v>
      </c>
      <c r="R36" s="1146" t="s">
        <v>60</v>
      </c>
      <c r="S36" s="1147" t="e">
        <f t="shared" si="12"/>
        <v>#N/A</v>
      </c>
      <c r="T36" s="1146" t="s">
        <v>60</v>
      </c>
      <c r="U36" s="1147" t="e">
        <f t="shared" si="13"/>
        <v>#N/A</v>
      </c>
      <c r="V36" s="1146" t="s">
        <v>60</v>
      </c>
      <c r="W36" s="1147" t="e">
        <f t="shared" si="14"/>
        <v>#N/A</v>
      </c>
      <c r="X36" s="1133"/>
      <c r="Y36" s="3481"/>
      <c r="Z36" s="1148" t="str">
        <f t="shared" si="15"/>
        <v>成新度</v>
      </c>
      <c r="AA36" s="1149" t="e">
        <f t="shared" si="3"/>
        <v>#N/A</v>
      </c>
      <c r="AB36" s="1149" t="e">
        <f t="shared" si="4"/>
        <v>#N/A</v>
      </c>
      <c r="AC36" s="1149" t="e">
        <f t="shared" si="5"/>
        <v>#N/A</v>
      </c>
    </row>
    <row r="37" spans="1:29" s="11" customFormat="1" ht="15">
      <c r="A37" s="900"/>
      <c r="B37" s="4" t="s">
        <v>2541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1"/>
      <c r="M37" s="2103"/>
      <c r="N37" s="2103"/>
      <c r="O37" s="2103"/>
      <c r="P37" s="3479"/>
      <c r="Q37" s="2" t="str">
        <f t="shared" si="11"/>
        <v>市政基础设施</v>
      </c>
      <c r="R37" s="1135" t="s">
        <v>60</v>
      </c>
      <c r="S37" s="1136">
        <f t="shared" si="12"/>
        <v>100</v>
      </c>
      <c r="T37" s="1135" t="s">
        <v>60</v>
      </c>
      <c r="U37" s="1136">
        <f t="shared" si="13"/>
        <v>100</v>
      </c>
      <c r="V37" s="1135" t="s">
        <v>60</v>
      </c>
      <c r="W37" s="1136">
        <f t="shared" si="14"/>
        <v>100</v>
      </c>
      <c r="X37" s="184"/>
      <c r="Y37" s="3481"/>
      <c r="Z37" s="185" t="str">
        <f t="shared" si="15"/>
        <v>市政基础设施</v>
      </c>
      <c r="AA37" s="1137">
        <f t="shared" si="3"/>
        <v>1</v>
      </c>
      <c r="AB37" s="1137">
        <f t="shared" si="4"/>
        <v>1</v>
      </c>
      <c r="AC37" s="1137">
        <f t="shared" si="5"/>
        <v>1</v>
      </c>
    </row>
    <row r="38" spans="1:29" ht="15">
      <c r="A38" s="111"/>
      <c r="B38" s="4" t="s">
        <v>135</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5"/>
      <c r="M38" s="2160"/>
      <c r="N38" s="2160"/>
      <c r="O38" s="2160"/>
      <c r="P38" s="3479" t="s">
        <v>936</v>
      </c>
      <c r="Q38" s="1145" t="str">
        <f t="shared" si="11"/>
        <v>业态</v>
      </c>
      <c r="R38" s="1146" t="s">
        <v>60</v>
      </c>
      <c r="S38" s="1147">
        <f t="shared" si="12"/>
        <v>100</v>
      </c>
      <c r="T38" s="1146" t="s">
        <v>60</v>
      </c>
      <c r="U38" s="1147">
        <f t="shared" si="13"/>
        <v>100</v>
      </c>
      <c r="V38" s="1146" t="s">
        <v>60</v>
      </c>
      <c r="W38" s="1147">
        <f t="shared" si="14"/>
        <v>100</v>
      </c>
      <c r="X38" s="1133"/>
      <c r="Y38" s="3481" t="s">
        <v>936</v>
      </c>
      <c r="Z38" s="1148" t="str">
        <f t="shared" si="15"/>
        <v>业态</v>
      </c>
      <c r="AA38" s="1149">
        <f t="shared" si="3"/>
        <v>1</v>
      </c>
      <c r="AB38" s="1149">
        <f t="shared" si="4"/>
        <v>1</v>
      </c>
      <c r="AC38" s="1149">
        <f t="shared" si="5"/>
        <v>1</v>
      </c>
    </row>
    <row r="39" spans="1:29" ht="15">
      <c r="A39" s="111"/>
      <c r="B39" s="4" t="s">
        <v>937</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5"/>
      <c r="M39" s="2160"/>
      <c r="N39" s="2160"/>
      <c r="O39" s="2160"/>
      <c r="P39" s="3479"/>
      <c r="Q39" s="1145" t="str">
        <f t="shared" si="11"/>
        <v>层高</v>
      </c>
      <c r="R39" s="1146" t="s">
        <v>60</v>
      </c>
      <c r="S39" s="1147">
        <f t="shared" si="12"/>
        <v>100</v>
      </c>
      <c r="T39" s="1146" t="s">
        <v>60</v>
      </c>
      <c r="U39" s="1147">
        <f t="shared" si="13"/>
        <v>100</v>
      </c>
      <c r="V39" s="1146" t="s">
        <v>60</v>
      </c>
      <c r="W39" s="1147">
        <f t="shared" si="14"/>
        <v>100</v>
      </c>
      <c r="X39" s="1133"/>
      <c r="Y39" s="3481"/>
      <c r="Z39" s="1148" t="str">
        <f t="shared" si="15"/>
        <v>层高</v>
      </c>
      <c r="AA39" s="1149">
        <f t="shared" si="3"/>
        <v>1</v>
      </c>
      <c r="AB39" s="1149">
        <f t="shared" si="4"/>
        <v>1</v>
      </c>
      <c r="AC39" s="1149">
        <f t="shared" si="5"/>
        <v>1</v>
      </c>
    </row>
    <row r="40" spans="1:29" ht="14.25">
      <c r="A40" s="111"/>
      <c r="B40" s="4" t="s">
        <v>938</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5"/>
      <c r="M40" s="2160"/>
      <c r="N40" s="2160"/>
      <c r="O40" s="2160"/>
      <c r="P40" s="3479"/>
      <c r="Q40" s="1145" t="str">
        <f t="shared" si="11"/>
        <v>单套建筑面积</v>
      </c>
      <c r="R40" s="1146" t="s">
        <v>60</v>
      </c>
      <c r="S40" s="1147">
        <f t="shared" si="12"/>
        <v>100</v>
      </c>
      <c r="T40" s="1146" t="s">
        <v>60</v>
      </c>
      <c r="U40" s="1147">
        <f t="shared" si="13"/>
        <v>100</v>
      </c>
      <c r="V40" s="1146" t="s">
        <v>60</v>
      </c>
      <c r="W40" s="1147">
        <f t="shared" si="14"/>
        <v>100</v>
      </c>
      <c r="X40" s="1133"/>
      <c r="Y40" s="3481"/>
      <c r="Z40" s="1148" t="str">
        <f t="shared" si="15"/>
        <v>单套建筑面积</v>
      </c>
      <c r="AA40" s="1149">
        <f t="shared" si="3"/>
        <v>1</v>
      </c>
      <c r="AB40" s="1149">
        <f t="shared" si="4"/>
        <v>1</v>
      </c>
      <c r="AC40" s="1149">
        <f t="shared" si="5"/>
        <v>1</v>
      </c>
    </row>
    <row r="41" spans="1:29" s="898" customFormat="1" ht="15">
      <c r="A41" s="902"/>
      <c r="B41" s="143" t="s">
        <v>939</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4"/>
      <c r="M41" s="2166"/>
      <c r="N41" s="2166"/>
      <c r="O41" s="2166"/>
      <c r="P41" s="3479"/>
      <c r="Q41" s="1153" t="str">
        <f t="shared" si="11"/>
        <v>进深比</v>
      </c>
      <c r="R41" s="1154" t="s">
        <v>60</v>
      </c>
      <c r="S41" s="1155">
        <f t="shared" si="12"/>
        <v>100</v>
      </c>
      <c r="T41" s="1154" t="s">
        <v>60</v>
      </c>
      <c r="U41" s="1155">
        <f t="shared" si="13"/>
        <v>100</v>
      </c>
      <c r="V41" s="1154" t="s">
        <v>60</v>
      </c>
      <c r="W41" s="1155">
        <f t="shared" si="14"/>
        <v>100</v>
      </c>
      <c r="X41" s="1156"/>
      <c r="Y41" s="3481"/>
      <c r="Z41" s="1157" t="str">
        <f t="shared" si="15"/>
        <v>进深比</v>
      </c>
      <c r="AA41" s="1149">
        <f t="shared" si="3"/>
        <v>1</v>
      </c>
      <c r="AB41" s="1149">
        <f t="shared" si="4"/>
        <v>1</v>
      </c>
      <c r="AC41" s="1149">
        <f t="shared" si="5"/>
        <v>1</v>
      </c>
    </row>
    <row r="42" spans="1:29" ht="15">
      <c r="A42" s="111"/>
      <c r="B42" s="4" t="s">
        <v>940</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5"/>
      <c r="M42" s="2160"/>
      <c r="N42" s="2160"/>
      <c r="O42" s="2160"/>
      <c r="P42" s="3479"/>
      <c r="Q42" s="1145" t="str">
        <f t="shared" si="11"/>
        <v>内部装修</v>
      </c>
      <c r="R42" s="1146" t="s">
        <v>60</v>
      </c>
      <c r="S42" s="1147">
        <f t="shared" si="12"/>
        <v>100</v>
      </c>
      <c r="T42" s="1146" t="s">
        <v>60</v>
      </c>
      <c r="U42" s="1147">
        <f t="shared" si="13"/>
        <v>100</v>
      </c>
      <c r="V42" s="1146" t="s">
        <v>60</v>
      </c>
      <c r="W42" s="1147">
        <f t="shared" si="14"/>
        <v>100</v>
      </c>
      <c r="X42" s="1133"/>
      <c r="Y42" s="3481"/>
      <c r="Z42" s="1148" t="str">
        <f t="shared" si="15"/>
        <v>内部装修</v>
      </c>
      <c r="AA42" s="1149">
        <f t="shared" si="3"/>
        <v>1</v>
      </c>
      <c r="AB42" s="1149">
        <f t="shared" si="4"/>
        <v>1</v>
      </c>
      <c r="AC42" s="1149">
        <f t="shared" si="5"/>
        <v>1</v>
      </c>
    </row>
    <row r="43" spans="1:29" ht="27">
      <c r="A43" s="111"/>
      <c r="B43" s="4" t="s">
        <v>78</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5"/>
      <c r="M43" s="2160"/>
      <c r="N43" s="2160"/>
      <c r="O43" s="2160"/>
      <c r="P43" s="3479"/>
      <c r="Q43" s="1145" t="str">
        <f t="shared" si="11"/>
        <v>内部装修维护情况</v>
      </c>
      <c r="R43" s="1146" t="s">
        <v>60</v>
      </c>
      <c r="S43" s="1147">
        <f t="shared" si="12"/>
        <v>100</v>
      </c>
      <c r="T43" s="1146" t="s">
        <v>60</v>
      </c>
      <c r="U43" s="1147">
        <f t="shared" si="13"/>
        <v>100</v>
      </c>
      <c r="V43" s="1146" t="s">
        <v>60</v>
      </c>
      <c r="W43" s="1147">
        <f t="shared" si="14"/>
        <v>100</v>
      </c>
      <c r="X43" s="1133"/>
      <c r="Y43" s="3481"/>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1"/>
      <c r="M44" s="2103"/>
      <c r="N44" s="2103"/>
      <c r="O44" s="2103"/>
      <c r="P44" s="3479"/>
      <c r="Q44" s="2">
        <f t="shared" si="11"/>
        <v>111</v>
      </c>
      <c r="R44" s="1135" t="s">
        <v>60</v>
      </c>
      <c r="S44" s="1136">
        <f t="shared" si="12"/>
        <v>100</v>
      </c>
      <c r="T44" s="1135" t="s">
        <v>60</v>
      </c>
      <c r="U44" s="1136">
        <f t="shared" si="13"/>
        <v>100</v>
      </c>
      <c r="V44" s="1135" t="s">
        <v>60</v>
      </c>
      <c r="W44" s="1136">
        <f t="shared" si="14"/>
        <v>100</v>
      </c>
      <c r="X44" s="184"/>
      <c r="Y44" s="3481"/>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5"/>
      <c r="M45" s="2160"/>
      <c r="N45" s="2160"/>
      <c r="O45" s="2160"/>
      <c r="P45" s="3479"/>
      <c r="Q45" s="1145">
        <f t="shared" si="11"/>
        <v>111</v>
      </c>
      <c r="R45" s="1146" t="s">
        <v>60</v>
      </c>
      <c r="S45" s="1147">
        <f t="shared" si="12"/>
        <v>100</v>
      </c>
      <c r="T45" s="1146" t="s">
        <v>60</v>
      </c>
      <c r="U45" s="1147">
        <f t="shared" si="13"/>
        <v>100</v>
      </c>
      <c r="V45" s="1146" t="s">
        <v>60</v>
      </c>
      <c r="W45" s="1147">
        <f t="shared" si="14"/>
        <v>100</v>
      </c>
      <c r="X45" s="1133"/>
      <c r="Y45" s="3481"/>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5"/>
      <c r="M46" s="2160"/>
      <c r="N46" s="2160"/>
      <c r="O46" s="2160"/>
      <c r="P46" s="3480"/>
      <c r="Q46" s="1145">
        <f t="shared" si="11"/>
        <v>111</v>
      </c>
      <c r="R46" s="1146" t="s">
        <v>60</v>
      </c>
      <c r="S46" s="1147">
        <f t="shared" si="12"/>
        <v>100</v>
      </c>
      <c r="T46" s="1146" t="s">
        <v>60</v>
      </c>
      <c r="U46" s="1147">
        <f t="shared" si="13"/>
        <v>100</v>
      </c>
      <c r="V46" s="1146" t="s">
        <v>60</v>
      </c>
      <c r="W46" s="1147">
        <f t="shared" si="14"/>
        <v>100</v>
      </c>
      <c r="X46" s="1133"/>
      <c r="Y46" s="3482"/>
      <c r="Z46" s="1148">
        <f t="shared" si="15"/>
        <v>111</v>
      </c>
      <c r="AA46" s="1149">
        <f t="shared" si="3"/>
        <v>1</v>
      </c>
      <c r="AB46" s="1149">
        <f t="shared" si="4"/>
        <v>1</v>
      </c>
      <c r="AC46" s="1149">
        <f t="shared" si="5"/>
        <v>1</v>
      </c>
    </row>
    <row r="47" spans="1:29" ht="15">
      <c r="A47" s="113" t="s">
        <v>941</v>
      </c>
      <c r="B47" s="114"/>
      <c r="C47" s="2605" t="s">
        <v>20</v>
      </c>
      <c r="D47" s="2606"/>
      <c r="E47" s="2607"/>
      <c r="F47" s="2608"/>
      <c r="G47" s="2609"/>
      <c r="H47" s="2610"/>
      <c r="I47" s="2607"/>
      <c r="J47" s="2610"/>
      <c r="K47" s="1188"/>
      <c r="L47" s="2167"/>
      <c r="M47" s="2168"/>
      <c r="N47" s="2160"/>
      <c r="O47" s="2168"/>
      <c r="P47" s="3473" t="str">
        <f>A47</f>
        <v>成交单价（元/平方米）</v>
      </c>
      <c r="Q47" s="3473"/>
      <c r="R47" s="3469">
        <f>E47</f>
        <v>0</v>
      </c>
      <c r="S47" s="3469"/>
      <c r="T47" s="3469">
        <f>G47</f>
        <v>0</v>
      </c>
      <c r="U47" s="3469"/>
      <c r="V47" s="3469">
        <f>I47</f>
        <v>0</v>
      </c>
      <c r="W47" s="3469"/>
      <c r="X47" s="1159"/>
      <c r="Y47" s="1160"/>
      <c r="Z47" s="1159"/>
      <c r="AA47" s="1159"/>
      <c r="AB47" s="1159"/>
      <c r="AC47" s="1159"/>
    </row>
    <row r="48" spans="1:29" ht="15.75" thickBot="1">
      <c r="A48" s="115" t="s">
        <v>942</v>
      </c>
      <c r="B48" s="116"/>
      <c r="C48" s="2611" t="e">
        <f>R49</f>
        <v>#DIV/0!</v>
      </c>
      <c r="D48" s="2612"/>
      <c r="E48" s="2613" t="e">
        <f>R48</f>
        <v>#DIV/0!</v>
      </c>
      <c r="F48" s="2613"/>
      <c r="G48" s="2611" t="e">
        <f>T48</f>
        <v>#DIV/0!</v>
      </c>
      <c r="H48" s="2612"/>
      <c r="I48" s="2613" t="e">
        <f>V48</f>
        <v>#DIV/0!</v>
      </c>
      <c r="J48" s="2612"/>
      <c r="K48" s="1189"/>
      <c r="L48" s="2167"/>
      <c r="M48" s="2168"/>
      <c r="N48" s="2160"/>
      <c r="O48" s="2168"/>
      <c r="P48" s="3473" t="str">
        <f>A48</f>
        <v>比较价值（元/平方米）</v>
      </c>
      <c r="Q48" s="3473"/>
      <c r="R48" s="3469" t="e">
        <f>IF(E1="售价",ROUND(PRODUCT(R47,AA7:AA46),0),ROUND(PRODUCT(R47,AA7:AA46),1))</f>
        <v>#DIV/0!</v>
      </c>
      <c r="S48" s="3469"/>
      <c r="T48" s="3469" t="e">
        <f>IF(E1="售价",ROUND(PRODUCT(T47,AB7:AB46),0),ROUND(PRODUCT(T47,AB7:AB46),1))</f>
        <v>#DIV/0!</v>
      </c>
      <c r="U48" s="3469"/>
      <c r="V48" s="3469" t="e">
        <f>IF(E1="售价",ROUND(PRODUCT(V47,AC7:AC46),0),ROUND(PRODUCT(V47,AC7:AC46),1))</f>
        <v>#DIV/0!</v>
      </c>
      <c r="W48" s="3469"/>
      <c r="X48" s="1159"/>
      <c r="Y48" s="1159"/>
      <c r="Z48" s="1159"/>
      <c r="AA48" s="1159"/>
      <c r="AB48" s="1159"/>
      <c r="AC48" s="1159"/>
    </row>
    <row r="49" spans="1:29" ht="15.75" thickBot="1">
      <c r="A49" s="62" t="s">
        <v>943</v>
      </c>
      <c r="B49" s="63"/>
      <c r="C49" s="2615" t="e">
        <f>R49</f>
        <v>#DIV/0!</v>
      </c>
      <c r="D49" s="2615"/>
      <c r="E49" s="2615"/>
      <c r="F49" s="2615"/>
      <c r="G49" s="2615"/>
      <c r="H49" s="2615"/>
      <c r="I49" s="2615"/>
      <c r="J49" s="2615"/>
      <c r="K49" s="1190"/>
      <c r="L49" s="2167"/>
      <c r="M49" s="2168"/>
      <c r="N49" s="2160"/>
      <c r="O49" s="2168"/>
      <c r="P49" s="3470" t="str">
        <f>A49</f>
        <v>估价对象XX用房的比较价值（楼面单价，元/平方米）</v>
      </c>
      <c r="Q49" s="3471"/>
      <c r="R49" s="3472" t="e">
        <f>IF(E1="售价",ROUND(AVERAGE(R48:V48),0),ROUND(AVERAGE(R48:V48),1))</f>
        <v>#DIV/0!</v>
      </c>
      <c r="S49" s="3472"/>
      <c r="T49" s="3472"/>
      <c r="U49" s="3472"/>
      <c r="V49" s="3472"/>
      <c r="W49" s="3472"/>
      <c r="X49" s="1159"/>
      <c r="Y49" s="1159"/>
      <c r="Z49" s="1159"/>
      <c r="AA49" s="1159"/>
      <c r="AB49" s="1159"/>
      <c r="AC49" s="1159"/>
    </row>
    <row r="50" spans="1:29">
      <c r="A50" s="2168"/>
      <c r="B50" s="2168"/>
      <c r="C50" s="2168"/>
      <c r="D50" s="2168"/>
      <c r="E50" s="2168"/>
      <c r="F50" s="2168"/>
      <c r="G50" s="2172"/>
      <c r="H50" s="2168"/>
      <c r="I50" s="2168"/>
      <c r="J50" s="2168"/>
      <c r="K50" s="2173"/>
      <c r="L50" s="2169"/>
      <c r="M50" s="2168"/>
      <c r="N50" s="2168"/>
      <c r="O50" s="2168"/>
      <c r="P50" s="2190"/>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3"/>
      <c r="L51" s="2169"/>
      <c r="M51" s="2168"/>
      <c r="N51" s="2168"/>
      <c r="O51" s="2168"/>
      <c r="P51" s="2190"/>
      <c r="Q51" s="2168"/>
      <c r="R51" s="2168"/>
      <c r="S51" s="2168"/>
      <c r="T51" s="2168"/>
      <c r="U51" s="2168"/>
      <c r="V51" s="2168"/>
      <c r="W51" s="2168"/>
      <c r="X51" s="2168"/>
      <c r="Y51" s="2168"/>
      <c r="Z51" s="2168"/>
      <c r="AA51" s="2168"/>
      <c r="AB51" s="2168"/>
      <c r="AC51" s="2168"/>
    </row>
    <row r="52" spans="1:29" ht="13.5" customHeight="1">
      <c r="A52" s="2168"/>
      <c r="B52" s="2168"/>
      <c r="C52" s="696" t="s">
        <v>911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3"/>
      <c r="L52" s="2169"/>
      <c r="M52" s="2168"/>
      <c r="N52" s="2168"/>
      <c r="O52" s="2168"/>
      <c r="P52" s="2190"/>
      <c r="Q52" s="2168"/>
      <c r="R52" s="2168"/>
      <c r="S52" s="2168"/>
      <c r="T52" s="2168"/>
      <c r="U52" s="2168"/>
      <c r="V52" s="2168"/>
      <c r="W52" s="2168"/>
      <c r="X52" s="2168"/>
      <c r="Y52" s="2168"/>
      <c r="Z52" s="2168"/>
      <c r="AA52" s="2168"/>
      <c r="AB52" s="2168"/>
      <c r="AC52" s="2168"/>
    </row>
    <row r="53" spans="1:29" ht="13.5" customHeight="1">
      <c r="A53" s="2168"/>
      <c r="B53" s="2168"/>
      <c r="C53" s="696" t="s">
        <v>912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3"/>
      <c r="L53" s="2169"/>
      <c r="M53" s="2168"/>
      <c r="N53" s="2168"/>
      <c r="O53" s="2168"/>
      <c r="P53" s="2190"/>
      <c r="Q53" s="2168"/>
      <c r="R53" s="2168"/>
      <c r="S53" s="2168"/>
      <c r="T53" s="2168"/>
      <c r="U53" s="2168"/>
      <c r="V53" s="2168"/>
      <c r="W53" s="2168"/>
      <c r="X53" s="2168"/>
      <c r="Y53" s="2168"/>
      <c r="Z53" s="2168"/>
      <c r="AA53" s="2168"/>
      <c r="AB53" s="2168"/>
      <c r="AC53" s="2168"/>
    </row>
    <row r="54" spans="1:29" s="66" customFormat="1" ht="13.5" customHeight="1">
      <c r="A54" s="2170"/>
      <c r="B54" s="2170"/>
      <c r="C54" s="696" t="s">
        <v>913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4"/>
      <c r="L54" s="2175"/>
      <c r="M54" s="2170"/>
      <c r="N54" s="2170"/>
      <c r="O54" s="2170"/>
      <c r="P54" s="2191"/>
      <c r="Q54" s="2170"/>
      <c r="R54" s="2170"/>
      <c r="S54" s="2170"/>
      <c r="T54" s="2170"/>
      <c r="U54" s="2170"/>
      <c r="V54" s="2170"/>
      <c r="W54" s="2170"/>
      <c r="X54" s="2170"/>
      <c r="Y54" s="2170"/>
      <c r="Z54" s="2170"/>
      <c r="AA54" s="2170"/>
      <c r="AB54" s="2170"/>
      <c r="AC54" s="2170"/>
    </row>
    <row r="55" spans="1:29" s="66" customFormat="1">
      <c r="A55" s="2170"/>
      <c r="B55" s="2171"/>
      <c r="C55" s="2176"/>
      <c r="D55" s="2170"/>
      <c r="E55" s="2170"/>
      <c r="F55" s="2170"/>
      <c r="G55" s="2170"/>
      <c r="H55" s="2170"/>
      <c r="I55" s="2170"/>
      <c r="J55" s="2170"/>
      <c r="K55" s="2174"/>
      <c r="L55" s="2175"/>
      <c r="M55" s="2170"/>
      <c r="N55" s="2170"/>
      <c r="O55" s="2170"/>
      <c r="P55" s="2191"/>
      <c r="Q55" s="2170"/>
      <c r="R55" s="2170"/>
      <c r="S55" s="2170"/>
      <c r="T55" s="2170"/>
      <c r="U55" s="2170"/>
      <c r="V55" s="2170"/>
      <c r="W55" s="2170"/>
      <c r="X55" s="2170"/>
      <c r="Y55" s="2170"/>
      <c r="Z55" s="2170"/>
      <c r="AA55" s="2170"/>
      <c r="AB55" s="2170"/>
      <c r="AC55" s="2170"/>
    </row>
    <row r="56" spans="1:29">
      <c r="A56" s="2168"/>
      <c r="B56" s="2171"/>
      <c r="C56" s="2176"/>
      <c r="D56" s="2168"/>
      <c r="E56" s="2168"/>
      <c r="F56" s="2168"/>
      <c r="G56" s="2168"/>
      <c r="H56" s="2168"/>
      <c r="I56" s="2168"/>
      <c r="J56" s="2168"/>
      <c r="K56" s="2173"/>
      <c r="L56" s="2169"/>
      <c r="M56" s="2168"/>
      <c r="N56" s="2168"/>
      <c r="O56" s="2168"/>
      <c r="P56" s="2190"/>
      <c r="Q56" s="2168"/>
      <c r="R56" s="2168"/>
      <c r="S56" s="2168"/>
      <c r="T56" s="2168"/>
      <c r="U56" s="2168"/>
      <c r="V56" s="2168"/>
      <c r="W56" s="2168"/>
      <c r="X56" s="2168"/>
      <c r="Y56" s="2168"/>
      <c r="Z56" s="2168"/>
      <c r="AA56" s="2168"/>
      <c r="AB56" s="2168"/>
      <c r="AC56" s="2168"/>
    </row>
    <row r="57" spans="1:29" ht="21" thickBot="1">
      <c r="A57" s="1165" t="s">
        <v>944</v>
      </c>
      <c r="B57" s="1159"/>
      <c r="C57" s="1166"/>
      <c r="D57" s="1166"/>
      <c r="E57" s="1166"/>
      <c r="F57" s="1167"/>
      <c r="G57" s="1167"/>
      <c r="H57" s="1166"/>
      <c r="I57" s="1166"/>
      <c r="J57" s="1166"/>
      <c r="K57" s="1168"/>
      <c r="L57" s="2188"/>
      <c r="M57" s="2189"/>
      <c r="N57" s="2189"/>
      <c r="O57" s="2189"/>
      <c r="P57" s="2192"/>
      <c r="Q57" s="2193"/>
      <c r="R57" s="2168"/>
      <c r="S57" s="2168"/>
      <c r="T57" s="2168"/>
      <c r="U57" s="2168"/>
      <c r="V57" s="2168"/>
      <c r="W57" s="2168"/>
      <c r="X57" s="2168"/>
      <c r="Y57" s="2168"/>
      <c r="Z57" s="2168"/>
      <c r="AA57" s="2168"/>
      <c r="AB57" s="2168"/>
      <c r="AC57" s="2168"/>
    </row>
    <row r="58" spans="1:29" s="907" customFormat="1" ht="14.25">
      <c r="A58" s="904" t="s">
        <v>945</v>
      </c>
      <c r="B58" s="905"/>
      <c r="C58" s="2800" t="str">
        <f>YEAR(C7)&amp;"-"&amp;MONTH(C7)</f>
        <v>2017-6</v>
      </c>
      <c r="D58" s="2801">
        <f>EDATE(C58,-1)</f>
        <v>42856</v>
      </c>
      <c r="E58" s="2801">
        <f t="shared" ref="E58:O58" si="16">EDATE(D58,-1)</f>
        <v>42826</v>
      </c>
      <c r="F58" s="2801">
        <f t="shared" si="16"/>
        <v>42795</v>
      </c>
      <c r="G58" s="2801">
        <f t="shared" si="16"/>
        <v>42767</v>
      </c>
      <c r="H58" s="2801">
        <f t="shared" si="16"/>
        <v>42736</v>
      </c>
      <c r="I58" s="2801">
        <f t="shared" si="16"/>
        <v>42705</v>
      </c>
      <c r="J58" s="2801">
        <f t="shared" si="16"/>
        <v>42675</v>
      </c>
      <c r="K58" s="2801">
        <f t="shared" si="16"/>
        <v>42644</v>
      </c>
      <c r="L58" s="2801">
        <f t="shared" si="16"/>
        <v>42614</v>
      </c>
      <c r="M58" s="2801">
        <f t="shared" si="16"/>
        <v>42583</v>
      </c>
      <c r="N58" s="2801">
        <f t="shared" si="16"/>
        <v>42552</v>
      </c>
      <c r="O58" s="2801">
        <f t="shared" si="16"/>
        <v>42522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946</v>
      </c>
      <c r="B60" s="911"/>
      <c r="C60" s="716"/>
      <c r="D60" s="717"/>
      <c r="E60" s="717"/>
      <c r="F60" s="717"/>
      <c r="G60" s="717"/>
      <c r="H60" s="717"/>
      <c r="I60" s="717"/>
      <c r="J60" s="717"/>
      <c r="K60" s="717"/>
      <c r="L60" s="717"/>
      <c r="M60" s="718"/>
      <c r="N60" s="717"/>
      <c r="O60" s="718"/>
      <c r="P60" s="1172"/>
      <c r="Q60" s="68"/>
    </row>
    <row r="61" spans="1:29" s="11" customFormat="1">
      <c r="A61" s="912" t="s">
        <v>947</v>
      </c>
      <c r="B61" s="909"/>
      <c r="C61" s="913" t="s">
        <v>948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949</v>
      </c>
      <c r="B63" s="183" t="s">
        <v>950</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951</v>
      </c>
      <c r="C65" s="740" t="s">
        <v>914</v>
      </c>
      <c r="D65" s="740" t="s">
        <v>915</v>
      </c>
      <c r="E65" s="740" t="s">
        <v>916</v>
      </c>
      <c r="F65" s="740" t="s">
        <v>917</v>
      </c>
      <c r="G65" s="740" t="s">
        <v>918</v>
      </c>
      <c r="H65" s="740" t="s">
        <v>919</v>
      </c>
      <c r="I65" s="740" t="s">
        <v>920</v>
      </c>
      <c r="J65" s="740"/>
      <c r="K65" s="741"/>
      <c r="L65" s="742"/>
      <c r="M65" s="743"/>
      <c r="N65" s="1184"/>
      <c r="O65" s="1184"/>
      <c r="P65" s="1174"/>
      <c r="Q65" s="68"/>
    </row>
    <row r="66" spans="1:17" ht="15" thickBot="1">
      <c r="A66" s="125"/>
      <c r="B66" s="918"/>
      <c r="C66" s="745" t="s">
        <v>138</v>
      </c>
      <c r="D66" s="745" t="s">
        <v>139</v>
      </c>
      <c r="E66" s="745" t="s">
        <v>140</v>
      </c>
      <c r="F66" s="745">
        <v>100</v>
      </c>
      <c r="G66" s="745">
        <f>F66-$K10</f>
        <v>100</v>
      </c>
      <c r="H66" s="745">
        <f>G66-$K10</f>
        <v>100</v>
      </c>
      <c r="I66" s="745">
        <f>H66-$K10</f>
        <v>100</v>
      </c>
      <c r="J66" s="745"/>
      <c r="K66" s="745"/>
      <c r="L66" s="745"/>
      <c r="M66" s="746"/>
      <c r="N66" s="1185"/>
      <c r="O66" s="1185"/>
      <c r="P66" s="1174"/>
      <c r="Q66" s="68"/>
    </row>
    <row r="67" spans="1:17" ht="15" thickTop="1">
      <c r="A67" s="125"/>
      <c r="B67" s="919" t="s">
        <v>952</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953</v>
      </c>
      <c r="B76" s="183" t="s">
        <v>954</v>
      </c>
      <c r="C76" s="775" t="s">
        <v>921</v>
      </c>
      <c r="D76" s="775" t="s">
        <v>922</v>
      </c>
      <c r="E76" s="775" t="s">
        <v>923</v>
      </c>
      <c r="F76" s="775" t="s">
        <v>924</v>
      </c>
      <c r="G76" s="775" t="s">
        <v>925</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960</v>
      </c>
      <c r="C78" s="780" t="s">
        <v>437</v>
      </c>
      <c r="D78" s="780" t="s">
        <v>438</v>
      </c>
      <c r="E78" s="780" t="s">
        <v>439</v>
      </c>
      <c r="F78" s="780" t="s">
        <v>440</v>
      </c>
      <c r="G78" s="780" t="s">
        <v>441</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2530</v>
      </c>
      <c r="C80" s="780" t="s">
        <v>437</v>
      </c>
      <c r="D80" s="780" t="s">
        <v>438</v>
      </c>
      <c r="E80" s="780" t="s">
        <v>439</v>
      </c>
      <c r="F80" s="780" t="s">
        <v>440</v>
      </c>
      <c r="G80" s="780" t="s">
        <v>441</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2542</v>
      </c>
      <c r="C82" s="129" t="s">
        <v>2534</v>
      </c>
      <c r="D82" s="129" t="s">
        <v>2535</v>
      </c>
      <c r="E82" s="129" t="s">
        <v>2536</v>
      </c>
      <c r="F82" s="129" t="s">
        <v>2537</v>
      </c>
      <c r="G82" s="129" t="s">
        <v>2538</v>
      </c>
      <c r="H82" s="740"/>
      <c r="I82" s="740"/>
      <c r="J82" s="740"/>
      <c r="K82" s="740"/>
      <c r="L82" s="740"/>
      <c r="M82" s="2555"/>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961</v>
      </c>
      <c r="C84" s="780" t="s">
        <v>437</v>
      </c>
      <c r="D84" s="780" t="s">
        <v>438</v>
      </c>
      <c r="E84" s="780" t="s">
        <v>439</v>
      </c>
      <c r="F84" s="780" t="s">
        <v>440</v>
      </c>
      <c r="G84" s="780" t="s">
        <v>441</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962</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963</v>
      </c>
      <c r="B100" s="183" t="s">
        <v>964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965</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966</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967</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968</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969</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970</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971</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972</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973</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974</v>
      </c>
      <c r="C124" s="133" t="s">
        <v>955</v>
      </c>
      <c r="D124" s="133" t="s">
        <v>956</v>
      </c>
      <c r="E124" s="133" t="s">
        <v>957</v>
      </c>
      <c r="F124" s="133" t="s">
        <v>958</v>
      </c>
      <c r="G124" s="133" t="s">
        <v>959</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975</v>
      </c>
      <c r="B1" s="2887" t="s">
        <v>976</v>
      </c>
      <c r="C1" s="2888"/>
      <c r="D1" s="2892"/>
      <c r="E1" s="2890"/>
      <c r="F1" s="2891" t="s">
        <v>977</v>
      </c>
      <c r="G1" s="2892"/>
      <c r="H1" s="2892"/>
      <c r="I1" s="2892"/>
      <c r="J1" s="2892"/>
      <c r="K1" s="2893"/>
      <c r="L1" s="2894"/>
      <c r="M1" s="2887"/>
      <c r="N1" s="2887"/>
      <c r="O1" s="2887"/>
      <c r="P1" s="2887"/>
      <c r="Q1" s="2887"/>
      <c r="R1" s="2887"/>
      <c r="S1" s="2887"/>
      <c r="T1" s="2887"/>
      <c r="U1" s="2887"/>
      <c r="V1" s="2887"/>
      <c r="W1" s="2887"/>
      <c r="X1" s="2887"/>
      <c r="Y1" s="2887"/>
      <c r="Z1" s="2887"/>
      <c r="AA1" s="2887"/>
      <c r="AB1" s="2901"/>
      <c r="AC1" s="2897"/>
    </row>
    <row r="2" spans="1:29" s="37" customFormat="1" ht="28.5" customHeight="1" thickTop="1">
      <c r="A2" s="2881" t="s">
        <v>978</v>
      </c>
      <c r="B2" s="2882" t="e">
        <f ca="1">IF(D2="——",IF(C2="元",ROUND(C50*D3,0),ROUND(C50*D3/10000,0)),IF(C2="元",ROUND(C50*D3,0),ROUND(C50*D3/10000,0))-E2)</f>
        <v>#DIV/0!</v>
      </c>
      <c r="C2" s="32" t="str">
        <f>'数据-取费表'!B3</f>
        <v>万元</v>
      </c>
      <c r="D2" s="2883"/>
      <c r="E2" s="3029" t="e">
        <f ca="1">SUMIF(INDIRECT("'"&amp;G2&amp;"'"&amp;"!A:A"),"承租人权益价值",INDIRECT("'"&amp;G2&amp;"'"&amp;"!c:c"))</f>
        <v>#REF!</v>
      </c>
      <c r="F2" s="2884" t="str">
        <f>C2</f>
        <v>万元</v>
      </c>
      <c r="G2" s="2885"/>
      <c r="H2" s="2184"/>
      <c r="I2" s="2184"/>
      <c r="J2" s="2184"/>
      <c r="K2" s="2184"/>
      <c r="L2" s="2185"/>
      <c r="M2" s="2186"/>
      <c r="N2" s="2186"/>
      <c r="O2" s="2186"/>
      <c r="P2" s="1127"/>
      <c r="Q2" s="1127"/>
      <c r="R2" s="1127"/>
      <c r="S2" s="1127"/>
      <c r="T2" s="1127"/>
      <c r="U2" s="1127"/>
      <c r="V2" s="1127"/>
      <c r="W2" s="1127"/>
      <c r="X2" s="1127"/>
      <c r="Y2" s="1127"/>
      <c r="Z2" s="1127"/>
      <c r="AA2" s="1127"/>
      <c r="AB2" s="2900"/>
      <c r="AC2" s="1187"/>
    </row>
    <row r="3" spans="1:29" s="37" customFormat="1" ht="28.5" customHeight="1" thickBot="1">
      <c r="A3" s="34" t="s">
        <v>979</v>
      </c>
      <c r="B3" s="811" t="e">
        <f ca="1">ROUND(IF(D2="——",C50,IF(C2="万元",B2*10000/D3,B2/D3)),0)</f>
        <v>#DIV/0!</v>
      </c>
      <c r="C3" s="89" t="s">
        <v>980</v>
      </c>
      <c r="D3" s="596">
        <f>IF(C1="仅计算典型户型",'数据-取费表'!E5,'数据-取费表'!B5)</f>
        <v>88039.929999999338</v>
      </c>
      <c r="E3" s="1637"/>
      <c r="F3" s="2183"/>
      <c r="G3" s="2184"/>
      <c r="H3" s="2184"/>
      <c r="I3" s="2184"/>
      <c r="J3" s="2184"/>
      <c r="K3" s="2187"/>
      <c r="L3" s="2185"/>
      <c r="M3" s="2186"/>
      <c r="N3" s="2186"/>
      <c r="O3" s="2186"/>
      <c r="P3" s="1125"/>
      <c r="Q3" s="1125"/>
      <c r="R3" s="1125"/>
      <c r="S3" s="1125"/>
      <c r="T3" s="1125"/>
      <c r="U3" s="1125"/>
      <c r="V3" s="1125"/>
      <c r="W3" s="1125"/>
      <c r="X3" s="1127"/>
      <c r="Y3" s="1125"/>
      <c r="Z3" s="1125"/>
      <c r="AA3" s="1125"/>
      <c r="AB3" s="1195"/>
      <c r="AC3" s="1187"/>
    </row>
    <row r="4" spans="1:29">
      <c r="A4" s="90" t="s">
        <v>981</v>
      </c>
      <c r="B4" s="91"/>
      <c r="C4" s="3500" t="s">
        <v>982</v>
      </c>
      <c r="D4" s="3501"/>
      <c r="E4" s="3502" t="s">
        <v>983</v>
      </c>
      <c r="F4" s="3503"/>
      <c r="G4" s="3500" t="s">
        <v>984</v>
      </c>
      <c r="H4" s="3501"/>
      <c r="I4" s="3500" t="s">
        <v>985</v>
      </c>
      <c r="J4" s="3501"/>
      <c r="K4" s="139" t="s">
        <v>986</v>
      </c>
      <c r="L4" s="2159"/>
      <c r="M4" s="2160"/>
      <c r="N4" s="2160"/>
      <c r="O4" s="2160"/>
      <c r="P4" s="3580" t="s">
        <v>981</v>
      </c>
      <c r="Q4" s="3505"/>
      <c r="R4" s="3489" t="s">
        <v>983</v>
      </c>
      <c r="S4" s="3490"/>
      <c r="T4" s="3489" t="s">
        <v>984</v>
      </c>
      <c r="U4" s="3490"/>
      <c r="V4" s="3510" t="s">
        <v>985</v>
      </c>
      <c r="W4" s="3510"/>
      <c r="X4" s="1133"/>
      <c r="Y4" s="3489" t="s">
        <v>981</v>
      </c>
      <c r="Z4" s="3490"/>
      <c r="AA4" s="3497" t="s">
        <v>983</v>
      </c>
      <c r="AB4" s="3497" t="s">
        <v>984</v>
      </c>
      <c r="AC4" s="3497" t="s">
        <v>985</v>
      </c>
    </row>
    <row r="5" spans="1:29">
      <c r="A5" s="93"/>
      <c r="B5" s="94"/>
      <c r="C5" s="3485" t="s">
        <v>987</v>
      </c>
      <c r="D5" s="3486"/>
      <c r="E5" s="3511" t="s">
        <v>988</v>
      </c>
      <c r="F5" s="3512"/>
      <c r="G5" s="3485" t="s">
        <v>989</v>
      </c>
      <c r="H5" s="3486"/>
      <c r="I5" s="3485" t="s">
        <v>990</v>
      </c>
      <c r="J5" s="3486"/>
      <c r="K5" s="139"/>
      <c r="L5" s="2159"/>
      <c r="M5" s="2160"/>
      <c r="N5" s="2160"/>
      <c r="O5" s="2160"/>
      <c r="P5" s="3581"/>
      <c r="Q5" s="3507"/>
      <c r="R5" s="3491"/>
      <c r="S5" s="3492"/>
      <c r="T5" s="3491"/>
      <c r="U5" s="3492"/>
      <c r="V5" s="3510"/>
      <c r="W5" s="3510"/>
      <c r="X5" s="1133"/>
      <c r="Y5" s="3491"/>
      <c r="Z5" s="3492"/>
      <c r="AA5" s="3498"/>
      <c r="AB5" s="3498"/>
      <c r="AC5" s="3498"/>
    </row>
    <row r="6" spans="1:29" ht="14.25" thickBot="1">
      <c r="A6" s="95"/>
      <c r="B6" s="96"/>
      <c r="C6" s="3483" t="s">
        <v>991</v>
      </c>
      <c r="D6" s="3484"/>
      <c r="E6" s="3513" t="s">
        <v>991</v>
      </c>
      <c r="F6" s="3514"/>
      <c r="G6" s="3483" t="s">
        <v>991</v>
      </c>
      <c r="H6" s="3484"/>
      <c r="I6" s="3483" t="s">
        <v>991</v>
      </c>
      <c r="J6" s="3484"/>
      <c r="K6" s="139" t="s">
        <v>992</v>
      </c>
      <c r="L6" s="2159"/>
      <c r="M6" s="2160"/>
      <c r="N6" s="2160"/>
      <c r="O6" s="2160"/>
      <c r="P6" s="3582"/>
      <c r="Q6" s="3509"/>
      <c r="R6" s="3491"/>
      <c r="S6" s="3492"/>
      <c r="T6" s="3493"/>
      <c r="U6" s="3494"/>
      <c r="V6" s="3510"/>
      <c r="W6" s="3510"/>
      <c r="X6" s="1133"/>
      <c r="Y6" s="3493"/>
      <c r="Z6" s="3494"/>
      <c r="AA6" s="3499"/>
      <c r="AB6" s="3499"/>
      <c r="AC6" s="3499"/>
    </row>
    <row r="7" spans="1:29" s="11" customFormat="1" ht="15" thickBot="1">
      <c r="A7" s="872" t="s">
        <v>993</v>
      </c>
      <c r="B7" s="873"/>
      <c r="C7" s="607">
        <f>'数据-取费表'!B2</f>
        <v>42916</v>
      </c>
      <c r="D7" s="608">
        <v>100</v>
      </c>
      <c r="E7" s="875"/>
      <c r="F7" s="610">
        <f>SUMIF(59:59,YEAR(E7)&amp;"-"&amp;MONTH(E7),60:60)</f>
        <v>0</v>
      </c>
      <c r="G7" s="876"/>
      <c r="H7" s="608">
        <f>SUMIF(59:59,YEAR(G7)&amp;"-"&amp;MONTH(G7),60:60)</f>
        <v>0</v>
      </c>
      <c r="I7" s="876"/>
      <c r="J7" s="608">
        <f>SUMIF(59:59,YEAR(I7)&amp;"-"&amp;MONTH(I7),60:60)</f>
        <v>0</v>
      </c>
      <c r="K7" s="877"/>
      <c r="L7" s="2161"/>
      <c r="M7" s="2103"/>
      <c r="N7" s="2103"/>
      <c r="O7" s="2103"/>
      <c r="P7" s="3495" t="s">
        <v>993</v>
      </c>
      <c r="Q7" s="3495"/>
      <c r="R7" s="1135" t="s">
        <v>60</v>
      </c>
      <c r="S7" s="1136">
        <f t="shared" ref="S7:S15" si="0">F7</f>
        <v>0</v>
      </c>
      <c r="T7" s="1135" t="s">
        <v>60</v>
      </c>
      <c r="U7" s="1136">
        <f t="shared" ref="U7:U15" si="1">H7</f>
        <v>0</v>
      </c>
      <c r="V7" s="1135" t="s">
        <v>60</v>
      </c>
      <c r="W7" s="1136">
        <f t="shared" ref="W7:W15" si="2">J7</f>
        <v>0</v>
      </c>
      <c r="X7" s="184"/>
      <c r="Y7" s="3487" t="s">
        <v>993</v>
      </c>
      <c r="Z7" s="3488"/>
      <c r="AA7" s="1137" t="e">
        <f>D7/F7</f>
        <v>#DIV/0!</v>
      </c>
      <c r="AB7" s="1137" t="e">
        <f>D7/H7</f>
        <v>#DIV/0!</v>
      </c>
      <c r="AC7" s="1137" t="e">
        <f>D7/J7</f>
        <v>#DIV/0!</v>
      </c>
    </row>
    <row r="8" spans="1:29" s="11" customFormat="1" ht="15" thickBot="1">
      <c r="A8" s="872" t="s">
        <v>994</v>
      </c>
      <c r="B8" s="873"/>
      <c r="C8" s="878" t="s">
        <v>995</v>
      </c>
      <c r="D8" s="608">
        <v>100</v>
      </c>
      <c r="E8" s="878"/>
      <c r="F8" s="610">
        <f>SUMIF(62:62,E8,63:63)-SUMIF(62:62,C8,63:63)+100</f>
        <v>0</v>
      </c>
      <c r="G8" s="878"/>
      <c r="H8" s="608">
        <f>SUMIF(62:62,G8,63:63)-SUMIF(62:62,C8,63:63)+100</f>
        <v>0</v>
      </c>
      <c r="I8" s="878"/>
      <c r="J8" s="608">
        <f>SUMIF(62:62,I8,63:63)-SUMIF(62:62,C8,63:63)+100</f>
        <v>0</v>
      </c>
      <c r="K8" s="877"/>
      <c r="L8" s="2161"/>
      <c r="M8" s="2103"/>
      <c r="N8" s="2103"/>
      <c r="O8" s="2103"/>
      <c r="P8" s="3495" t="s">
        <v>926</v>
      </c>
      <c r="Q8" s="3488"/>
      <c r="R8" s="1135" t="s">
        <v>60</v>
      </c>
      <c r="S8" s="1136">
        <f t="shared" si="0"/>
        <v>0</v>
      </c>
      <c r="T8" s="1135" t="s">
        <v>60</v>
      </c>
      <c r="U8" s="1136">
        <f t="shared" si="1"/>
        <v>0</v>
      </c>
      <c r="V8" s="1135" t="s">
        <v>60</v>
      </c>
      <c r="W8" s="1136">
        <f t="shared" si="2"/>
        <v>0</v>
      </c>
      <c r="X8" s="184"/>
      <c r="Y8" s="3487" t="s">
        <v>926</v>
      </c>
      <c r="Z8" s="3488"/>
      <c r="AA8" s="1137" t="e">
        <f t="shared" ref="AA8:AA47" si="3">D8/F8</f>
        <v>#DIV/0!</v>
      </c>
      <c r="AB8" s="1137" t="e">
        <f t="shared" ref="AB8:AB47" si="4">D8/H8</f>
        <v>#DIV/0!</v>
      </c>
      <c r="AC8" s="1137" t="e">
        <f t="shared" ref="AC8:AC47" si="5">D8/J8</f>
        <v>#DIV/0!</v>
      </c>
    </row>
    <row r="9" spans="1:29" s="11" customFormat="1" ht="14.25">
      <c r="A9" s="879" t="s">
        <v>927</v>
      </c>
      <c r="B9" s="20" t="s">
        <v>928</v>
      </c>
      <c r="C9" s="1139"/>
      <c r="D9" s="234">
        <v>100</v>
      </c>
      <c r="E9" s="1141"/>
      <c r="F9" s="234">
        <f>SUMIF(64:64,E9,65:65)-SUMIF(64:64,C9,65:65)+100</f>
        <v>100</v>
      </c>
      <c r="G9" s="1140"/>
      <c r="H9" s="234">
        <f>SUMIF(64:64,G9,65:65)-SUMIF(64:64,C9,65:65)+100</f>
        <v>100</v>
      </c>
      <c r="I9" s="1140"/>
      <c r="J9" s="234">
        <f>SUMIF(64:64,I9,65:65)-SUMIF(64:64,C9,65:65)+100</f>
        <v>100</v>
      </c>
      <c r="K9" s="877"/>
      <c r="L9" s="2161"/>
      <c r="M9" s="2103"/>
      <c r="N9" s="2103"/>
      <c r="O9" s="2103"/>
      <c r="P9" s="3471" t="s">
        <v>62</v>
      </c>
      <c r="Q9" s="2" t="str">
        <f t="shared" ref="Q9:Q15" si="6">B9</f>
        <v>用途</v>
      </c>
      <c r="R9" s="1135" t="s">
        <v>60</v>
      </c>
      <c r="S9" s="1136">
        <f t="shared" si="0"/>
        <v>100</v>
      </c>
      <c r="T9" s="1135" t="s">
        <v>60</v>
      </c>
      <c r="U9" s="1136">
        <f t="shared" si="1"/>
        <v>100</v>
      </c>
      <c r="V9" s="1135" t="s">
        <v>60</v>
      </c>
      <c r="W9" s="1136">
        <f t="shared" si="2"/>
        <v>100</v>
      </c>
      <c r="X9" s="184"/>
      <c r="Y9" s="3314"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2"/>
      <c r="F10" s="235">
        <f>SUMIF(66:66,E10,67:67)-SUMIF(66:66,C10,67:67)+100</f>
        <v>100</v>
      </c>
      <c r="G10" s="1143"/>
      <c r="H10" s="235">
        <f>SUMIF(66:66,G10,67:67)-SUMIF(66:66,C10,67:67)+100</f>
        <v>100</v>
      </c>
      <c r="I10" s="1142"/>
      <c r="J10" s="235">
        <f>SUMIF(66:66,I10,67:67)-SUMIF(66:66,C10,67:67)+100</f>
        <v>100</v>
      </c>
      <c r="K10" s="814"/>
      <c r="L10" s="2162"/>
      <c r="M10" s="2163"/>
      <c r="N10" s="2163"/>
      <c r="O10" s="2163"/>
      <c r="P10" s="3471"/>
      <c r="Q10" s="2" t="str">
        <f t="shared" si="6"/>
        <v>土地使用年限（年）</v>
      </c>
      <c r="R10" s="1135" t="s">
        <v>60</v>
      </c>
      <c r="S10" s="1136">
        <f t="shared" si="0"/>
        <v>100</v>
      </c>
      <c r="T10" s="1135" t="s">
        <v>60</v>
      </c>
      <c r="U10" s="1136">
        <f t="shared" si="1"/>
        <v>100</v>
      </c>
      <c r="V10" s="1135" t="s">
        <v>60</v>
      </c>
      <c r="W10" s="1136">
        <f t="shared" si="2"/>
        <v>100</v>
      </c>
      <c r="X10" s="184"/>
      <c r="Y10" s="3314"/>
      <c r="Z10" s="185" t="str">
        <f t="shared" si="7"/>
        <v>土地使用年限（年）</v>
      </c>
      <c r="AA10" s="1137">
        <f t="shared" si="3"/>
        <v>1</v>
      </c>
      <c r="AB10" s="1137">
        <f t="shared" si="4"/>
        <v>1</v>
      </c>
      <c r="AC10" s="1137">
        <f t="shared" si="5"/>
        <v>1</v>
      </c>
    </row>
    <row r="11" spans="1:29" ht="15">
      <c r="A11" s="98"/>
      <c r="B11" s="4" t="s">
        <v>87</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4"/>
      <c r="M11" s="2160"/>
      <c r="N11" s="2160"/>
      <c r="O11" s="2160"/>
      <c r="P11" s="3471"/>
      <c r="Q11" s="2" t="str">
        <f t="shared" si="6"/>
        <v>容积率</v>
      </c>
      <c r="R11" s="1135" t="s">
        <v>60</v>
      </c>
      <c r="S11" s="1136" t="e">
        <f t="shared" si="0"/>
        <v>#N/A</v>
      </c>
      <c r="T11" s="1135" t="s">
        <v>60</v>
      </c>
      <c r="U11" s="1136" t="e">
        <f t="shared" si="1"/>
        <v>#N/A</v>
      </c>
      <c r="V11" s="1135" t="s">
        <v>60</v>
      </c>
      <c r="W11" s="1136" t="e">
        <f t="shared" si="2"/>
        <v>#N/A</v>
      </c>
      <c r="X11" s="184"/>
      <c r="Y11" s="3314"/>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1"/>
      <c r="M12" s="2103"/>
      <c r="N12" s="2103"/>
      <c r="O12" s="2103"/>
      <c r="P12" s="3471"/>
      <c r="Q12" s="2">
        <f t="shared" si="6"/>
        <v>111</v>
      </c>
      <c r="R12" s="1135" t="s">
        <v>60</v>
      </c>
      <c r="S12" s="1136">
        <f t="shared" si="0"/>
        <v>100</v>
      </c>
      <c r="T12" s="1135" t="s">
        <v>60</v>
      </c>
      <c r="U12" s="1136">
        <f t="shared" si="1"/>
        <v>100</v>
      </c>
      <c r="V12" s="1135" t="s">
        <v>60</v>
      </c>
      <c r="W12" s="1136">
        <f t="shared" si="2"/>
        <v>100</v>
      </c>
      <c r="X12" s="184"/>
      <c r="Y12" s="3314"/>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5"/>
      <c r="M13" s="2160"/>
      <c r="N13" s="2160"/>
      <c r="O13" s="2160"/>
      <c r="P13" s="3471"/>
      <c r="Q13" s="2">
        <f t="shared" si="6"/>
        <v>111</v>
      </c>
      <c r="R13" s="1135" t="s">
        <v>60</v>
      </c>
      <c r="S13" s="1136">
        <f t="shared" si="0"/>
        <v>100</v>
      </c>
      <c r="T13" s="1135" t="s">
        <v>60</v>
      </c>
      <c r="U13" s="1136">
        <f t="shared" si="1"/>
        <v>100</v>
      </c>
      <c r="V13" s="1135" t="s">
        <v>60</v>
      </c>
      <c r="W13" s="1136">
        <f t="shared" si="2"/>
        <v>100</v>
      </c>
      <c r="X13" s="184"/>
      <c r="Y13" s="3314"/>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5"/>
      <c r="M14" s="2160"/>
      <c r="N14" s="2160"/>
      <c r="O14" s="2160"/>
      <c r="P14" s="3471"/>
      <c r="Q14" s="2">
        <f t="shared" si="6"/>
        <v>111</v>
      </c>
      <c r="R14" s="1135" t="s">
        <v>60</v>
      </c>
      <c r="S14" s="1136">
        <f t="shared" si="0"/>
        <v>100</v>
      </c>
      <c r="T14" s="1135" t="s">
        <v>60</v>
      </c>
      <c r="U14" s="1136">
        <f t="shared" si="1"/>
        <v>100</v>
      </c>
      <c r="V14" s="1135" t="s">
        <v>60</v>
      </c>
      <c r="W14" s="1136">
        <f t="shared" si="2"/>
        <v>100</v>
      </c>
      <c r="X14" s="184"/>
      <c r="Y14" s="3314"/>
      <c r="Z14" s="185">
        <f t="shared" si="7"/>
        <v>111</v>
      </c>
      <c r="AA14" s="1137">
        <f t="shared" si="3"/>
        <v>1</v>
      </c>
      <c r="AB14" s="1137">
        <f t="shared" si="4"/>
        <v>1</v>
      </c>
      <c r="AC14" s="1137">
        <f t="shared" si="5"/>
        <v>1</v>
      </c>
    </row>
    <row r="15" spans="1:29" ht="15">
      <c r="A15" s="105" t="s">
        <v>64</v>
      </c>
      <c r="B15" s="891" t="s">
        <v>141</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5"/>
      <c r="M15" s="2160"/>
      <c r="N15" s="2160"/>
      <c r="O15" s="2160"/>
      <c r="P15" s="3505" t="s">
        <v>64</v>
      </c>
      <c r="Q15" s="1145" t="str">
        <f t="shared" si="6"/>
        <v>办公集聚程度</v>
      </c>
      <c r="R15" s="1146" t="s">
        <v>60</v>
      </c>
      <c r="S15" s="1147">
        <f t="shared" si="0"/>
        <v>100</v>
      </c>
      <c r="T15" s="1146" t="s">
        <v>60</v>
      </c>
      <c r="U15" s="1147">
        <f t="shared" si="1"/>
        <v>100</v>
      </c>
      <c r="V15" s="1146" t="s">
        <v>60</v>
      </c>
      <c r="W15" s="1147">
        <f t="shared" si="2"/>
        <v>100</v>
      </c>
      <c r="X15" s="1133"/>
      <c r="Y15" s="3476" t="s">
        <v>64</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5"/>
      <c r="M16" s="2160"/>
      <c r="N16" s="2160"/>
      <c r="O16" s="2160"/>
      <c r="P16" s="3507"/>
      <c r="Q16" s="1145"/>
      <c r="R16" s="1146"/>
      <c r="S16" s="1147"/>
      <c r="T16" s="1146"/>
      <c r="U16" s="1147"/>
      <c r="V16" s="1146"/>
      <c r="W16" s="1147"/>
      <c r="X16" s="1133"/>
      <c r="Y16" s="3477"/>
      <c r="Z16" s="1148"/>
      <c r="AA16" s="1149">
        <v>1</v>
      </c>
      <c r="AB16" s="1149">
        <v>1</v>
      </c>
      <c r="AC16" s="1149">
        <v>1</v>
      </c>
    </row>
    <row r="17" spans="1:29" ht="27">
      <c r="A17" s="98"/>
      <c r="B17" s="892" t="s">
        <v>66</v>
      </c>
      <c r="C17" s="162" t="str">
        <f>估价对象房地状况!C6</f>
        <v>192路 764路 778路</v>
      </c>
      <c r="D17" s="648">
        <v>100</v>
      </c>
      <c r="E17" s="48"/>
      <c r="F17" s="648">
        <f>SUMIF(79:79,E18,80:80)-SUMIF(79:79,C18,80:80)+100</f>
        <v>100</v>
      </c>
      <c r="G17" s="47"/>
      <c r="H17" s="653">
        <f>SUMIF(79:79,G18,80:80)-SUMIF(79:79,C18,80:80)+100</f>
        <v>100</v>
      </c>
      <c r="I17" s="47"/>
      <c r="J17" s="653">
        <f>SUMIF(79:79,I18,80:80)-SUMIF(79:79,C18,80:80)+100</f>
        <v>100</v>
      </c>
      <c r="K17" s="816"/>
      <c r="L17" s="2165"/>
      <c r="M17" s="2160"/>
      <c r="N17" s="2160"/>
      <c r="O17" s="2160"/>
      <c r="P17" s="3507"/>
      <c r="Q17" s="1145" t="str">
        <f>B17</f>
        <v>交通便捷度</v>
      </c>
      <c r="R17" s="1146" t="s">
        <v>60</v>
      </c>
      <c r="S17" s="1147">
        <f>F17</f>
        <v>100</v>
      </c>
      <c r="T17" s="1146" t="s">
        <v>60</v>
      </c>
      <c r="U17" s="1147">
        <f>H17</f>
        <v>100</v>
      </c>
      <c r="V17" s="1146" t="s">
        <v>60</v>
      </c>
      <c r="W17" s="1147">
        <f>J17</f>
        <v>100</v>
      </c>
      <c r="X17" s="1133"/>
      <c r="Y17" s="3477"/>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5"/>
      <c r="M18" s="2160"/>
      <c r="N18" s="2160"/>
      <c r="O18" s="2160"/>
      <c r="P18" s="3507"/>
      <c r="Q18" s="1145"/>
      <c r="R18" s="1146"/>
      <c r="S18" s="1147"/>
      <c r="T18" s="1146"/>
      <c r="U18" s="1147"/>
      <c r="V18" s="1146"/>
      <c r="W18" s="1147"/>
      <c r="X18" s="1133"/>
      <c r="Y18" s="3477"/>
      <c r="Z18" s="1148"/>
      <c r="AA18" s="1149">
        <v>1</v>
      </c>
      <c r="AB18" s="1149">
        <v>1</v>
      </c>
      <c r="AC18" s="1149">
        <v>1</v>
      </c>
    </row>
    <row r="19" spans="1:29" ht="135">
      <c r="A19" s="98"/>
      <c r="B19" s="892" t="s">
        <v>2543</v>
      </c>
      <c r="C19" s="162" t="str">
        <f>估价对象房地状况!C7</f>
        <v>余杭区良渚二小、勾庄镇中星桥小学、良渚街道社区卫生服务中心勾庄院区、中信银行(杭州良渚支行)、中信银行(杭州良渚支行)</v>
      </c>
      <c r="D19" s="653">
        <v>100</v>
      </c>
      <c r="E19" s="53"/>
      <c r="F19" s="653">
        <f>SUMIF(81:81,E20,82:82)-SUMIF(81:81,C20,82:82)+100</f>
        <v>100</v>
      </c>
      <c r="G19" s="52"/>
      <c r="H19" s="648">
        <f>SUMIF(81:81,G20,82:82)-SUMIF(81:81,C20,82:82)+100</f>
        <v>100</v>
      </c>
      <c r="I19" s="52"/>
      <c r="J19" s="648">
        <f>SUMIF(81:81,I20,82:82)-SUMIF(81:81,C20,82:82)+100</f>
        <v>100</v>
      </c>
      <c r="K19" s="816"/>
      <c r="L19" s="2165"/>
      <c r="M19" s="2160"/>
      <c r="N19" s="2160"/>
      <c r="O19" s="2160"/>
      <c r="P19" s="3507"/>
      <c r="Q19" s="1145" t="str">
        <f>B19</f>
        <v>公共配套设施</v>
      </c>
      <c r="R19" s="1146" t="s">
        <v>60</v>
      </c>
      <c r="S19" s="1147">
        <f>F19</f>
        <v>100</v>
      </c>
      <c r="T19" s="1146" t="s">
        <v>60</v>
      </c>
      <c r="U19" s="1147">
        <f>H19</f>
        <v>100</v>
      </c>
      <c r="V19" s="1146" t="s">
        <v>60</v>
      </c>
      <c r="W19" s="1147">
        <f>J19</f>
        <v>100</v>
      </c>
      <c r="X19" s="1133"/>
      <c r="Y19" s="3477"/>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5"/>
      <c r="M20" s="2160"/>
      <c r="N20" s="2160"/>
      <c r="O20" s="2160"/>
      <c r="P20" s="3507"/>
      <c r="Q20" s="1145"/>
      <c r="R20" s="1146"/>
      <c r="S20" s="1147"/>
      <c r="T20" s="1146"/>
      <c r="U20" s="1147"/>
      <c r="V20" s="1146"/>
      <c r="W20" s="1147"/>
      <c r="X20" s="1133"/>
      <c r="Y20" s="3477"/>
      <c r="Z20" s="1148"/>
      <c r="AA20" s="1149">
        <v>1</v>
      </c>
      <c r="AB20" s="1149">
        <v>1</v>
      </c>
      <c r="AC20" s="1149">
        <v>1</v>
      </c>
    </row>
    <row r="21" spans="1:29" ht="15">
      <c r="A21" s="98"/>
      <c r="B21" s="894" t="s">
        <v>2544</v>
      </c>
      <c r="C21" s="162" t="str">
        <f>估价对象房地状况!C8</f>
        <v>六通</v>
      </c>
      <c r="D21" s="653">
        <v>100</v>
      </c>
      <c r="E21" s="53"/>
      <c r="F21" s="653">
        <f>SUMIF(83:83,E22,84:84)-SUMIF(83:83,C22,84:84)+100</f>
        <v>100</v>
      </c>
      <c r="G21" s="52"/>
      <c r="H21" s="648">
        <f>SUMIF(83:83,G22,84:84)-SUMIF(83:83,C22,84:84)+100</f>
        <v>100</v>
      </c>
      <c r="I21" s="52"/>
      <c r="J21" s="648">
        <f>SUMIF(83:83,I22,84:84)-SUMIF(83:83,C22,84:84)+100</f>
        <v>100</v>
      </c>
      <c r="K21" s="816"/>
      <c r="L21" s="2165"/>
      <c r="M21" s="2160"/>
      <c r="N21" s="2160"/>
      <c r="O21" s="2160"/>
      <c r="P21" s="3507"/>
      <c r="Q21" s="2545" t="str">
        <f>B21</f>
        <v>基础设施水平</v>
      </c>
      <c r="R21" s="1146" t="s">
        <v>60</v>
      </c>
      <c r="S21" s="1147">
        <f>F21</f>
        <v>100</v>
      </c>
      <c r="T21" s="1146" t="s">
        <v>60</v>
      </c>
      <c r="U21" s="1147">
        <f>H21</f>
        <v>100</v>
      </c>
      <c r="V21" s="1146" t="s">
        <v>60</v>
      </c>
      <c r="W21" s="1147">
        <f>J21</f>
        <v>100</v>
      </c>
      <c r="X21" s="2543"/>
      <c r="Y21" s="3477"/>
      <c r="Z21" s="2544"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6"/>
      <c r="L22" s="2165"/>
      <c r="M22" s="2160"/>
      <c r="N22" s="2160"/>
      <c r="O22" s="2160"/>
      <c r="P22" s="3507"/>
      <c r="Q22" s="2545"/>
      <c r="R22" s="1146"/>
      <c r="S22" s="1147"/>
      <c r="T22" s="1146"/>
      <c r="U22" s="1147"/>
      <c r="V22" s="1146"/>
      <c r="W22" s="1147"/>
      <c r="X22" s="2543"/>
      <c r="Y22" s="3477"/>
      <c r="Z22" s="2544"/>
      <c r="AA22" s="1149">
        <v>1</v>
      </c>
      <c r="AB22" s="1149">
        <v>1</v>
      </c>
      <c r="AC22" s="1149">
        <v>1</v>
      </c>
    </row>
    <row r="23" spans="1:29" ht="15">
      <c r="A23" s="98"/>
      <c r="B23" s="892" t="s">
        <v>142</v>
      </c>
      <c r="C23" s="162" t="str">
        <f>估价对象房地状况!C9</f>
        <v>海德公园</v>
      </c>
      <c r="D23" s="648">
        <v>100</v>
      </c>
      <c r="E23" s="48"/>
      <c r="F23" s="648">
        <f>SUMIF(85:85,E24,86:86)-SUMIF(85:85,C24,86:86)+100</f>
        <v>100</v>
      </c>
      <c r="G23" s="47"/>
      <c r="H23" s="648">
        <f>SUMIF(85:85,G24,86:86)-SUMIF(85:85,C24,86:86)+100</f>
        <v>100</v>
      </c>
      <c r="I23" s="47"/>
      <c r="J23" s="648">
        <f>SUMIF(85:85,I24,86:86)-SUMIF(85:85,C24,86:86)+100</f>
        <v>100</v>
      </c>
      <c r="K23" s="816"/>
      <c r="L23" s="2165"/>
      <c r="M23" s="2160"/>
      <c r="N23" s="2160"/>
      <c r="O23" s="2160"/>
      <c r="P23" s="3507"/>
      <c r="Q23" s="1145" t="str">
        <f>B23</f>
        <v>环境质量</v>
      </c>
      <c r="R23" s="1146" t="s">
        <v>60</v>
      </c>
      <c r="S23" s="1147">
        <f>F23</f>
        <v>100</v>
      </c>
      <c r="T23" s="1146" t="s">
        <v>60</v>
      </c>
      <c r="U23" s="1147">
        <f>H23</f>
        <v>100</v>
      </c>
      <c r="V23" s="1146" t="s">
        <v>60</v>
      </c>
      <c r="W23" s="1147">
        <f>J23</f>
        <v>100</v>
      </c>
      <c r="X23" s="1133"/>
      <c r="Y23" s="3477"/>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5"/>
      <c r="M24" s="2160"/>
      <c r="N24" s="2160"/>
      <c r="O24" s="2160"/>
      <c r="P24" s="3507"/>
      <c r="Q24" s="1145"/>
      <c r="R24" s="1146"/>
      <c r="S24" s="1147"/>
      <c r="T24" s="1146"/>
      <c r="U24" s="1147"/>
      <c r="V24" s="1146"/>
      <c r="W24" s="1147"/>
      <c r="X24" s="1133"/>
      <c r="Y24" s="3477"/>
      <c r="Z24" s="1148"/>
      <c r="AA24" s="1149">
        <v>1</v>
      </c>
      <c r="AB24" s="1149">
        <v>1</v>
      </c>
      <c r="AC24" s="1149">
        <v>1</v>
      </c>
    </row>
    <row r="25" spans="1:29" ht="27">
      <c r="A25" s="93"/>
      <c r="B25" s="892" t="s">
        <v>143</v>
      </c>
      <c r="C25" s="146"/>
      <c r="D25" s="633">
        <v>100</v>
      </c>
      <c r="E25" s="40"/>
      <c r="F25" s="633">
        <f>SUMIF(87:87,E26,88:88)-SUMIF(87:87,C26,88:88)+100</f>
        <v>100</v>
      </c>
      <c r="G25" s="146"/>
      <c r="H25" s="633">
        <f>SUMIF(87:87,G26,88:88)-SUMIF(87:87,C26,88:88)+100</f>
        <v>100</v>
      </c>
      <c r="I25" s="40"/>
      <c r="J25" s="633">
        <f>SUMIF(87:87,I26,88:88)-SUMIF(87:87,C26,88:88)+100</f>
        <v>100</v>
      </c>
      <c r="K25" s="816"/>
      <c r="L25" s="2165"/>
      <c r="M25" s="2160"/>
      <c r="N25" s="2160"/>
      <c r="O25" s="2160"/>
      <c r="P25" s="3507"/>
      <c r="Q25" s="1145" t="str">
        <f>B25</f>
        <v>毗邻道路的类型与等级</v>
      </c>
      <c r="R25" s="1146" t="s">
        <v>60</v>
      </c>
      <c r="S25" s="1147">
        <f>F25</f>
        <v>100</v>
      </c>
      <c r="T25" s="1146" t="s">
        <v>60</v>
      </c>
      <c r="U25" s="1147">
        <f>H25</f>
        <v>100</v>
      </c>
      <c r="V25" s="1146" t="s">
        <v>60</v>
      </c>
      <c r="W25" s="1147">
        <f>J25</f>
        <v>100</v>
      </c>
      <c r="X25" s="1133"/>
      <c r="Y25" s="3477"/>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5"/>
      <c r="M26" s="2160"/>
      <c r="N26" s="2160"/>
      <c r="O26" s="2160"/>
      <c r="P26" s="3507"/>
      <c r="Q26" s="1145"/>
      <c r="R26" s="1146"/>
      <c r="S26" s="1147"/>
      <c r="T26" s="1146"/>
      <c r="U26" s="1147"/>
      <c r="V26" s="1146"/>
      <c r="W26" s="1147"/>
      <c r="X26" s="1133"/>
      <c r="Y26" s="3477"/>
      <c r="Z26" s="1148"/>
      <c r="AA26" s="1149">
        <v>1</v>
      </c>
      <c r="AB26" s="1149">
        <v>1</v>
      </c>
      <c r="AC26" s="1149">
        <v>1</v>
      </c>
    </row>
    <row r="27" spans="1:29" ht="15">
      <c r="A27" s="98"/>
      <c r="B27" s="893" t="s">
        <v>996</v>
      </c>
      <c r="C27" s="147"/>
      <c r="D27" s="633">
        <v>100</v>
      </c>
      <c r="E27" s="134"/>
      <c r="F27" s="633">
        <f>SUMIF(89:89,E27,90:90)-SUMIF(89:89,C27,90:90)+100</f>
        <v>100</v>
      </c>
      <c r="G27" s="147"/>
      <c r="H27" s="633">
        <f>SUMIF(89:89,G27,90:90)-SUMIF(89:89,C27,90:90)+100</f>
        <v>100</v>
      </c>
      <c r="I27" s="134"/>
      <c r="J27" s="633">
        <f>SUMIF(89:89,I27,90:90)-SUMIF(89:89,C27,90:90)+100</f>
        <v>100</v>
      </c>
      <c r="K27" s="814"/>
      <c r="L27" s="2165"/>
      <c r="M27" s="2160"/>
      <c r="N27" s="2160"/>
      <c r="O27" s="2160"/>
      <c r="P27" s="3507"/>
      <c r="Q27" s="1145" t="str">
        <f t="shared" ref="Q27:Q47" si="11">B27</f>
        <v>楼层</v>
      </c>
      <c r="R27" s="1146" t="s">
        <v>60</v>
      </c>
      <c r="S27" s="1147">
        <f>F27</f>
        <v>100</v>
      </c>
      <c r="T27" s="1146" t="s">
        <v>60</v>
      </c>
      <c r="U27" s="1147">
        <f>H27</f>
        <v>100</v>
      </c>
      <c r="V27" s="1146" t="s">
        <v>60</v>
      </c>
      <c r="W27" s="1147">
        <f>J27</f>
        <v>100</v>
      </c>
      <c r="X27" s="1133"/>
      <c r="Y27" s="3477"/>
      <c r="Z27" s="1148" t="str">
        <f>Q27</f>
        <v>楼层</v>
      </c>
      <c r="AA27" s="1149">
        <f t="shared" si="3"/>
        <v>1</v>
      </c>
      <c r="AB27" s="1149">
        <f t="shared" si="4"/>
        <v>1</v>
      </c>
      <c r="AC27" s="1149">
        <f t="shared" si="5"/>
        <v>1</v>
      </c>
    </row>
    <row r="28" spans="1:29" s="11" customFormat="1" ht="15">
      <c r="A28" s="888"/>
      <c r="B28" s="892" t="s">
        <v>144</v>
      </c>
      <c r="C28" s="1198"/>
      <c r="D28" s="661">
        <v>100</v>
      </c>
      <c r="E28" s="1182"/>
      <c r="F28" s="661">
        <f>SUMIF(91:91,E28,92:92)-SUMIF(91:91,C28,92:92)+100</f>
        <v>100</v>
      </c>
      <c r="G28" s="1198"/>
      <c r="H28" s="661">
        <f>SUMIF(91:91,G28,92:92)-SUMIF(91:91,C28,92:92)+100</f>
        <v>100</v>
      </c>
      <c r="I28" s="1182"/>
      <c r="J28" s="661">
        <f>SUMIF(91:91,I28,92:92)-SUMIF(91:91,C28,92:92)+100</f>
        <v>100</v>
      </c>
      <c r="K28" s="814"/>
      <c r="L28" s="2161"/>
      <c r="M28" s="2103"/>
      <c r="N28" s="2103"/>
      <c r="O28" s="2103"/>
      <c r="P28" s="3507"/>
      <c r="Q28" s="2" t="str">
        <f t="shared" si="11"/>
        <v>朝向</v>
      </c>
      <c r="R28" s="1135" t="s">
        <v>60</v>
      </c>
      <c r="S28" s="1136">
        <f>F28</f>
        <v>100</v>
      </c>
      <c r="T28" s="1135" t="s">
        <v>60</v>
      </c>
      <c r="U28" s="1136">
        <f>H28</f>
        <v>100</v>
      </c>
      <c r="V28" s="1135" t="s">
        <v>60</v>
      </c>
      <c r="W28" s="1136">
        <f>J28</f>
        <v>100</v>
      </c>
      <c r="X28" s="184"/>
      <c r="Y28" s="3477"/>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5"/>
      <c r="M29" s="2160"/>
      <c r="N29" s="2160"/>
      <c r="O29" s="2160"/>
      <c r="P29" s="3507"/>
      <c r="Q29" s="1145">
        <f t="shared" si="11"/>
        <v>111</v>
      </c>
      <c r="R29" s="1146" t="s">
        <v>60</v>
      </c>
      <c r="S29" s="1147">
        <f t="shared" ref="S29:S47" si="12">F29</f>
        <v>100</v>
      </c>
      <c r="T29" s="1146" t="s">
        <v>60</v>
      </c>
      <c r="U29" s="1147">
        <f t="shared" ref="U29:U47" si="13">H29</f>
        <v>100</v>
      </c>
      <c r="V29" s="1146" t="s">
        <v>60</v>
      </c>
      <c r="W29" s="1147">
        <f t="shared" ref="W29:W47" si="14">J29</f>
        <v>100</v>
      </c>
      <c r="X29" s="1133"/>
      <c r="Y29" s="3477"/>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5"/>
      <c r="M30" s="2160"/>
      <c r="N30" s="2160"/>
      <c r="O30" s="2160"/>
      <c r="P30" s="3507"/>
      <c r="Q30" s="1145">
        <f t="shared" si="11"/>
        <v>111</v>
      </c>
      <c r="R30" s="1146" t="s">
        <v>60</v>
      </c>
      <c r="S30" s="1147">
        <f t="shared" si="12"/>
        <v>100</v>
      </c>
      <c r="T30" s="1146" t="s">
        <v>60</v>
      </c>
      <c r="U30" s="1147">
        <f t="shared" si="13"/>
        <v>100</v>
      </c>
      <c r="V30" s="1146" t="s">
        <v>60</v>
      </c>
      <c r="W30" s="1147">
        <f t="shared" si="14"/>
        <v>100</v>
      </c>
      <c r="X30" s="1133"/>
      <c r="Y30" s="3477"/>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5"/>
      <c r="M31" s="2160"/>
      <c r="N31" s="2160"/>
      <c r="O31" s="2160"/>
      <c r="P31" s="3507"/>
      <c r="Q31" s="1145">
        <f t="shared" si="11"/>
        <v>111</v>
      </c>
      <c r="R31" s="1146" t="s">
        <v>60</v>
      </c>
      <c r="S31" s="1147">
        <f t="shared" si="12"/>
        <v>100</v>
      </c>
      <c r="T31" s="1146" t="s">
        <v>60</v>
      </c>
      <c r="U31" s="1147">
        <f t="shared" si="13"/>
        <v>100</v>
      </c>
      <c r="V31" s="1146" t="s">
        <v>60</v>
      </c>
      <c r="W31" s="1147">
        <f t="shared" si="14"/>
        <v>100</v>
      </c>
      <c r="X31" s="1133"/>
      <c r="Y31" s="3477"/>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5"/>
      <c r="M32" s="2160"/>
      <c r="N32" s="2160"/>
      <c r="O32" s="2160"/>
      <c r="P32" s="3507"/>
      <c r="Q32" s="1145">
        <f t="shared" si="11"/>
        <v>111</v>
      </c>
      <c r="R32" s="1146" t="s">
        <v>60</v>
      </c>
      <c r="S32" s="1147">
        <f t="shared" si="12"/>
        <v>100</v>
      </c>
      <c r="T32" s="1146" t="s">
        <v>60</v>
      </c>
      <c r="U32" s="1147">
        <f t="shared" si="13"/>
        <v>100</v>
      </c>
      <c r="V32" s="1146" t="s">
        <v>60</v>
      </c>
      <c r="W32" s="1147">
        <f t="shared" si="14"/>
        <v>100</v>
      </c>
      <c r="X32" s="1133"/>
      <c r="Y32" s="3477"/>
      <c r="Z32" s="1148">
        <f t="shared" si="15"/>
        <v>111</v>
      </c>
      <c r="AA32" s="1149">
        <f t="shared" si="3"/>
        <v>1</v>
      </c>
      <c r="AB32" s="1149">
        <f t="shared" si="4"/>
        <v>1</v>
      </c>
      <c r="AC32" s="1149">
        <f t="shared" si="5"/>
        <v>1</v>
      </c>
    </row>
    <row r="33" spans="1:29" ht="15">
      <c r="A33" s="105" t="s">
        <v>997</v>
      </c>
      <c r="B33" s="20" t="s">
        <v>998</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5"/>
      <c r="M33" s="2160"/>
      <c r="N33" s="2160"/>
      <c r="O33" s="2160"/>
      <c r="P33" s="3577" t="s">
        <v>999</v>
      </c>
      <c r="Q33" s="1145" t="str">
        <f t="shared" si="11"/>
        <v>建筑类型</v>
      </c>
      <c r="R33" s="1146" t="s">
        <v>60</v>
      </c>
      <c r="S33" s="1147">
        <f t="shared" si="12"/>
        <v>100</v>
      </c>
      <c r="T33" s="1146" t="s">
        <v>60</v>
      </c>
      <c r="U33" s="1147">
        <f t="shared" si="13"/>
        <v>100</v>
      </c>
      <c r="V33" s="1146" t="s">
        <v>60</v>
      </c>
      <c r="W33" s="1147">
        <f t="shared" si="14"/>
        <v>100</v>
      </c>
      <c r="X33" s="1133"/>
      <c r="Y33" s="3481" t="s">
        <v>999</v>
      </c>
      <c r="Z33" s="1148" t="str">
        <f t="shared" si="15"/>
        <v>建筑类型</v>
      </c>
      <c r="AA33" s="1149">
        <f t="shared" si="3"/>
        <v>1</v>
      </c>
      <c r="AB33" s="1149">
        <f t="shared" si="4"/>
        <v>1</v>
      </c>
      <c r="AC33" s="1149">
        <f t="shared" si="5"/>
        <v>1</v>
      </c>
    </row>
    <row r="34" spans="1:29" s="898" customFormat="1" ht="14.25">
      <c r="A34" s="902"/>
      <c r="B34" s="4" t="s">
        <v>70</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4"/>
      <c r="M34" s="2166"/>
      <c r="N34" s="2166"/>
      <c r="O34" s="2166"/>
      <c r="P34" s="3578"/>
      <c r="Q34" s="1153" t="str">
        <f t="shared" si="11"/>
        <v>项目建筑规模</v>
      </c>
      <c r="R34" s="1154" t="s">
        <v>60</v>
      </c>
      <c r="S34" s="1155" t="e">
        <f t="shared" si="12"/>
        <v>#N/A</v>
      </c>
      <c r="T34" s="1154" t="s">
        <v>60</v>
      </c>
      <c r="U34" s="1155" t="e">
        <f t="shared" si="13"/>
        <v>#N/A</v>
      </c>
      <c r="V34" s="1154" t="s">
        <v>60</v>
      </c>
      <c r="W34" s="1155" t="e">
        <f t="shared" si="14"/>
        <v>#N/A</v>
      </c>
      <c r="X34" s="1156"/>
      <c r="Y34" s="3481"/>
      <c r="Z34" s="1157" t="str">
        <f t="shared" si="15"/>
        <v>项目建筑规模</v>
      </c>
      <c r="AA34" s="1149" t="e">
        <f t="shared" si="3"/>
        <v>#N/A</v>
      </c>
      <c r="AB34" s="1149" t="e">
        <f t="shared" si="4"/>
        <v>#N/A</v>
      </c>
      <c r="AC34" s="1149" t="e">
        <f t="shared" si="5"/>
        <v>#N/A</v>
      </c>
    </row>
    <row r="35" spans="1:29" ht="15">
      <c r="A35" s="111"/>
      <c r="B35" s="4" t="s">
        <v>71</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5"/>
      <c r="M35" s="2160"/>
      <c r="N35" s="2160"/>
      <c r="O35" s="2160"/>
      <c r="P35" s="3578"/>
      <c r="Q35" s="1145" t="str">
        <f t="shared" si="11"/>
        <v>建筑结构</v>
      </c>
      <c r="R35" s="1146" t="s">
        <v>60</v>
      </c>
      <c r="S35" s="1147">
        <f t="shared" si="12"/>
        <v>100</v>
      </c>
      <c r="T35" s="1146" t="s">
        <v>60</v>
      </c>
      <c r="U35" s="1147">
        <f t="shared" si="13"/>
        <v>100</v>
      </c>
      <c r="V35" s="1146" t="s">
        <v>60</v>
      </c>
      <c r="W35" s="1147">
        <f t="shared" si="14"/>
        <v>100</v>
      </c>
      <c r="X35" s="1133"/>
      <c r="Y35" s="3481"/>
      <c r="Z35" s="1148" t="str">
        <f t="shared" si="15"/>
        <v>建筑结构</v>
      </c>
      <c r="AA35" s="1149">
        <f t="shared" si="3"/>
        <v>1</v>
      </c>
      <c r="AB35" s="1149">
        <f t="shared" si="4"/>
        <v>1</v>
      </c>
      <c r="AC35" s="1149">
        <f t="shared" si="5"/>
        <v>1</v>
      </c>
    </row>
    <row r="36" spans="1:29" ht="15">
      <c r="A36" s="111"/>
      <c r="B36" s="4" t="s">
        <v>133</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5"/>
      <c r="M36" s="2160"/>
      <c r="N36" s="2160"/>
      <c r="O36" s="2160"/>
      <c r="P36" s="3578"/>
      <c r="Q36" s="1145" t="str">
        <f t="shared" si="11"/>
        <v>公共部分装修</v>
      </c>
      <c r="R36" s="1146" t="s">
        <v>60</v>
      </c>
      <c r="S36" s="1147">
        <f t="shared" si="12"/>
        <v>100</v>
      </c>
      <c r="T36" s="1146" t="s">
        <v>60</v>
      </c>
      <c r="U36" s="1147">
        <f t="shared" si="13"/>
        <v>100</v>
      </c>
      <c r="V36" s="1146" t="s">
        <v>60</v>
      </c>
      <c r="W36" s="1147">
        <f t="shared" si="14"/>
        <v>100</v>
      </c>
      <c r="X36" s="1133"/>
      <c r="Y36" s="3481"/>
      <c r="Z36" s="1148" t="str">
        <f t="shared" si="15"/>
        <v>公共部分装修</v>
      </c>
      <c r="AA36" s="1149">
        <f t="shared" si="3"/>
        <v>1</v>
      </c>
      <c r="AB36" s="1149">
        <f t="shared" si="4"/>
        <v>1</v>
      </c>
      <c r="AC36" s="1149">
        <f t="shared" si="5"/>
        <v>1</v>
      </c>
    </row>
    <row r="37" spans="1:29" ht="15">
      <c r="A37" s="111"/>
      <c r="B37" s="4" t="s">
        <v>134</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5"/>
      <c r="M37" s="2160"/>
      <c r="N37" s="2160"/>
      <c r="O37" s="2160"/>
      <c r="P37" s="3578"/>
      <c r="Q37" s="1145" t="str">
        <f t="shared" si="11"/>
        <v>成新度</v>
      </c>
      <c r="R37" s="1146" t="s">
        <v>60</v>
      </c>
      <c r="S37" s="1147" t="e">
        <f t="shared" si="12"/>
        <v>#N/A</v>
      </c>
      <c r="T37" s="1146" t="s">
        <v>60</v>
      </c>
      <c r="U37" s="1147" t="e">
        <f t="shared" si="13"/>
        <v>#N/A</v>
      </c>
      <c r="V37" s="1146" t="s">
        <v>60</v>
      </c>
      <c r="W37" s="1147" t="e">
        <f t="shared" si="14"/>
        <v>#N/A</v>
      </c>
      <c r="X37" s="1133"/>
      <c r="Y37" s="3481"/>
      <c r="Z37" s="1148" t="str">
        <f t="shared" si="15"/>
        <v>成新度</v>
      </c>
      <c r="AA37" s="1149" t="e">
        <f t="shared" si="3"/>
        <v>#N/A</v>
      </c>
      <c r="AB37" s="1149" t="e">
        <f t="shared" si="4"/>
        <v>#N/A</v>
      </c>
      <c r="AC37" s="1149" t="e">
        <f t="shared" si="5"/>
        <v>#N/A</v>
      </c>
    </row>
    <row r="38" spans="1:29" s="11" customFormat="1" ht="15">
      <c r="A38" s="900"/>
      <c r="B38" s="4" t="s">
        <v>146</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1"/>
      <c r="M38" s="2103"/>
      <c r="N38" s="2103"/>
      <c r="O38" s="2103"/>
      <c r="P38" s="3578"/>
      <c r="Q38" s="2" t="str">
        <f t="shared" si="11"/>
        <v>写字楼等级</v>
      </c>
      <c r="R38" s="1135" t="s">
        <v>60</v>
      </c>
      <c r="S38" s="1136">
        <f t="shared" si="12"/>
        <v>100</v>
      </c>
      <c r="T38" s="1135" t="s">
        <v>60</v>
      </c>
      <c r="U38" s="1136">
        <f t="shared" si="13"/>
        <v>100</v>
      </c>
      <c r="V38" s="1135" t="s">
        <v>60</v>
      </c>
      <c r="W38" s="1136">
        <f t="shared" si="14"/>
        <v>100</v>
      </c>
      <c r="X38" s="184"/>
      <c r="Y38" s="3481"/>
      <c r="Z38" s="185" t="str">
        <f t="shared" si="15"/>
        <v>写字楼等级</v>
      </c>
      <c r="AA38" s="1137">
        <f t="shared" si="3"/>
        <v>1</v>
      </c>
      <c r="AB38" s="1137">
        <f t="shared" si="4"/>
        <v>1</v>
      </c>
      <c r="AC38" s="1137">
        <f t="shared" si="5"/>
        <v>1</v>
      </c>
    </row>
    <row r="39" spans="1:29" ht="15">
      <c r="A39" s="111"/>
      <c r="B39" s="4" t="s">
        <v>147</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5"/>
      <c r="M39" s="2160"/>
      <c r="N39" s="2160"/>
      <c r="O39" s="2160"/>
      <c r="P39" s="3578" t="s">
        <v>65</v>
      </c>
      <c r="Q39" s="1145" t="str">
        <f t="shared" si="11"/>
        <v>物业管理</v>
      </c>
      <c r="R39" s="1146" t="s">
        <v>60</v>
      </c>
      <c r="S39" s="1147">
        <f t="shared" si="12"/>
        <v>100</v>
      </c>
      <c r="T39" s="1146" t="s">
        <v>60</v>
      </c>
      <c r="U39" s="1147">
        <f t="shared" si="13"/>
        <v>100</v>
      </c>
      <c r="V39" s="1146" t="s">
        <v>60</v>
      </c>
      <c r="W39" s="1147">
        <f t="shared" si="14"/>
        <v>100</v>
      </c>
      <c r="X39" s="1133"/>
      <c r="Y39" s="3481" t="s">
        <v>65</v>
      </c>
      <c r="Z39" s="1148" t="str">
        <f t="shared" si="15"/>
        <v>物业管理</v>
      </c>
      <c r="AA39" s="1149">
        <f t="shared" si="3"/>
        <v>1</v>
      </c>
      <c r="AB39" s="1149">
        <f t="shared" si="4"/>
        <v>1</v>
      </c>
      <c r="AC39" s="1149">
        <f t="shared" si="5"/>
        <v>1</v>
      </c>
    </row>
    <row r="40" spans="1:29" ht="15">
      <c r="A40" s="111"/>
      <c r="B40" s="4" t="s">
        <v>2541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5"/>
      <c r="M40" s="2160"/>
      <c r="N40" s="2160"/>
      <c r="O40" s="2160"/>
      <c r="P40" s="3578"/>
      <c r="Q40" s="1145" t="str">
        <f t="shared" si="11"/>
        <v>市政基础设施</v>
      </c>
      <c r="R40" s="1146" t="s">
        <v>60</v>
      </c>
      <c r="S40" s="1147">
        <f t="shared" si="12"/>
        <v>100</v>
      </c>
      <c r="T40" s="1146" t="s">
        <v>60</v>
      </c>
      <c r="U40" s="1147">
        <f t="shared" si="13"/>
        <v>100</v>
      </c>
      <c r="V40" s="1146" t="s">
        <v>60</v>
      </c>
      <c r="W40" s="1147">
        <f t="shared" si="14"/>
        <v>100</v>
      </c>
      <c r="X40" s="1133"/>
      <c r="Y40" s="3481"/>
      <c r="Z40" s="1148" t="str">
        <f t="shared" si="15"/>
        <v>市政基础设施</v>
      </c>
      <c r="AA40" s="1149">
        <f t="shared" si="3"/>
        <v>1</v>
      </c>
      <c r="AB40" s="1149">
        <f t="shared" si="4"/>
        <v>1</v>
      </c>
      <c r="AC40" s="1149">
        <f t="shared" si="5"/>
        <v>1</v>
      </c>
    </row>
    <row r="41" spans="1:29" ht="15">
      <c r="A41" s="111"/>
      <c r="B41" s="4" t="s">
        <v>136</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5"/>
      <c r="M41" s="2160"/>
      <c r="N41" s="2160"/>
      <c r="O41" s="2160"/>
      <c r="P41" s="3578"/>
      <c r="Q41" s="1145" t="str">
        <f t="shared" si="11"/>
        <v>层高</v>
      </c>
      <c r="R41" s="1146" t="s">
        <v>60</v>
      </c>
      <c r="S41" s="1147">
        <f t="shared" si="12"/>
        <v>100</v>
      </c>
      <c r="T41" s="1146" t="s">
        <v>60</v>
      </c>
      <c r="U41" s="1147">
        <f t="shared" si="13"/>
        <v>100</v>
      </c>
      <c r="V41" s="1146" t="s">
        <v>60</v>
      </c>
      <c r="W41" s="1147">
        <f t="shared" si="14"/>
        <v>100</v>
      </c>
      <c r="X41" s="1133"/>
      <c r="Y41" s="3481"/>
      <c r="Z41" s="1148" t="str">
        <f t="shared" si="15"/>
        <v>层高</v>
      </c>
      <c r="AA41" s="1149">
        <f t="shared" si="3"/>
        <v>1</v>
      </c>
      <c r="AB41" s="1149">
        <f t="shared" si="4"/>
        <v>1</v>
      </c>
      <c r="AC41" s="1149">
        <f t="shared" si="5"/>
        <v>1</v>
      </c>
    </row>
    <row r="42" spans="1:29" s="898" customFormat="1" ht="14.25">
      <c r="A42" s="902"/>
      <c r="B42" s="143" t="s">
        <v>1000</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4"/>
      <c r="M42" s="2166"/>
      <c r="N42" s="2166"/>
      <c r="O42" s="2166"/>
      <c r="P42" s="3578"/>
      <c r="Q42" s="1153" t="str">
        <f t="shared" si="11"/>
        <v>单套建筑面积</v>
      </c>
      <c r="R42" s="1154" t="s">
        <v>60</v>
      </c>
      <c r="S42" s="1155">
        <f t="shared" si="12"/>
        <v>100</v>
      </c>
      <c r="T42" s="1154" t="s">
        <v>60</v>
      </c>
      <c r="U42" s="1155">
        <f t="shared" si="13"/>
        <v>100</v>
      </c>
      <c r="V42" s="1154" t="s">
        <v>60</v>
      </c>
      <c r="W42" s="1155">
        <f t="shared" si="14"/>
        <v>100</v>
      </c>
      <c r="X42" s="1156"/>
      <c r="Y42" s="3481"/>
      <c r="Z42" s="1157" t="str">
        <f t="shared" si="15"/>
        <v>单套建筑面积</v>
      </c>
      <c r="AA42" s="1149">
        <f t="shared" si="3"/>
        <v>1</v>
      </c>
      <c r="AB42" s="1149">
        <f t="shared" si="4"/>
        <v>1</v>
      </c>
      <c r="AC42" s="1149">
        <f t="shared" si="5"/>
        <v>1</v>
      </c>
    </row>
    <row r="43" spans="1:29" ht="15">
      <c r="A43" s="111"/>
      <c r="B43" s="4" t="s">
        <v>1001</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5"/>
      <c r="M43" s="2160"/>
      <c r="N43" s="2160"/>
      <c r="O43" s="2160"/>
      <c r="P43" s="3578"/>
      <c r="Q43" s="1145" t="str">
        <f t="shared" si="11"/>
        <v>内部装修</v>
      </c>
      <c r="R43" s="1146" t="s">
        <v>60</v>
      </c>
      <c r="S43" s="1147">
        <f t="shared" si="12"/>
        <v>100</v>
      </c>
      <c r="T43" s="1146" t="s">
        <v>60</v>
      </c>
      <c r="U43" s="1147">
        <f t="shared" si="13"/>
        <v>100</v>
      </c>
      <c r="V43" s="1146" t="s">
        <v>60</v>
      </c>
      <c r="W43" s="1147">
        <f t="shared" si="14"/>
        <v>100</v>
      </c>
      <c r="X43" s="1133"/>
      <c r="Y43" s="3481"/>
      <c r="Z43" s="1148" t="str">
        <f t="shared" si="15"/>
        <v>内部装修</v>
      </c>
      <c r="AA43" s="1149">
        <f t="shared" si="3"/>
        <v>1</v>
      </c>
      <c r="AB43" s="1149">
        <f t="shared" si="4"/>
        <v>1</v>
      </c>
      <c r="AC43" s="1149">
        <f t="shared" si="5"/>
        <v>1</v>
      </c>
    </row>
    <row r="44" spans="1:29" ht="27">
      <c r="A44" s="111"/>
      <c r="B44" s="4" t="s">
        <v>78</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5"/>
      <c r="M44" s="2160"/>
      <c r="N44" s="2160"/>
      <c r="O44" s="2160"/>
      <c r="P44" s="3578"/>
      <c r="Q44" s="1145" t="str">
        <f t="shared" si="11"/>
        <v>内部装修维护情况</v>
      </c>
      <c r="R44" s="1146" t="s">
        <v>60</v>
      </c>
      <c r="S44" s="1147">
        <f t="shared" si="12"/>
        <v>100</v>
      </c>
      <c r="T44" s="1146" t="s">
        <v>60</v>
      </c>
      <c r="U44" s="1147">
        <f t="shared" si="13"/>
        <v>100</v>
      </c>
      <c r="V44" s="1146" t="s">
        <v>60</v>
      </c>
      <c r="W44" s="1147">
        <f t="shared" si="14"/>
        <v>100</v>
      </c>
      <c r="X44" s="1133"/>
      <c r="Y44" s="3481"/>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1"/>
      <c r="M45" s="2103"/>
      <c r="N45" s="2103"/>
      <c r="O45" s="2103"/>
      <c r="P45" s="3578"/>
      <c r="Q45" s="2">
        <f t="shared" si="11"/>
        <v>111</v>
      </c>
      <c r="R45" s="1135" t="s">
        <v>60</v>
      </c>
      <c r="S45" s="1136">
        <f t="shared" si="12"/>
        <v>100</v>
      </c>
      <c r="T45" s="1135" t="s">
        <v>60</v>
      </c>
      <c r="U45" s="1136">
        <f t="shared" si="13"/>
        <v>100</v>
      </c>
      <c r="V45" s="1135" t="s">
        <v>60</v>
      </c>
      <c r="W45" s="1136">
        <f t="shared" si="14"/>
        <v>100</v>
      </c>
      <c r="X45" s="184"/>
      <c r="Y45" s="3481"/>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5"/>
      <c r="M46" s="2160"/>
      <c r="N46" s="2160"/>
      <c r="O46" s="2160"/>
      <c r="P46" s="3578"/>
      <c r="Q46" s="1145">
        <f t="shared" si="11"/>
        <v>111</v>
      </c>
      <c r="R46" s="1146" t="s">
        <v>60</v>
      </c>
      <c r="S46" s="1147">
        <f t="shared" si="12"/>
        <v>100</v>
      </c>
      <c r="T46" s="1146" t="s">
        <v>60</v>
      </c>
      <c r="U46" s="1147">
        <f t="shared" si="13"/>
        <v>100</v>
      </c>
      <c r="V46" s="1146" t="s">
        <v>60</v>
      </c>
      <c r="W46" s="1147">
        <f t="shared" si="14"/>
        <v>100</v>
      </c>
      <c r="X46" s="1133"/>
      <c r="Y46" s="3481"/>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5"/>
      <c r="M47" s="2160"/>
      <c r="N47" s="2160"/>
      <c r="O47" s="2160"/>
      <c r="P47" s="3579"/>
      <c r="Q47" s="1145">
        <f t="shared" si="11"/>
        <v>111</v>
      </c>
      <c r="R47" s="1146" t="s">
        <v>60</v>
      </c>
      <c r="S47" s="1147">
        <f t="shared" si="12"/>
        <v>100</v>
      </c>
      <c r="T47" s="1146" t="s">
        <v>60</v>
      </c>
      <c r="U47" s="1147">
        <f t="shared" si="13"/>
        <v>100</v>
      </c>
      <c r="V47" s="1146" t="s">
        <v>60</v>
      </c>
      <c r="W47" s="1147">
        <f t="shared" si="14"/>
        <v>100</v>
      </c>
      <c r="X47" s="1133"/>
      <c r="Y47" s="3482"/>
      <c r="Z47" s="1148">
        <f t="shared" si="15"/>
        <v>111</v>
      </c>
      <c r="AA47" s="1149">
        <f t="shared" si="3"/>
        <v>1</v>
      </c>
      <c r="AB47" s="1149">
        <f t="shared" si="4"/>
        <v>1</v>
      </c>
      <c r="AC47" s="1149">
        <f t="shared" si="5"/>
        <v>1</v>
      </c>
    </row>
    <row r="48" spans="1:29" ht="15">
      <c r="A48" s="113" t="s">
        <v>941</v>
      </c>
      <c r="B48" s="114"/>
      <c r="C48" s="2605" t="s">
        <v>20</v>
      </c>
      <c r="D48" s="2606"/>
      <c r="E48" s="2607"/>
      <c r="F48" s="2608"/>
      <c r="G48" s="2609"/>
      <c r="H48" s="2610"/>
      <c r="I48" s="2607"/>
      <c r="J48" s="2610"/>
      <c r="K48" s="1188"/>
      <c r="L48" s="2167"/>
      <c r="M48" s="2160"/>
      <c r="N48" s="2160"/>
      <c r="O48" s="2160"/>
      <c r="P48" s="3471" t="str">
        <f>A48</f>
        <v>成交单价（元/平方米）</v>
      </c>
      <c r="Q48" s="3473"/>
      <c r="R48" s="3469">
        <f>E48</f>
        <v>0</v>
      </c>
      <c r="S48" s="3469"/>
      <c r="T48" s="3469">
        <f>G48</f>
        <v>0</v>
      </c>
      <c r="U48" s="3469"/>
      <c r="V48" s="3469">
        <f>I48</f>
        <v>0</v>
      </c>
      <c r="W48" s="3469"/>
      <c r="X48" s="1159"/>
      <c r="Y48" s="1160"/>
      <c r="Z48" s="1159"/>
      <c r="AA48" s="1159"/>
      <c r="AB48" s="1159"/>
      <c r="AC48" s="1159"/>
    </row>
    <row r="49" spans="1:29" ht="15.75" thickBot="1">
      <c r="A49" s="115" t="s">
        <v>942</v>
      </c>
      <c r="B49" s="116"/>
      <c r="C49" s="2611" t="e">
        <f>R50</f>
        <v>#DIV/0!</v>
      </c>
      <c r="D49" s="2612"/>
      <c r="E49" s="2613" t="e">
        <f>R49</f>
        <v>#DIV/0!</v>
      </c>
      <c r="F49" s="2613"/>
      <c r="G49" s="2611" t="e">
        <f>T49</f>
        <v>#DIV/0!</v>
      </c>
      <c r="H49" s="2612"/>
      <c r="I49" s="2613" t="e">
        <f>V49</f>
        <v>#DIV/0!</v>
      </c>
      <c r="J49" s="2612"/>
      <c r="K49" s="1189"/>
      <c r="L49" s="2167"/>
      <c r="M49" s="2160"/>
      <c r="N49" s="2160"/>
      <c r="O49" s="2160"/>
      <c r="P49" s="3471" t="str">
        <f>A49</f>
        <v>比较价值（元/平方米）</v>
      </c>
      <c r="Q49" s="3473"/>
      <c r="R49" s="3469" t="e">
        <f>IF(E1="售价",ROUND(PRODUCT(R48,AA7:AA47),0),ROUND(PRODUCT(R48,AA7:AA47),1))</f>
        <v>#DIV/0!</v>
      </c>
      <c r="S49" s="3469"/>
      <c r="T49" s="3469" t="e">
        <f>IF(E1="售价",ROUND(PRODUCT(T48,AB7:AB47),0),ROUND(PRODUCT(T48,AB7:AB47),1))</f>
        <v>#DIV/0!</v>
      </c>
      <c r="U49" s="3469"/>
      <c r="V49" s="3469" t="e">
        <f>IF(E1="售价",ROUND(PRODUCT(V48,AC7:AC47),0),ROUND(PRODUCT(V48,AC7:AC47),1))</f>
        <v>#DIV/0!</v>
      </c>
      <c r="W49" s="3469"/>
      <c r="X49" s="1159"/>
      <c r="Y49" s="1159"/>
      <c r="Z49" s="1159"/>
      <c r="AA49" s="1159"/>
      <c r="AB49" s="1159"/>
      <c r="AC49" s="1159"/>
    </row>
    <row r="50" spans="1:29" ht="15.75" thickBot="1">
      <c r="A50" s="62" t="s">
        <v>2881</v>
      </c>
      <c r="B50" s="63"/>
      <c r="C50" s="2615" t="e">
        <f>R50</f>
        <v>#DIV/0!</v>
      </c>
      <c r="D50" s="2615"/>
      <c r="E50" s="2615"/>
      <c r="F50" s="2615"/>
      <c r="G50" s="2615"/>
      <c r="H50" s="2615"/>
      <c r="I50" s="2615"/>
      <c r="J50" s="2615"/>
      <c r="K50" s="1190"/>
      <c r="L50" s="2167"/>
      <c r="M50" s="2160"/>
      <c r="N50" s="2160"/>
      <c r="O50" s="2160"/>
      <c r="P50" s="3576" t="str">
        <f>A50</f>
        <v>估价对象XX用房的比较价值（楼面单价，元/平方米）</v>
      </c>
      <c r="Q50" s="3471"/>
      <c r="R50" s="3472" t="e">
        <f>IF(E1="售价",ROUND(AVERAGE(R49:V49),0),ROUND(AVERAGE(R49:V49),1))</f>
        <v>#DIV/0!</v>
      </c>
      <c r="S50" s="3472"/>
      <c r="T50" s="3472"/>
      <c r="U50" s="3472"/>
      <c r="V50" s="3472"/>
      <c r="W50" s="3472"/>
      <c r="X50" s="1159"/>
      <c r="Y50" s="1159"/>
      <c r="Z50" s="1159"/>
      <c r="AA50" s="1159"/>
      <c r="AB50" s="1159"/>
      <c r="AC50" s="1159"/>
    </row>
    <row r="51" spans="1:29">
      <c r="A51" s="2168"/>
      <c r="B51" s="2168"/>
      <c r="C51" s="2168"/>
      <c r="D51" s="2168"/>
      <c r="E51" s="2168"/>
      <c r="F51" s="2168"/>
      <c r="G51" s="2172"/>
      <c r="H51" s="2168"/>
      <c r="I51" s="2168"/>
      <c r="J51" s="2168"/>
      <c r="K51" s="2173"/>
      <c r="L51" s="2169"/>
      <c r="M51" s="2168"/>
      <c r="N51" s="2168"/>
      <c r="O51" s="2168"/>
    </row>
    <row r="52" spans="1:29">
      <c r="A52" s="2168"/>
      <c r="B52" s="2168"/>
      <c r="C52" s="2168"/>
      <c r="D52" s="2168"/>
      <c r="E52" s="2168"/>
      <c r="F52" s="2168"/>
      <c r="G52" s="2168"/>
      <c r="H52" s="2168"/>
      <c r="I52" s="2168"/>
      <c r="J52" s="2168"/>
      <c r="K52" s="2173"/>
      <c r="L52" s="2169"/>
      <c r="M52" s="2168"/>
      <c r="N52" s="2168"/>
      <c r="O52" s="2168"/>
    </row>
    <row r="53" spans="1:29" ht="13.5" customHeight="1">
      <c r="A53" s="2168"/>
      <c r="B53" s="2168"/>
      <c r="C53" s="696" t="s">
        <v>911</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3"/>
      <c r="L53" s="2169"/>
      <c r="M53" s="2168"/>
      <c r="N53" s="2168"/>
      <c r="O53" s="2168"/>
    </row>
    <row r="54" spans="1:29" ht="13.5" customHeight="1">
      <c r="A54" s="2168"/>
      <c r="B54" s="2168"/>
      <c r="C54" s="696" t="s">
        <v>912</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3"/>
      <c r="L54" s="2169"/>
      <c r="M54" s="2168"/>
      <c r="N54" s="2168"/>
      <c r="O54" s="2168"/>
    </row>
    <row r="55" spans="1:29" s="66" customFormat="1" ht="13.5" customHeight="1">
      <c r="A55" s="2170"/>
      <c r="B55" s="2170"/>
      <c r="C55" s="696" t="s">
        <v>913</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4"/>
      <c r="L55" s="2175"/>
      <c r="M55" s="2170"/>
      <c r="N55" s="2170"/>
      <c r="O55" s="2170"/>
    </row>
    <row r="56" spans="1:29" s="66" customFormat="1">
      <c r="A56" s="2170"/>
      <c r="B56" s="2171"/>
      <c r="C56" s="2176"/>
      <c r="D56" s="2170"/>
      <c r="E56" s="2170"/>
      <c r="F56" s="2170"/>
      <c r="G56" s="2170"/>
      <c r="H56" s="2170"/>
      <c r="I56" s="2170"/>
      <c r="J56" s="2170"/>
      <c r="K56" s="2174"/>
      <c r="L56" s="2175"/>
      <c r="M56" s="2170"/>
      <c r="N56" s="2170"/>
      <c r="O56" s="2170"/>
    </row>
    <row r="57" spans="1:29">
      <c r="A57" s="2168"/>
      <c r="B57" s="2171"/>
      <c r="C57" s="2176"/>
      <c r="D57" s="2168"/>
      <c r="E57" s="2168"/>
      <c r="F57" s="2168"/>
      <c r="G57" s="2168"/>
      <c r="H57" s="2168"/>
      <c r="I57" s="2168"/>
      <c r="J57" s="2168"/>
      <c r="K57" s="2173"/>
      <c r="L57" s="2169"/>
      <c r="M57" s="2168"/>
      <c r="N57" s="2168"/>
      <c r="O57" s="2168"/>
    </row>
    <row r="58" spans="1:29" ht="21" thickBot="1">
      <c r="A58" s="1165" t="s">
        <v>944</v>
      </c>
      <c r="B58" s="1159"/>
      <c r="C58" s="1166"/>
      <c r="D58" s="1166"/>
      <c r="E58" s="1166"/>
      <c r="F58" s="1167"/>
      <c r="G58" s="1167"/>
      <c r="H58" s="1166"/>
      <c r="I58" s="1166"/>
      <c r="J58" s="1166"/>
      <c r="K58" s="1168"/>
      <c r="L58" s="1169"/>
      <c r="M58" s="1166"/>
      <c r="N58" s="1166"/>
      <c r="O58" s="1166"/>
      <c r="P58" s="67"/>
      <c r="Q58" s="68"/>
    </row>
    <row r="59" spans="1:29" s="907" customFormat="1" ht="14.25">
      <c r="A59" s="904" t="s">
        <v>945</v>
      </c>
      <c r="B59" s="905"/>
      <c r="C59" s="2800" t="str">
        <f>YEAR(C7)&amp;"-"&amp;MONTH(C7)</f>
        <v>2017-6</v>
      </c>
      <c r="D59" s="2801">
        <f>EDATE(C59,-1)</f>
        <v>42856</v>
      </c>
      <c r="E59" s="2801">
        <f t="shared" ref="E59:O59" si="16">EDATE(D59,-1)</f>
        <v>42826</v>
      </c>
      <c r="F59" s="2801">
        <f t="shared" si="16"/>
        <v>42795</v>
      </c>
      <c r="G59" s="2801">
        <f t="shared" si="16"/>
        <v>42767</v>
      </c>
      <c r="H59" s="2801">
        <f t="shared" si="16"/>
        <v>42736</v>
      </c>
      <c r="I59" s="2801">
        <f t="shared" si="16"/>
        <v>42705</v>
      </c>
      <c r="J59" s="2801">
        <f t="shared" si="16"/>
        <v>42675</v>
      </c>
      <c r="K59" s="2801">
        <f t="shared" si="16"/>
        <v>42644</v>
      </c>
      <c r="L59" s="2801">
        <f t="shared" si="16"/>
        <v>42614</v>
      </c>
      <c r="M59" s="2801">
        <f t="shared" si="16"/>
        <v>42583</v>
      </c>
      <c r="N59" s="2801">
        <f t="shared" si="16"/>
        <v>42552</v>
      </c>
      <c r="O59" s="2801">
        <f t="shared" si="16"/>
        <v>42522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946</v>
      </c>
      <c r="B61" s="911"/>
      <c r="C61" s="716"/>
      <c r="D61" s="717"/>
      <c r="E61" s="717"/>
      <c r="F61" s="717"/>
      <c r="G61" s="717"/>
      <c r="H61" s="717"/>
      <c r="I61" s="717"/>
      <c r="J61" s="717"/>
      <c r="K61" s="717"/>
      <c r="L61" s="717"/>
      <c r="M61" s="718"/>
      <c r="N61" s="717"/>
      <c r="O61" s="719"/>
      <c r="P61" s="68"/>
      <c r="Q61" s="68"/>
    </row>
    <row r="62" spans="1:29" s="11" customFormat="1">
      <c r="A62" s="912" t="s">
        <v>947</v>
      </c>
      <c r="B62" s="909"/>
      <c r="C62" s="913" t="s">
        <v>948</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949</v>
      </c>
      <c r="B64" s="183" t="s">
        <v>950</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951</v>
      </c>
      <c r="C66" s="740" t="s">
        <v>914</v>
      </c>
      <c r="D66" s="740" t="s">
        <v>915</v>
      </c>
      <c r="E66" s="740" t="s">
        <v>916</v>
      </c>
      <c r="F66" s="740" t="s">
        <v>917</v>
      </c>
      <c r="G66" s="740" t="s">
        <v>918</v>
      </c>
      <c r="H66" s="740" t="s">
        <v>919</v>
      </c>
      <c r="I66" s="740" t="s">
        <v>920</v>
      </c>
      <c r="J66" s="740"/>
      <c r="K66" s="741"/>
      <c r="L66" s="742"/>
      <c r="M66" s="743"/>
      <c r="N66" s="1184"/>
      <c r="O66" s="1184"/>
      <c r="P66" s="1"/>
      <c r="Q66" s="68"/>
    </row>
    <row r="67" spans="1:17" ht="15" thickBot="1">
      <c r="A67" s="125"/>
      <c r="B67" s="918"/>
      <c r="C67" s="745" t="s">
        <v>138</v>
      </c>
      <c r="D67" s="745" t="s">
        <v>139</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952</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953</v>
      </c>
      <c r="B77" s="183" t="s">
        <v>1002</v>
      </c>
      <c r="C77" s="775" t="s">
        <v>921</v>
      </c>
      <c r="D77" s="775" t="s">
        <v>922</v>
      </c>
      <c r="E77" s="775" t="s">
        <v>923</v>
      </c>
      <c r="F77" s="775" t="s">
        <v>924</v>
      </c>
      <c r="G77" s="775" t="s">
        <v>925</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960</v>
      </c>
      <c r="C79" s="780" t="s">
        <v>921</v>
      </c>
      <c r="D79" s="780" t="s">
        <v>922</v>
      </c>
      <c r="E79" s="780" t="s">
        <v>923</v>
      </c>
      <c r="F79" s="780" t="s">
        <v>1009</v>
      </c>
      <c r="G79" s="780" t="s">
        <v>925</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2530</v>
      </c>
      <c r="C81" s="780" t="s">
        <v>921</v>
      </c>
      <c r="D81" s="780" t="s">
        <v>922</v>
      </c>
      <c r="E81" s="780" t="s">
        <v>923</v>
      </c>
      <c r="F81" s="780" t="s">
        <v>924</v>
      </c>
      <c r="G81" s="780" t="s">
        <v>925</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2542</v>
      </c>
      <c r="C83" s="129" t="s">
        <v>2534</v>
      </c>
      <c r="D83" s="129" t="s">
        <v>2535</v>
      </c>
      <c r="E83" s="129" t="s">
        <v>2536</v>
      </c>
      <c r="F83" s="129" t="s">
        <v>2537</v>
      </c>
      <c r="G83" s="129" t="s">
        <v>2538</v>
      </c>
      <c r="H83" s="740"/>
      <c r="I83" s="740"/>
      <c r="J83" s="740"/>
      <c r="K83" s="740"/>
      <c r="L83" s="740"/>
      <c r="M83" s="2555"/>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1003</v>
      </c>
      <c r="C85" s="780" t="s">
        <v>921</v>
      </c>
      <c r="D85" s="780" t="s">
        <v>922</v>
      </c>
      <c r="E85" s="780" t="s">
        <v>923</v>
      </c>
      <c r="F85" s="780" t="s">
        <v>924</v>
      </c>
      <c r="G85" s="780" t="s">
        <v>925</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1004</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963</v>
      </c>
      <c r="B101" s="183" t="s">
        <v>1005</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965</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966</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967</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968</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1006</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1007</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970</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971</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973</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974</v>
      </c>
      <c r="C125" s="780" t="s">
        <v>921</v>
      </c>
      <c r="D125" s="780" t="s">
        <v>922</v>
      </c>
      <c r="E125" s="780" t="s">
        <v>923</v>
      </c>
      <c r="F125" s="780" t="s">
        <v>924</v>
      </c>
      <c r="G125" s="780" t="s">
        <v>925</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4"/>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1945</v>
      </c>
      <c r="B1" s="1758"/>
      <c r="C1" s="1758"/>
      <c r="D1" s="1758"/>
      <c r="E1" s="1758"/>
      <c r="F1" s="1758"/>
      <c r="G1" s="1758"/>
    </row>
    <row r="2" spans="1:7">
      <c r="A2" s="1855"/>
    </row>
    <row r="3" spans="1:7" s="2019" customFormat="1" ht="18.75">
      <c r="A3" s="2018" t="str">
        <f>IF(ISNUMBER(FIND("公司",项目基本情况!B4)),项目基本情况!B4&amp;"：",项目基本情况!B4&amp;"  先生/女士：")</f>
        <v>杭州名城博园置业有限公司：</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受贵公司委托，我公司对浙江省杭州市房地产进行了预评估。</v>
      </c>
      <c r="B4" s="1757"/>
      <c r="C4" s="1757"/>
      <c r="D4" s="1757"/>
      <c r="E4" s="1757"/>
      <c r="F4" s="1757"/>
      <c r="G4" s="1757"/>
    </row>
    <row r="5" spans="1:7" ht="18.75">
      <c r="A5" s="1752" t="s">
        <v>1947</v>
      </c>
    </row>
    <row r="6" spans="1:7" s="169" customFormat="1" ht="7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杭州名城博园置业有限公司所有。根据《不动产权证书》[]，估价对象建筑面积为88039.9299999993平方米，（分摊）出让国有建设用地使用权面积为4968.70000000005平方米。估价对象用途为。</v>
      </c>
      <c r="B6" s="1757"/>
      <c r="C6" s="1757"/>
      <c r="D6" s="1757"/>
      <c r="E6" s="1757"/>
      <c r="F6" s="1757"/>
      <c r="G6" s="1757"/>
    </row>
    <row r="7" spans="1:7" ht="18.75">
      <c r="A7" s="1752" t="s">
        <v>1948</v>
      </c>
    </row>
    <row r="8" spans="1:7" ht="37.5">
      <c r="A8" s="1856" t="str">
        <f>IF(项目基本情况!D4="抵押",IF(项目基本情况!B4=项目基本情况!B5,定义!C51,定义!B51),定义!D51)</f>
        <v>为估价委托人在向五矿信托办理贷款手续过程中，确定房地产抵押贷款额度提供参考依据而评估房地产抵押价值。</v>
      </c>
      <c r="B8" s="1764"/>
      <c r="C8" s="1757"/>
      <c r="D8" s="1757"/>
      <c r="E8" s="1757"/>
      <c r="F8" s="1757"/>
      <c r="G8" s="1757"/>
    </row>
    <row r="9" spans="1:7" ht="18.75">
      <c r="A9" s="1753" t="s">
        <v>1949</v>
      </c>
      <c r="B9" s="1793"/>
    </row>
    <row r="10" spans="1:7" ht="18.75">
      <c r="A10" s="1754" t="str">
        <f>TEXT(项目基本情况!D2,"yyyy年m月d日;;")&amp;IF(项目基本情况!B2=项目基本情况!D2,"（评估专业人员实地查勘之日）","")</f>
        <v>2017年6月30日（评估专业人员实地查勘之日）</v>
      </c>
      <c r="B10" s="1755"/>
      <c r="C10" s="1755"/>
      <c r="D10" s="1755"/>
      <c r="E10" s="1755"/>
      <c r="F10" s="1755"/>
      <c r="G10" s="1755"/>
    </row>
    <row r="11" spans="1:7" ht="18.75">
      <c r="A11" s="1753" t="s">
        <v>1950</v>
      </c>
    </row>
    <row r="12" spans="1:7" ht="75">
      <c r="A12" s="1757" t="s">
        <v>2713</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本次估价的“房地产价值”是指在正常市场情况下，在价值时点2017年6月30日，估价对象规划用途为，假定未设立法定优先受偿款下的房地产市场价值。</v>
      </c>
      <c r="B13" s="1757"/>
      <c r="C13" s="1757"/>
      <c r="D13" s="1757"/>
      <c r="E13" s="1757"/>
      <c r="F13" s="1757"/>
      <c r="G13" s="1757"/>
    </row>
    <row r="14" spans="1:7" ht="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v>
      </c>
      <c r="B14" s="1759"/>
      <c r="C14" s="1759"/>
      <c r="D14" s="1759"/>
      <c r="E14" s="1759"/>
      <c r="F14" s="1759"/>
      <c r="G14" s="1759"/>
    </row>
    <row r="15" spans="1:7" ht="56.25">
      <c r="A15" s="1757" t="s">
        <v>2714</v>
      </c>
      <c r="B15" s="1757"/>
      <c r="C15" s="1757"/>
      <c r="D15" s="1757"/>
      <c r="E15" s="1757"/>
      <c r="F15" s="1757"/>
      <c r="G15" s="1757"/>
    </row>
    <row r="16" spans="1:7" ht="56.25">
      <c r="A16" s="1796"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1956</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8" customFormat="1" ht="28.5" customHeight="1" thickBot="1">
      <c r="A1" s="2886" t="s">
        <v>1010</v>
      </c>
      <c r="B1" s="2887" t="s">
        <v>1011</v>
      </c>
      <c r="C1" s="2888"/>
      <c r="D1" s="2892"/>
      <c r="E1" s="2890"/>
      <c r="F1" s="2891" t="s">
        <v>1012</v>
      </c>
      <c r="G1" s="2892"/>
      <c r="H1" s="2892"/>
      <c r="I1" s="2892"/>
      <c r="J1" s="2892"/>
      <c r="K1" s="2893"/>
      <c r="L1" s="2894"/>
      <c r="M1" s="2887"/>
      <c r="N1" s="2887"/>
      <c r="O1" s="2887"/>
      <c r="P1" s="2896"/>
      <c r="Q1" s="2896"/>
      <c r="R1" s="2896"/>
      <c r="S1" s="2896"/>
      <c r="T1" s="2896"/>
      <c r="U1" s="2896"/>
      <c r="V1" s="2896"/>
      <c r="W1" s="2896"/>
      <c r="X1" s="2896"/>
      <c r="Y1" s="2896"/>
      <c r="Z1" s="2896"/>
      <c r="AA1" s="2896"/>
      <c r="AB1" s="2896"/>
      <c r="AC1" s="2897"/>
    </row>
    <row r="2" spans="1:29" s="37" customFormat="1" ht="28.5" customHeight="1" thickTop="1">
      <c r="A2" s="2881" t="s">
        <v>1013</v>
      </c>
      <c r="B2" s="2882" t="e">
        <f ca="1">IF(D2="——",IF(C2="元",ROUND(C43*D3,0),ROUND(C43*D3/10000,0)),IF(C2="元",ROUND(C43*D3,0),ROUND(C43*D3/10000,0))-E2)</f>
        <v>#DIV/0!</v>
      </c>
      <c r="C2" s="32" t="str">
        <f>'数据-取费表'!B3</f>
        <v>万元</v>
      </c>
      <c r="D2" s="2883"/>
      <c r="E2" s="2902" t="e">
        <f ca="1">SUMIF(INDIRECT("'"&amp;G2&amp;"'"&amp;"!A:A"),"承租人权益价值",INDIRECT("'"&amp;G2&amp;"'"&amp;"!c:c"))</f>
        <v>#REF!</v>
      </c>
      <c r="F2" s="2884" t="str">
        <f>C2</f>
        <v>万元</v>
      </c>
      <c r="G2" s="2885"/>
      <c r="H2" s="2184"/>
      <c r="I2" s="2184"/>
      <c r="J2" s="2184"/>
      <c r="K2" s="2184"/>
      <c r="L2" s="2185"/>
      <c r="M2" s="2186"/>
      <c r="N2" s="2186"/>
      <c r="O2" s="2186"/>
      <c r="P2" s="1127"/>
      <c r="Q2" s="1127"/>
      <c r="R2" s="1127"/>
      <c r="S2" s="1127"/>
      <c r="T2" s="1127"/>
      <c r="U2" s="1127"/>
      <c r="V2" s="1127"/>
      <c r="W2" s="1127"/>
      <c r="X2" s="1127"/>
      <c r="Y2" s="1127"/>
      <c r="Z2" s="1127"/>
      <c r="AA2" s="1127"/>
      <c r="AB2" s="1127"/>
      <c r="AC2" s="1187"/>
    </row>
    <row r="3" spans="1:29" s="37" customFormat="1" ht="28.5" customHeight="1" thickBot="1">
      <c r="A3" s="34" t="s">
        <v>1014</v>
      </c>
      <c r="B3" s="811" t="e">
        <f ca="1">ROUND(IF(D2="——",C43,IF(C2="万元",B2*10000/D3,B2/D3)),0)</f>
        <v>#DIV/0!</v>
      </c>
      <c r="C3" s="89" t="s">
        <v>1015</v>
      </c>
      <c r="D3" s="596">
        <f>IF(C1="仅计算典型户型",'数据-取费表'!E5,'数据-取费表'!B5)</f>
        <v>88039.929999999338</v>
      </c>
      <c r="E3" s="2184"/>
      <c r="F3" s="2183"/>
      <c r="G3" s="2184"/>
      <c r="H3" s="2184"/>
      <c r="I3" s="2184"/>
      <c r="J3" s="2184"/>
      <c r="K3" s="2187"/>
      <c r="L3" s="2185"/>
      <c r="M3" s="2186"/>
      <c r="N3" s="2186"/>
      <c r="O3" s="2186"/>
      <c r="P3" s="1127"/>
      <c r="Q3" s="1127"/>
      <c r="R3" s="1127"/>
      <c r="S3" s="1127"/>
      <c r="T3" s="1127"/>
      <c r="U3" s="1127"/>
      <c r="V3" s="1127"/>
      <c r="W3" s="1127"/>
      <c r="X3" s="1127"/>
      <c r="Y3" s="1127"/>
      <c r="Z3" s="1127"/>
      <c r="AA3" s="1127"/>
      <c r="AB3" s="1203"/>
      <c r="AC3" s="1187"/>
    </row>
    <row r="4" spans="1:29">
      <c r="A4" s="90" t="s">
        <v>1016</v>
      </c>
      <c r="B4" s="91"/>
      <c r="C4" s="3500" t="s">
        <v>1017</v>
      </c>
      <c r="D4" s="3501"/>
      <c r="E4" s="3502" t="s">
        <v>1018</v>
      </c>
      <c r="F4" s="3503"/>
      <c r="G4" s="3500" t="s">
        <v>1019</v>
      </c>
      <c r="H4" s="3501"/>
      <c r="I4" s="3500" t="s">
        <v>1020</v>
      </c>
      <c r="J4" s="3501"/>
      <c r="K4" s="139" t="s">
        <v>1021</v>
      </c>
      <c r="L4" s="2159"/>
      <c r="M4" s="2160"/>
      <c r="N4" s="2160"/>
      <c r="O4" s="2160"/>
      <c r="P4" s="3504" t="s">
        <v>1016</v>
      </c>
      <c r="Q4" s="3505"/>
      <c r="R4" s="3489" t="s">
        <v>1018</v>
      </c>
      <c r="S4" s="3490"/>
      <c r="T4" s="3489" t="s">
        <v>1019</v>
      </c>
      <c r="U4" s="3490"/>
      <c r="V4" s="3510" t="s">
        <v>1020</v>
      </c>
      <c r="W4" s="3510"/>
      <c r="X4" s="1133"/>
      <c r="Y4" s="3489" t="s">
        <v>1016</v>
      </c>
      <c r="Z4" s="3490"/>
      <c r="AA4" s="3497" t="s">
        <v>1018</v>
      </c>
      <c r="AB4" s="3498" t="s">
        <v>1019</v>
      </c>
      <c r="AC4" s="3497" t="s">
        <v>1020</v>
      </c>
    </row>
    <row r="5" spans="1:29">
      <c r="A5" s="93"/>
      <c r="B5" s="94"/>
      <c r="C5" s="3485" t="s">
        <v>1022</v>
      </c>
      <c r="D5" s="3486"/>
      <c r="E5" s="3511" t="s">
        <v>1023</v>
      </c>
      <c r="F5" s="3512"/>
      <c r="G5" s="3485" t="s">
        <v>1024</v>
      </c>
      <c r="H5" s="3486"/>
      <c r="I5" s="3485" t="s">
        <v>1025</v>
      </c>
      <c r="J5" s="3486"/>
      <c r="K5" s="139"/>
      <c r="L5" s="2159"/>
      <c r="M5" s="2160"/>
      <c r="N5" s="2160"/>
      <c r="O5" s="2160"/>
      <c r="P5" s="3506"/>
      <c r="Q5" s="3507"/>
      <c r="R5" s="3491"/>
      <c r="S5" s="3492"/>
      <c r="T5" s="3491"/>
      <c r="U5" s="3492"/>
      <c r="V5" s="3510"/>
      <c r="W5" s="3510"/>
      <c r="X5" s="1133"/>
      <c r="Y5" s="3491"/>
      <c r="Z5" s="3492"/>
      <c r="AA5" s="3498"/>
      <c r="AB5" s="3498"/>
      <c r="AC5" s="3498"/>
    </row>
    <row r="6" spans="1:29" ht="14.25" thickBot="1">
      <c r="A6" s="95"/>
      <c r="B6" s="96"/>
      <c r="C6" s="3483" t="s">
        <v>1026</v>
      </c>
      <c r="D6" s="3484"/>
      <c r="E6" s="3513" t="s">
        <v>1026</v>
      </c>
      <c r="F6" s="3514"/>
      <c r="G6" s="3483" t="s">
        <v>1026</v>
      </c>
      <c r="H6" s="3484"/>
      <c r="I6" s="3483" t="s">
        <v>1026</v>
      </c>
      <c r="J6" s="3484"/>
      <c r="K6" s="139" t="s">
        <v>1027</v>
      </c>
      <c r="L6" s="2159"/>
      <c r="M6" s="2160"/>
      <c r="N6" s="2160"/>
      <c r="O6" s="2160"/>
      <c r="P6" s="3508"/>
      <c r="Q6" s="3509"/>
      <c r="R6" s="3491"/>
      <c r="S6" s="3492"/>
      <c r="T6" s="3493"/>
      <c r="U6" s="3494"/>
      <c r="V6" s="3510"/>
      <c r="W6" s="3510"/>
      <c r="X6" s="1133"/>
      <c r="Y6" s="3493"/>
      <c r="Z6" s="3494"/>
      <c r="AA6" s="3499"/>
      <c r="AB6" s="3499"/>
      <c r="AC6" s="3499"/>
    </row>
    <row r="7" spans="1:29" s="11" customFormat="1" ht="15" thickBot="1">
      <c r="A7" s="872" t="s">
        <v>1028</v>
      </c>
      <c r="B7" s="873"/>
      <c r="C7" s="607">
        <f>'数据-取费表'!B2</f>
        <v>42916</v>
      </c>
      <c r="D7" s="608">
        <v>100</v>
      </c>
      <c r="E7" s="875"/>
      <c r="F7" s="610">
        <f>SUMIF(52:52,YEAR(E7)&amp;"-"&amp;MONTH(E7),53:53)</f>
        <v>0</v>
      </c>
      <c r="G7" s="875"/>
      <c r="H7" s="608">
        <f>SUMIF(52:52,YEAR(G7)&amp;"-"&amp;MONTH(G7),53:53)</f>
        <v>0</v>
      </c>
      <c r="I7" s="875"/>
      <c r="J7" s="608">
        <f>SUMIF(52:52,YEAR(I7)&amp;"-"&amp;MONTH(I7),53:53)</f>
        <v>0</v>
      </c>
      <c r="K7" s="877"/>
      <c r="L7" s="2161"/>
      <c r="M7" s="2103"/>
      <c r="N7" s="2103"/>
      <c r="O7" s="2103"/>
      <c r="P7" s="3487" t="s">
        <v>1028</v>
      </c>
      <c r="Q7" s="3495"/>
      <c r="R7" s="1135" t="s">
        <v>60</v>
      </c>
      <c r="S7" s="1136">
        <f t="shared" ref="S7:S15" si="0">F7</f>
        <v>0</v>
      </c>
      <c r="T7" s="1135" t="s">
        <v>60</v>
      </c>
      <c r="U7" s="1136">
        <f t="shared" ref="U7:U15" si="1">H7</f>
        <v>0</v>
      </c>
      <c r="V7" s="1135" t="s">
        <v>60</v>
      </c>
      <c r="W7" s="1136">
        <f t="shared" ref="W7:W15" si="2">J7</f>
        <v>0</v>
      </c>
      <c r="X7" s="184"/>
      <c r="Y7" s="3487" t="s">
        <v>1028</v>
      </c>
      <c r="Z7" s="3488"/>
      <c r="AA7" s="1137" t="e">
        <f>D7/F7</f>
        <v>#DIV/0!</v>
      </c>
      <c r="AB7" s="1137" t="e">
        <f>D7/H7</f>
        <v>#DIV/0!</v>
      </c>
      <c r="AC7" s="1137" t="e">
        <f>D7/J7</f>
        <v>#DIV/0!</v>
      </c>
    </row>
    <row r="8" spans="1:29" s="11" customFormat="1" ht="15" thickBot="1">
      <c r="A8" s="872" t="s">
        <v>1029</v>
      </c>
      <c r="B8" s="873"/>
      <c r="C8" s="878"/>
      <c r="D8" s="608">
        <v>100</v>
      </c>
      <c r="E8" s="878"/>
      <c r="F8" s="610">
        <f>SUMIF(55:55,E8,56:56)-SUMIF(55:55,C8,56:56)+100</f>
        <v>100</v>
      </c>
      <c r="G8" s="878"/>
      <c r="H8" s="608">
        <f>SUMIF(55:55,G8,56:56)-SUMIF(55:55,C8,56:56)+100</f>
        <v>100</v>
      </c>
      <c r="I8" s="878"/>
      <c r="J8" s="608">
        <f>SUMIF(55:55,I8,56:56)-SUMIF(55:55,C8,56:56)+100</f>
        <v>100</v>
      </c>
      <c r="K8" s="877"/>
      <c r="L8" s="2161"/>
      <c r="M8" s="2103"/>
      <c r="N8" s="2103"/>
      <c r="O8" s="2103"/>
      <c r="P8" s="3487" t="s">
        <v>926</v>
      </c>
      <c r="Q8" s="3488"/>
      <c r="R8" s="1135" t="s">
        <v>60</v>
      </c>
      <c r="S8" s="1136">
        <f t="shared" si="0"/>
        <v>100</v>
      </c>
      <c r="T8" s="1135" t="s">
        <v>60</v>
      </c>
      <c r="U8" s="1136">
        <f t="shared" si="1"/>
        <v>100</v>
      </c>
      <c r="V8" s="1135" t="s">
        <v>60</v>
      </c>
      <c r="W8" s="1136">
        <f t="shared" si="2"/>
        <v>100</v>
      </c>
      <c r="X8" s="184"/>
      <c r="Y8" s="3487" t="s">
        <v>926</v>
      </c>
      <c r="Z8" s="3488"/>
      <c r="AA8" s="1137">
        <f t="shared" ref="AA8:AA40" si="3">D8/F8</f>
        <v>1</v>
      </c>
      <c r="AB8" s="1137">
        <f t="shared" ref="AB8:AB40" si="4">D8/H8</f>
        <v>1</v>
      </c>
      <c r="AC8" s="1137">
        <f t="shared" ref="AC8:AC40" si="5">D8/J8</f>
        <v>1</v>
      </c>
    </row>
    <row r="9" spans="1:29" s="11" customFormat="1" ht="14.25">
      <c r="A9" s="879" t="s">
        <v>927</v>
      </c>
      <c r="B9" s="20" t="s">
        <v>928</v>
      </c>
      <c r="C9" s="1139"/>
      <c r="D9" s="234">
        <v>100</v>
      </c>
      <c r="E9" s="1141"/>
      <c r="F9" s="234">
        <f>SUMIF(57:57,E9,58:58)-SUMIF(57:57,C9,58:58)+100</f>
        <v>100</v>
      </c>
      <c r="G9" s="1140"/>
      <c r="H9" s="234">
        <f>SUMIF(57:57,G9,58:58)-SUMIF(57:57,C9,58:58)+100</f>
        <v>100</v>
      </c>
      <c r="I9" s="1140"/>
      <c r="J9" s="234">
        <f>SUMIF(57:57,I9,58:58)-SUMIF(57:57,C9,58:58)+100</f>
        <v>100</v>
      </c>
      <c r="K9" s="877"/>
      <c r="L9" s="2161"/>
      <c r="M9" s="2103"/>
      <c r="N9" s="2103"/>
      <c r="O9" s="2195"/>
      <c r="P9" s="3473" t="s">
        <v>62</v>
      </c>
      <c r="Q9" s="2" t="str">
        <f t="shared" ref="Q9:Q15" si="6">B9</f>
        <v>用途</v>
      </c>
      <c r="R9" s="1135" t="s">
        <v>60</v>
      </c>
      <c r="S9" s="1136">
        <f t="shared" si="0"/>
        <v>100</v>
      </c>
      <c r="T9" s="1135" t="s">
        <v>60</v>
      </c>
      <c r="U9" s="1136">
        <f t="shared" si="1"/>
        <v>100</v>
      </c>
      <c r="V9" s="1135" t="s">
        <v>60</v>
      </c>
      <c r="W9" s="1136">
        <f t="shared" si="2"/>
        <v>100</v>
      </c>
      <c r="X9" s="184"/>
      <c r="Y9" s="3314" t="s">
        <v>62</v>
      </c>
      <c r="Z9" s="185" t="str">
        <f t="shared" ref="Z9:Z15" si="7">Q9</f>
        <v>用途</v>
      </c>
      <c r="AA9" s="1137">
        <f t="shared" si="3"/>
        <v>1</v>
      </c>
      <c r="AB9" s="1137">
        <f t="shared" si="4"/>
        <v>1</v>
      </c>
      <c r="AC9" s="1137">
        <f t="shared" si="5"/>
        <v>1</v>
      </c>
    </row>
    <row r="10" spans="1:29" s="39" customFormat="1" ht="27">
      <c r="A10" s="97"/>
      <c r="B10" s="4" t="s">
        <v>103</v>
      </c>
      <c r="C10" s="1142"/>
      <c r="D10" s="235">
        <v>100</v>
      </c>
      <c r="E10" s="1142"/>
      <c r="F10" s="235">
        <f>SUMIF(59:59,E10,60:60)-SUMIF(59:59,C10,60:60)+100</f>
        <v>100</v>
      </c>
      <c r="G10" s="1143"/>
      <c r="H10" s="235">
        <f>SUMIF(59:59,G10,60:60)-SUMIF(59:59,C10,60:60)+100</f>
        <v>100</v>
      </c>
      <c r="I10" s="1142"/>
      <c r="J10" s="235">
        <f>SUMIF(59:59,I10,60:60)-SUMIF(59:59,C10,60:60)+100</f>
        <v>100</v>
      </c>
      <c r="K10" s="814"/>
      <c r="L10" s="2162"/>
      <c r="M10" s="2163"/>
      <c r="N10" s="2163"/>
      <c r="O10" s="2196"/>
      <c r="P10" s="3473"/>
      <c r="Q10" s="2" t="str">
        <f t="shared" si="6"/>
        <v>土地使用年限（年）</v>
      </c>
      <c r="R10" s="1135" t="s">
        <v>60</v>
      </c>
      <c r="S10" s="1136">
        <f t="shared" si="0"/>
        <v>100</v>
      </c>
      <c r="T10" s="1135" t="s">
        <v>60</v>
      </c>
      <c r="U10" s="1136">
        <f t="shared" si="1"/>
        <v>100</v>
      </c>
      <c r="V10" s="1135" t="s">
        <v>60</v>
      </c>
      <c r="W10" s="1136">
        <f t="shared" si="2"/>
        <v>100</v>
      </c>
      <c r="X10" s="184"/>
      <c r="Y10" s="3314"/>
      <c r="Z10" s="185" t="str">
        <f t="shared" si="7"/>
        <v>土地使用年限（年）</v>
      </c>
      <c r="AA10" s="1137">
        <f t="shared" si="3"/>
        <v>1</v>
      </c>
      <c r="AB10" s="1137">
        <f t="shared" si="4"/>
        <v>1</v>
      </c>
      <c r="AC10" s="1137">
        <f t="shared" si="5"/>
        <v>1</v>
      </c>
    </row>
    <row r="11" spans="1:29" ht="15">
      <c r="A11" s="98"/>
      <c r="B11" s="4" t="s">
        <v>87</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4"/>
      <c r="M11" s="2160"/>
      <c r="N11" s="2160"/>
      <c r="O11" s="2197"/>
      <c r="P11" s="3473"/>
      <c r="Q11" s="2" t="str">
        <f t="shared" si="6"/>
        <v>容积率</v>
      </c>
      <c r="R11" s="1135" t="s">
        <v>60</v>
      </c>
      <c r="S11" s="1136" t="e">
        <f t="shared" si="0"/>
        <v>#N/A</v>
      </c>
      <c r="T11" s="1135" t="s">
        <v>60</v>
      </c>
      <c r="U11" s="1136" t="e">
        <f t="shared" si="1"/>
        <v>#N/A</v>
      </c>
      <c r="V11" s="1135" t="s">
        <v>60</v>
      </c>
      <c r="W11" s="1136" t="e">
        <f t="shared" si="2"/>
        <v>#N/A</v>
      </c>
      <c r="X11" s="184"/>
      <c r="Y11" s="331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1"/>
      <c r="M12" s="2103"/>
      <c r="N12" s="2103"/>
      <c r="O12" s="2195"/>
      <c r="P12" s="3473"/>
      <c r="Q12" s="2">
        <f t="shared" si="6"/>
        <v>111</v>
      </c>
      <c r="R12" s="1135" t="s">
        <v>60</v>
      </c>
      <c r="S12" s="1136">
        <f t="shared" si="0"/>
        <v>100</v>
      </c>
      <c r="T12" s="1135" t="s">
        <v>60</v>
      </c>
      <c r="U12" s="1136">
        <f t="shared" si="1"/>
        <v>100</v>
      </c>
      <c r="V12" s="1135" t="s">
        <v>60</v>
      </c>
      <c r="W12" s="1136">
        <f t="shared" si="2"/>
        <v>100</v>
      </c>
      <c r="X12" s="184"/>
      <c r="Y12" s="3314"/>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5"/>
      <c r="M13" s="2160"/>
      <c r="N13" s="2160"/>
      <c r="O13" s="2197"/>
      <c r="P13" s="3473"/>
      <c r="Q13" s="2">
        <f t="shared" si="6"/>
        <v>111</v>
      </c>
      <c r="R13" s="1135" t="s">
        <v>60</v>
      </c>
      <c r="S13" s="1136">
        <f t="shared" si="0"/>
        <v>100</v>
      </c>
      <c r="T13" s="1135" t="s">
        <v>60</v>
      </c>
      <c r="U13" s="1136">
        <f t="shared" si="1"/>
        <v>100</v>
      </c>
      <c r="V13" s="1135" t="s">
        <v>60</v>
      </c>
      <c r="W13" s="1136">
        <f t="shared" si="2"/>
        <v>100</v>
      </c>
      <c r="X13" s="184"/>
      <c r="Y13" s="3314"/>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5"/>
      <c r="M14" s="2160"/>
      <c r="N14" s="2160"/>
      <c r="O14" s="2197"/>
      <c r="P14" s="3473"/>
      <c r="Q14" s="2">
        <f t="shared" si="6"/>
        <v>111</v>
      </c>
      <c r="R14" s="1135" t="s">
        <v>60</v>
      </c>
      <c r="S14" s="1136">
        <f t="shared" si="0"/>
        <v>100</v>
      </c>
      <c r="T14" s="1135" t="s">
        <v>60</v>
      </c>
      <c r="U14" s="1136">
        <f t="shared" si="1"/>
        <v>100</v>
      </c>
      <c r="V14" s="1135" t="s">
        <v>60</v>
      </c>
      <c r="W14" s="1136">
        <f t="shared" si="2"/>
        <v>100</v>
      </c>
      <c r="X14" s="184"/>
      <c r="Y14" s="3314"/>
      <c r="Z14" s="185">
        <f t="shared" si="7"/>
        <v>111</v>
      </c>
      <c r="AA14" s="1137">
        <f t="shared" si="3"/>
        <v>1</v>
      </c>
      <c r="AB14" s="1137">
        <f t="shared" si="4"/>
        <v>1</v>
      </c>
      <c r="AC14" s="1137">
        <f t="shared" si="5"/>
        <v>1</v>
      </c>
    </row>
    <row r="15" spans="1:29" ht="67.5">
      <c r="A15" s="105" t="s">
        <v>64</v>
      </c>
      <c r="B15" s="19" t="s">
        <v>152</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5"/>
      <c r="M15" s="2160"/>
      <c r="N15" s="2160"/>
      <c r="O15" s="2197"/>
      <c r="P15" s="3476" t="s">
        <v>64</v>
      </c>
      <c r="Q15" s="1145" t="str">
        <f t="shared" si="6"/>
        <v>产业集聚程度</v>
      </c>
      <c r="R15" s="1146" t="s">
        <v>60</v>
      </c>
      <c r="S15" s="1147">
        <f t="shared" si="0"/>
        <v>100</v>
      </c>
      <c r="T15" s="1146" t="s">
        <v>60</v>
      </c>
      <c r="U15" s="1147">
        <f t="shared" si="1"/>
        <v>100</v>
      </c>
      <c r="V15" s="1146" t="s">
        <v>60</v>
      </c>
      <c r="W15" s="1147">
        <f t="shared" si="2"/>
        <v>100</v>
      </c>
      <c r="X15" s="1133"/>
      <c r="Y15" s="3476" t="s">
        <v>64</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5"/>
      <c r="M16" s="2160"/>
      <c r="N16" s="2160"/>
      <c r="O16" s="2197"/>
      <c r="P16" s="3477"/>
      <c r="Q16" s="1145"/>
      <c r="R16" s="1146"/>
      <c r="S16" s="1147"/>
      <c r="T16" s="1146"/>
      <c r="U16" s="1147"/>
      <c r="V16" s="1146"/>
      <c r="W16" s="1147"/>
      <c r="X16" s="1133"/>
      <c r="Y16" s="3477"/>
      <c r="Z16" s="1148"/>
      <c r="AA16" s="1149">
        <v>1</v>
      </c>
      <c r="AB16" s="1149">
        <v>1</v>
      </c>
      <c r="AC16" s="1149">
        <v>1</v>
      </c>
    </row>
    <row r="17" spans="1:29" ht="94.5">
      <c r="A17" s="98"/>
      <c r="B17" s="1150" t="s">
        <v>66</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5"/>
      <c r="M17" s="2160"/>
      <c r="N17" s="2160"/>
      <c r="O17" s="2197"/>
      <c r="P17" s="3477"/>
      <c r="Q17" s="1145" t="str">
        <f>B17</f>
        <v>交通便捷度</v>
      </c>
      <c r="R17" s="1146" t="s">
        <v>60</v>
      </c>
      <c r="S17" s="1147">
        <f>F17</f>
        <v>100</v>
      </c>
      <c r="T17" s="1146" t="s">
        <v>60</v>
      </c>
      <c r="U17" s="1147">
        <f>H17</f>
        <v>100</v>
      </c>
      <c r="V17" s="1146" t="s">
        <v>60</v>
      </c>
      <c r="W17" s="1147">
        <f>J17</f>
        <v>100</v>
      </c>
      <c r="X17" s="1133"/>
      <c r="Y17" s="3477"/>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5"/>
      <c r="M18" s="2160"/>
      <c r="N18" s="2160"/>
      <c r="O18" s="2197"/>
      <c r="P18" s="3477"/>
      <c r="Q18" s="1145"/>
      <c r="R18" s="1146"/>
      <c r="S18" s="1147"/>
      <c r="T18" s="1146"/>
      <c r="U18" s="1147"/>
      <c r="V18" s="1146"/>
      <c r="W18" s="1147"/>
      <c r="X18" s="1133"/>
      <c r="Y18" s="3477"/>
      <c r="Z18" s="1148"/>
      <c r="AA18" s="1149">
        <v>1</v>
      </c>
      <c r="AB18" s="1149">
        <v>1</v>
      </c>
      <c r="AC18" s="1149">
        <v>1</v>
      </c>
    </row>
    <row r="19" spans="1:29" ht="40.5">
      <c r="A19" s="98"/>
      <c r="B19" s="892" t="s">
        <v>2543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5"/>
      <c r="M19" s="2160"/>
      <c r="N19" s="2160"/>
      <c r="O19" s="2197"/>
      <c r="P19" s="3477"/>
      <c r="Q19" s="1145" t="str">
        <f>B19</f>
        <v>公共配套设施</v>
      </c>
      <c r="R19" s="1146" t="s">
        <v>60</v>
      </c>
      <c r="S19" s="1147">
        <f>F19</f>
        <v>100</v>
      </c>
      <c r="T19" s="1146" t="s">
        <v>60</v>
      </c>
      <c r="U19" s="1147">
        <f>H19</f>
        <v>100</v>
      </c>
      <c r="V19" s="1146" t="s">
        <v>60</v>
      </c>
      <c r="W19" s="1147">
        <f>J19</f>
        <v>100</v>
      </c>
      <c r="X19" s="1133"/>
      <c r="Y19" s="3477"/>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5"/>
      <c r="M20" s="2160"/>
      <c r="N20" s="2160"/>
      <c r="O20" s="2197"/>
      <c r="P20" s="3477"/>
      <c r="Q20" s="1145"/>
      <c r="R20" s="1146"/>
      <c r="S20" s="1147"/>
      <c r="T20" s="1146"/>
      <c r="U20" s="1147"/>
      <c r="V20" s="1146"/>
      <c r="W20" s="1147"/>
      <c r="X20" s="1133"/>
      <c r="Y20" s="3477"/>
      <c r="Z20" s="1148"/>
      <c r="AA20" s="1149">
        <v>1</v>
      </c>
      <c r="AB20" s="1149">
        <v>1</v>
      </c>
      <c r="AC20" s="1149">
        <v>1</v>
      </c>
    </row>
    <row r="21" spans="1:29" ht="40.5">
      <c r="A21" s="98"/>
      <c r="B21" s="894" t="s">
        <v>2544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5"/>
      <c r="M21" s="2160"/>
      <c r="N21" s="2160"/>
      <c r="O21" s="2197"/>
      <c r="P21" s="3477"/>
      <c r="Q21" s="2545" t="str">
        <f>B21</f>
        <v>基础设施水平</v>
      </c>
      <c r="R21" s="1146" t="s">
        <v>60</v>
      </c>
      <c r="S21" s="1147">
        <f>F21</f>
        <v>100</v>
      </c>
      <c r="T21" s="1146" t="s">
        <v>60</v>
      </c>
      <c r="U21" s="1147">
        <f>H21</f>
        <v>100</v>
      </c>
      <c r="V21" s="1146" t="s">
        <v>60</v>
      </c>
      <c r="W21" s="1147">
        <f>J21</f>
        <v>100</v>
      </c>
      <c r="X21" s="2543"/>
      <c r="Y21" s="3477"/>
      <c r="Z21" s="254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6"/>
      <c r="L22" s="2165"/>
      <c r="M22" s="2160"/>
      <c r="N22" s="2160"/>
      <c r="O22" s="2197"/>
      <c r="P22" s="3477"/>
      <c r="Q22" s="2545"/>
      <c r="R22" s="1146"/>
      <c r="S22" s="1147"/>
      <c r="T22" s="1146"/>
      <c r="U22" s="1147"/>
      <c r="V22" s="1146"/>
      <c r="W22" s="1147"/>
      <c r="X22" s="2543"/>
      <c r="Y22" s="3477"/>
      <c r="Z22" s="2544"/>
      <c r="AA22" s="1149">
        <v>1</v>
      </c>
      <c r="AB22" s="1149">
        <v>1</v>
      </c>
      <c r="AC22" s="1149">
        <v>1</v>
      </c>
    </row>
    <row r="23" spans="1:29" ht="81">
      <c r="A23" s="98"/>
      <c r="B23" s="1150" t="s">
        <v>142</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5"/>
      <c r="M23" s="2160"/>
      <c r="N23" s="2160"/>
      <c r="O23" s="2197"/>
      <c r="P23" s="3477"/>
      <c r="Q23" s="1145" t="str">
        <f>B23</f>
        <v>环境质量</v>
      </c>
      <c r="R23" s="1146" t="s">
        <v>60</v>
      </c>
      <c r="S23" s="1147">
        <f>F23</f>
        <v>100</v>
      </c>
      <c r="T23" s="1146" t="s">
        <v>60</v>
      </c>
      <c r="U23" s="1147">
        <f>H23</f>
        <v>100</v>
      </c>
      <c r="V23" s="1146" t="s">
        <v>60</v>
      </c>
      <c r="W23" s="1147">
        <f>J23</f>
        <v>100</v>
      </c>
      <c r="X23" s="1133"/>
      <c r="Y23" s="3477"/>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5"/>
      <c r="M24" s="2160"/>
      <c r="N24" s="2160"/>
      <c r="O24" s="2197"/>
      <c r="P24" s="3477"/>
      <c r="Q24" s="1145"/>
      <c r="R24" s="1146"/>
      <c r="S24" s="1147"/>
      <c r="T24" s="1146"/>
      <c r="U24" s="1147"/>
      <c r="V24" s="1146"/>
      <c r="W24" s="1147"/>
      <c r="X24" s="1133"/>
      <c r="Y24" s="3477"/>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5"/>
      <c r="M25" s="2160"/>
      <c r="N25" s="2160"/>
      <c r="O25" s="2197"/>
      <c r="P25" s="3477"/>
      <c r="Q25" s="1145">
        <f>B25</f>
        <v>111</v>
      </c>
      <c r="R25" s="1146" t="s">
        <v>60</v>
      </c>
      <c r="S25" s="1147">
        <f>F25</f>
        <v>100</v>
      </c>
      <c r="T25" s="1146" t="s">
        <v>60</v>
      </c>
      <c r="U25" s="1147">
        <f>H25</f>
        <v>100</v>
      </c>
      <c r="V25" s="1146" t="s">
        <v>60</v>
      </c>
      <c r="W25" s="1147">
        <f>J25</f>
        <v>100</v>
      </c>
      <c r="X25" s="1133"/>
      <c r="Y25" s="3477"/>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5"/>
      <c r="M26" s="2160"/>
      <c r="N26" s="2160"/>
      <c r="O26" s="2197"/>
      <c r="P26" s="3477"/>
      <c r="Q26" s="1145">
        <f t="shared" ref="Q26:Q40" si="11">B26</f>
        <v>111</v>
      </c>
      <c r="R26" s="1146" t="s">
        <v>60</v>
      </c>
      <c r="S26" s="1147">
        <f>F26</f>
        <v>100</v>
      </c>
      <c r="T26" s="1146" t="s">
        <v>60</v>
      </c>
      <c r="U26" s="1147">
        <f>H26</f>
        <v>100</v>
      </c>
      <c r="V26" s="1146" t="s">
        <v>60</v>
      </c>
      <c r="W26" s="1147">
        <f>J26</f>
        <v>100</v>
      </c>
      <c r="X26" s="1133"/>
      <c r="Y26" s="3477"/>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1"/>
      <c r="M27" s="2103"/>
      <c r="N27" s="2103"/>
      <c r="O27" s="2195"/>
      <c r="P27" s="3477"/>
      <c r="Q27" s="2">
        <f t="shared" si="11"/>
        <v>111</v>
      </c>
      <c r="R27" s="1135" t="s">
        <v>60</v>
      </c>
      <c r="S27" s="1136">
        <f>F27</f>
        <v>100</v>
      </c>
      <c r="T27" s="1135" t="s">
        <v>60</v>
      </c>
      <c r="U27" s="1136">
        <f>H27</f>
        <v>100</v>
      </c>
      <c r="V27" s="1135" t="s">
        <v>60</v>
      </c>
      <c r="W27" s="1136">
        <f>J27</f>
        <v>100</v>
      </c>
      <c r="X27" s="184"/>
      <c r="Y27" s="3477"/>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5"/>
      <c r="M28" s="2160"/>
      <c r="N28" s="2160"/>
      <c r="O28" s="2197"/>
      <c r="P28" s="3477"/>
      <c r="Q28" s="1145">
        <f t="shared" si="11"/>
        <v>111</v>
      </c>
      <c r="R28" s="1146" t="s">
        <v>60</v>
      </c>
      <c r="S28" s="1147">
        <f t="shared" ref="S28:S40" si="12">F28</f>
        <v>100</v>
      </c>
      <c r="T28" s="1146" t="s">
        <v>60</v>
      </c>
      <c r="U28" s="1147">
        <f t="shared" ref="U28:U40" si="13">H28</f>
        <v>100</v>
      </c>
      <c r="V28" s="1146" t="s">
        <v>60</v>
      </c>
      <c r="W28" s="1147">
        <f t="shared" ref="W28:W40" si="14">J28</f>
        <v>100</v>
      </c>
      <c r="X28" s="1133"/>
      <c r="Y28" s="3477"/>
      <c r="Z28" s="1148">
        <f t="shared" ref="Z28:Z40" si="15">Q28</f>
        <v>111</v>
      </c>
      <c r="AA28" s="1149">
        <f t="shared" si="3"/>
        <v>1</v>
      </c>
      <c r="AB28" s="1149">
        <f t="shared" si="4"/>
        <v>1</v>
      </c>
      <c r="AC28" s="1149">
        <f t="shared" si="5"/>
        <v>1</v>
      </c>
    </row>
    <row r="29" spans="1:29" ht="15">
      <c r="A29" s="110" t="s">
        <v>65</v>
      </c>
      <c r="B29" s="20" t="s">
        <v>145</v>
      </c>
      <c r="C29" s="149" t="s">
        <v>151</v>
      </c>
      <c r="D29" s="666">
        <v>100</v>
      </c>
      <c r="E29" s="149"/>
      <c r="F29" s="660">
        <f>SUMIF(88:88,E29,89:89)-SUMIF(88:88,C29,89:89)+100</f>
        <v>100</v>
      </c>
      <c r="G29" s="149"/>
      <c r="H29" s="633">
        <f>SUMIF(88:88,G29,89:89)-SUMIF(88:88,C29,89:89)+100</f>
        <v>100</v>
      </c>
      <c r="I29" s="149"/>
      <c r="J29" s="666">
        <f>SUMIF(88:88,I29,89:89)-SUMIF(88:88,C29,89:89)+100</f>
        <v>100</v>
      </c>
      <c r="K29" s="814"/>
      <c r="L29" s="2165"/>
      <c r="M29" s="2160"/>
      <c r="N29" s="2160"/>
      <c r="O29" s="2197"/>
      <c r="P29" s="3583" t="s">
        <v>1030</v>
      </c>
      <c r="Q29" s="1145" t="str">
        <f t="shared" si="11"/>
        <v>建筑类型</v>
      </c>
      <c r="R29" s="1146" t="s">
        <v>60</v>
      </c>
      <c r="S29" s="1147">
        <f t="shared" si="12"/>
        <v>100</v>
      </c>
      <c r="T29" s="1146" t="s">
        <v>60</v>
      </c>
      <c r="U29" s="1147">
        <f t="shared" si="13"/>
        <v>100</v>
      </c>
      <c r="V29" s="1146" t="s">
        <v>60</v>
      </c>
      <c r="W29" s="1147">
        <f t="shared" si="14"/>
        <v>100</v>
      </c>
      <c r="X29" s="1133"/>
      <c r="Y29" s="3481" t="s">
        <v>1030</v>
      </c>
      <c r="Z29" s="1148" t="str">
        <f t="shared" si="15"/>
        <v>建筑类型</v>
      </c>
      <c r="AA29" s="1149">
        <f t="shared" si="3"/>
        <v>1</v>
      </c>
      <c r="AB29" s="1149">
        <f t="shared" si="4"/>
        <v>1</v>
      </c>
      <c r="AC29" s="1149">
        <f t="shared" si="5"/>
        <v>1</v>
      </c>
    </row>
    <row r="30" spans="1:29" s="898" customFormat="1" ht="14.25">
      <c r="A30" s="902"/>
      <c r="B30" s="4" t="s">
        <v>70</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4"/>
      <c r="M30" s="2166"/>
      <c r="N30" s="2166"/>
      <c r="O30" s="2198"/>
      <c r="P30" s="3481"/>
      <c r="Q30" s="1153" t="str">
        <f t="shared" si="11"/>
        <v>项目建筑规模</v>
      </c>
      <c r="R30" s="1154" t="s">
        <v>60</v>
      </c>
      <c r="S30" s="1155" t="e">
        <f t="shared" si="12"/>
        <v>#N/A</v>
      </c>
      <c r="T30" s="1154" t="s">
        <v>60</v>
      </c>
      <c r="U30" s="1155" t="e">
        <f t="shared" si="13"/>
        <v>#N/A</v>
      </c>
      <c r="V30" s="1154" t="s">
        <v>60</v>
      </c>
      <c r="W30" s="1155" t="e">
        <f t="shared" si="14"/>
        <v>#N/A</v>
      </c>
      <c r="X30" s="1156"/>
      <c r="Y30" s="3481"/>
      <c r="Z30" s="1157" t="str">
        <f t="shared" si="15"/>
        <v>项目建筑规模</v>
      </c>
      <c r="AA30" s="1149" t="e">
        <f t="shared" si="3"/>
        <v>#N/A</v>
      </c>
      <c r="AB30" s="1149" t="e">
        <f t="shared" si="4"/>
        <v>#N/A</v>
      </c>
      <c r="AC30" s="1149" t="e">
        <f t="shared" si="5"/>
        <v>#N/A</v>
      </c>
    </row>
    <row r="31" spans="1:29" ht="15">
      <c r="A31" s="111"/>
      <c r="B31" s="4" t="s">
        <v>71</v>
      </c>
      <c r="C31" s="54" t="s">
        <v>112</v>
      </c>
      <c r="D31" s="633">
        <v>100</v>
      </c>
      <c r="E31" s="54"/>
      <c r="F31" s="660">
        <f>SUMIF(93:93,E31,94:94)-SUMIF(93:93,C31,94:94)+100</f>
        <v>100</v>
      </c>
      <c r="G31" s="54"/>
      <c r="H31" s="633">
        <f>SUMIF(93:93,G31,94:94)-SUMIF(93:93,C31,94:94)+100</f>
        <v>100</v>
      </c>
      <c r="I31" s="54"/>
      <c r="J31" s="633">
        <f>SUMIF(93:93,I31,94:94)-SUMIF(93:93,C31,94:94)+100</f>
        <v>100</v>
      </c>
      <c r="K31" s="814"/>
      <c r="L31" s="2165"/>
      <c r="M31" s="2160"/>
      <c r="N31" s="2160"/>
      <c r="O31" s="2197"/>
      <c r="P31" s="3481"/>
      <c r="Q31" s="1145" t="str">
        <f t="shared" si="11"/>
        <v>建筑结构</v>
      </c>
      <c r="R31" s="1146" t="s">
        <v>60</v>
      </c>
      <c r="S31" s="1147">
        <f t="shared" si="12"/>
        <v>100</v>
      </c>
      <c r="T31" s="1146" t="s">
        <v>60</v>
      </c>
      <c r="U31" s="1147">
        <f t="shared" si="13"/>
        <v>100</v>
      </c>
      <c r="V31" s="1146" t="s">
        <v>60</v>
      </c>
      <c r="W31" s="1147">
        <f t="shared" si="14"/>
        <v>100</v>
      </c>
      <c r="X31" s="1133"/>
      <c r="Y31" s="3481"/>
      <c r="Z31" s="1148" t="str">
        <f t="shared" si="15"/>
        <v>建筑结构</v>
      </c>
      <c r="AA31" s="1149">
        <f t="shared" si="3"/>
        <v>1</v>
      </c>
      <c r="AB31" s="1149">
        <f t="shared" si="4"/>
        <v>1</v>
      </c>
      <c r="AC31" s="1149">
        <f t="shared" si="5"/>
        <v>1</v>
      </c>
    </row>
    <row r="32" spans="1:29" ht="15">
      <c r="A32" s="111"/>
      <c r="B32" s="4" t="s">
        <v>934</v>
      </c>
      <c r="C32" s="54" t="s">
        <v>106</v>
      </c>
      <c r="D32" s="633">
        <v>100</v>
      </c>
      <c r="E32" s="54"/>
      <c r="F32" s="660">
        <f>SUMIF(95:95,E32,96:96)-SUMIF(95:95,C32,96:96)+100</f>
        <v>100</v>
      </c>
      <c r="G32" s="54"/>
      <c r="H32" s="633">
        <f>SUMIF(95:95,G32,96:96)-SUMIF(95:95,C32,96:96)+100</f>
        <v>100</v>
      </c>
      <c r="I32" s="54"/>
      <c r="J32" s="633">
        <f>SUMIF(95:95,I32,96:96)-SUMIF(95:95,C32,96:96)+100</f>
        <v>100</v>
      </c>
      <c r="K32" s="814"/>
      <c r="L32" s="2165"/>
      <c r="M32" s="2160"/>
      <c r="N32" s="2160"/>
      <c r="O32" s="2197"/>
      <c r="P32" s="3481"/>
      <c r="Q32" s="1145" t="str">
        <f t="shared" si="11"/>
        <v>公共部分装修</v>
      </c>
      <c r="R32" s="1146" t="s">
        <v>60</v>
      </c>
      <c r="S32" s="1147">
        <f t="shared" si="12"/>
        <v>100</v>
      </c>
      <c r="T32" s="1146" t="s">
        <v>60</v>
      </c>
      <c r="U32" s="1147">
        <f t="shared" si="13"/>
        <v>100</v>
      </c>
      <c r="V32" s="1146" t="s">
        <v>60</v>
      </c>
      <c r="W32" s="1147">
        <f t="shared" si="14"/>
        <v>100</v>
      </c>
      <c r="X32" s="1133"/>
      <c r="Y32" s="3481"/>
      <c r="Z32" s="1148" t="str">
        <f t="shared" si="15"/>
        <v>公共部分装修</v>
      </c>
      <c r="AA32" s="1149">
        <f t="shared" si="3"/>
        <v>1</v>
      </c>
      <c r="AB32" s="1149">
        <f t="shared" si="4"/>
        <v>1</v>
      </c>
      <c r="AC32" s="1149">
        <f t="shared" si="5"/>
        <v>1</v>
      </c>
    </row>
    <row r="33" spans="1:29" ht="15">
      <c r="A33" s="111"/>
      <c r="B33" s="4" t="s">
        <v>935</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5"/>
      <c r="M33" s="2160"/>
      <c r="N33" s="2160"/>
      <c r="O33" s="2197"/>
      <c r="P33" s="3481"/>
      <c r="Q33" s="1145" t="str">
        <f t="shared" si="11"/>
        <v>成新度</v>
      </c>
      <c r="R33" s="1146" t="s">
        <v>60</v>
      </c>
      <c r="S33" s="1147" t="e">
        <f t="shared" si="12"/>
        <v>#N/A</v>
      </c>
      <c r="T33" s="1146" t="s">
        <v>60</v>
      </c>
      <c r="U33" s="1147" t="e">
        <f t="shared" si="13"/>
        <v>#N/A</v>
      </c>
      <c r="V33" s="1146" t="s">
        <v>60</v>
      </c>
      <c r="W33" s="1147" t="e">
        <f t="shared" si="14"/>
        <v>#N/A</v>
      </c>
      <c r="X33" s="1133"/>
      <c r="Y33" s="3481"/>
      <c r="Z33" s="1148" t="str">
        <f t="shared" si="15"/>
        <v>成新度</v>
      </c>
      <c r="AA33" s="1149" t="e">
        <f t="shared" si="3"/>
        <v>#N/A</v>
      </c>
      <c r="AB33" s="1149" t="e">
        <f t="shared" si="4"/>
        <v>#N/A</v>
      </c>
      <c r="AC33" s="1149" t="e">
        <f t="shared" si="5"/>
        <v>#N/A</v>
      </c>
    </row>
    <row r="34" spans="1:29" s="11" customFormat="1" ht="15">
      <c r="A34" s="900"/>
      <c r="B34" s="4" t="s">
        <v>1031</v>
      </c>
      <c r="C34" s="54" t="s">
        <v>107</v>
      </c>
      <c r="D34" s="235">
        <v>100</v>
      </c>
      <c r="E34" s="54"/>
      <c r="F34" s="660">
        <f>SUMIF(100:100,E34,101:101)-SUMIF(100:100,C34,101:101)+100</f>
        <v>100</v>
      </c>
      <c r="G34" s="54"/>
      <c r="H34" s="633">
        <f>SUMIF(100:100,G34,101:101)-SUMIF(100:100,C34,101:101)+100</f>
        <v>100</v>
      </c>
      <c r="I34" s="54"/>
      <c r="J34" s="633">
        <f>SUMIF(100:100,I34,101:101)-SUMIF(100:100,C34,101:101)+100</f>
        <v>100</v>
      </c>
      <c r="K34" s="814"/>
      <c r="L34" s="2161"/>
      <c r="M34" s="2103"/>
      <c r="N34" s="2103"/>
      <c r="O34" s="2195"/>
      <c r="P34" s="3481"/>
      <c r="Q34" s="2" t="str">
        <f t="shared" si="11"/>
        <v>物业管理</v>
      </c>
      <c r="R34" s="1135" t="s">
        <v>60</v>
      </c>
      <c r="S34" s="1136">
        <f t="shared" si="12"/>
        <v>100</v>
      </c>
      <c r="T34" s="1135" t="s">
        <v>60</v>
      </c>
      <c r="U34" s="1136">
        <f t="shared" si="13"/>
        <v>100</v>
      </c>
      <c r="V34" s="1135" t="s">
        <v>60</v>
      </c>
      <c r="W34" s="1136">
        <f t="shared" si="14"/>
        <v>100</v>
      </c>
      <c r="X34" s="184"/>
      <c r="Y34" s="3481"/>
      <c r="Z34" s="185" t="str">
        <f t="shared" si="15"/>
        <v>物业管理</v>
      </c>
      <c r="AA34" s="1137">
        <f t="shared" si="3"/>
        <v>1</v>
      </c>
      <c r="AB34" s="1137">
        <f t="shared" si="4"/>
        <v>1</v>
      </c>
      <c r="AC34" s="1137">
        <f t="shared" si="5"/>
        <v>1</v>
      </c>
    </row>
    <row r="35" spans="1:29" ht="15">
      <c r="A35" s="111"/>
      <c r="B35" s="4" t="s">
        <v>2541</v>
      </c>
      <c r="C35" s="54" t="s">
        <v>114</v>
      </c>
      <c r="D35" s="633">
        <v>100</v>
      </c>
      <c r="E35" s="54"/>
      <c r="F35" s="660">
        <f>SUMIF(102:102,E35,103:103)-SUMIF(102:102,C35,103:103)+100</f>
        <v>100</v>
      </c>
      <c r="G35" s="54"/>
      <c r="H35" s="633">
        <f>SUMIF(102:102,G35,103:103)-SUMIF(102:102,C35,103:103)+100</f>
        <v>100</v>
      </c>
      <c r="I35" s="54"/>
      <c r="J35" s="633">
        <f>SUMIF(102:102,I35,103:103)-SUMIF(102:102,C35,103:103)+100</f>
        <v>100</v>
      </c>
      <c r="K35" s="814"/>
      <c r="L35" s="2165"/>
      <c r="M35" s="2160"/>
      <c r="N35" s="2160"/>
      <c r="O35" s="2197"/>
      <c r="P35" s="3481" t="s">
        <v>65</v>
      </c>
      <c r="Q35" s="1145" t="str">
        <f t="shared" si="11"/>
        <v>市政基础设施</v>
      </c>
      <c r="R35" s="1146" t="s">
        <v>60</v>
      </c>
      <c r="S35" s="1147">
        <f t="shared" si="12"/>
        <v>100</v>
      </c>
      <c r="T35" s="1146" t="s">
        <v>60</v>
      </c>
      <c r="U35" s="1147">
        <f t="shared" si="13"/>
        <v>100</v>
      </c>
      <c r="V35" s="1146" t="s">
        <v>60</v>
      </c>
      <c r="W35" s="1147">
        <f t="shared" si="14"/>
        <v>100</v>
      </c>
      <c r="X35" s="1133"/>
      <c r="Y35" s="3481" t="s">
        <v>65</v>
      </c>
      <c r="Z35" s="1148" t="str">
        <f t="shared" si="15"/>
        <v>市政基础设施</v>
      </c>
      <c r="AA35" s="1149">
        <f t="shared" si="3"/>
        <v>1</v>
      </c>
      <c r="AB35" s="1149">
        <f t="shared" si="4"/>
        <v>1</v>
      </c>
      <c r="AC35" s="1149">
        <f t="shared" si="5"/>
        <v>1</v>
      </c>
    </row>
    <row r="36" spans="1:29" ht="15">
      <c r="A36" s="111"/>
      <c r="B36" s="4" t="s">
        <v>137</v>
      </c>
      <c r="C36" s="54" t="s">
        <v>106</v>
      </c>
      <c r="D36" s="633">
        <v>100</v>
      </c>
      <c r="E36" s="54"/>
      <c r="F36" s="660">
        <f>SUMIF(104:104,E36,105:105)-SUMIF(104:104,C36,105:105)+100</f>
        <v>100</v>
      </c>
      <c r="G36" s="54"/>
      <c r="H36" s="633">
        <f>SUMIF(104:104,G36,105:105)-SUMIF(104:104,C36,105:105)+100</f>
        <v>100</v>
      </c>
      <c r="I36" s="54"/>
      <c r="J36" s="633">
        <f>SUMIF(104:104,I36,105:105)-SUMIF(104:104,C36,105:105)+100</f>
        <v>100</v>
      </c>
      <c r="K36" s="814"/>
      <c r="L36" s="2165"/>
      <c r="M36" s="2160"/>
      <c r="N36" s="2160"/>
      <c r="O36" s="2197"/>
      <c r="P36" s="3481"/>
      <c r="Q36" s="1145" t="str">
        <f t="shared" si="11"/>
        <v>内部装修</v>
      </c>
      <c r="R36" s="1146" t="s">
        <v>60</v>
      </c>
      <c r="S36" s="1147">
        <f t="shared" si="12"/>
        <v>100</v>
      </c>
      <c r="T36" s="1146" t="s">
        <v>60</v>
      </c>
      <c r="U36" s="1147">
        <f t="shared" si="13"/>
        <v>100</v>
      </c>
      <c r="V36" s="1146" t="s">
        <v>60</v>
      </c>
      <c r="W36" s="1147">
        <f t="shared" si="14"/>
        <v>100</v>
      </c>
      <c r="X36" s="1133"/>
      <c r="Y36" s="3481"/>
      <c r="Z36" s="1148" t="str">
        <f t="shared" si="15"/>
        <v>内部装修</v>
      </c>
      <c r="AA36" s="1149">
        <f t="shared" si="3"/>
        <v>1</v>
      </c>
      <c r="AB36" s="1149">
        <f t="shared" si="4"/>
        <v>1</v>
      </c>
      <c r="AC36" s="1149">
        <f t="shared" si="5"/>
        <v>1</v>
      </c>
    </row>
    <row r="37" spans="1:29" ht="15">
      <c r="A37" s="111"/>
      <c r="B37" s="4" t="s">
        <v>1032</v>
      </c>
      <c r="C37" s="134" t="s">
        <v>100</v>
      </c>
      <c r="D37" s="633">
        <v>100</v>
      </c>
      <c r="E37" s="134"/>
      <c r="F37" s="660">
        <f>SUMIF(106:106,E37,107:107)-SUMIF(106:106,C37,107:107)+100</f>
        <v>0</v>
      </c>
      <c r="G37" s="134"/>
      <c r="H37" s="633">
        <f>SUMIF(106:106,G37,107:107)-SUMIF(106:106,C37,107:107)+100</f>
        <v>0</v>
      </c>
      <c r="I37" s="134"/>
      <c r="J37" s="633">
        <f>SUMIF(106:106,I37,107:107)-SUMIF(106:106,C37,107:107)+100</f>
        <v>0</v>
      </c>
      <c r="K37" s="814"/>
      <c r="L37" s="2165"/>
      <c r="M37" s="2160"/>
      <c r="N37" s="2160"/>
      <c r="O37" s="2197"/>
      <c r="P37" s="3481"/>
      <c r="Q37" s="1145" t="str">
        <f t="shared" si="11"/>
        <v>内部装修状况</v>
      </c>
      <c r="R37" s="1146" t="s">
        <v>60</v>
      </c>
      <c r="S37" s="1147">
        <f t="shared" si="12"/>
        <v>0</v>
      </c>
      <c r="T37" s="1146" t="s">
        <v>60</v>
      </c>
      <c r="U37" s="1147">
        <f t="shared" si="13"/>
        <v>0</v>
      </c>
      <c r="V37" s="1146" t="s">
        <v>60</v>
      </c>
      <c r="W37" s="1147">
        <f t="shared" si="14"/>
        <v>0</v>
      </c>
      <c r="X37" s="1133"/>
      <c r="Y37" s="3481"/>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4"/>
      <c r="M38" s="2166"/>
      <c r="N38" s="2166"/>
      <c r="O38" s="2198"/>
      <c r="P38" s="3481"/>
      <c r="Q38" s="1153">
        <f t="shared" si="11"/>
        <v>111</v>
      </c>
      <c r="R38" s="1154" t="s">
        <v>60</v>
      </c>
      <c r="S38" s="1155">
        <f t="shared" si="12"/>
        <v>100</v>
      </c>
      <c r="T38" s="1154" t="s">
        <v>60</v>
      </c>
      <c r="U38" s="1155">
        <f t="shared" si="13"/>
        <v>100</v>
      </c>
      <c r="V38" s="1154" t="s">
        <v>60</v>
      </c>
      <c r="W38" s="1155">
        <f t="shared" si="14"/>
        <v>100</v>
      </c>
      <c r="X38" s="1156"/>
      <c r="Y38" s="3481"/>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5"/>
      <c r="M39" s="2160"/>
      <c r="N39" s="2160"/>
      <c r="O39" s="2197"/>
      <c r="P39" s="3481"/>
      <c r="Q39" s="1145">
        <f t="shared" si="11"/>
        <v>111</v>
      </c>
      <c r="R39" s="1146" t="s">
        <v>60</v>
      </c>
      <c r="S39" s="1147">
        <f t="shared" si="12"/>
        <v>100</v>
      </c>
      <c r="T39" s="1146" t="s">
        <v>60</v>
      </c>
      <c r="U39" s="1147">
        <f t="shared" si="13"/>
        <v>100</v>
      </c>
      <c r="V39" s="1146" t="s">
        <v>60</v>
      </c>
      <c r="W39" s="1147">
        <f t="shared" si="14"/>
        <v>100</v>
      </c>
      <c r="X39" s="1133"/>
      <c r="Y39" s="3481"/>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5"/>
      <c r="M40" s="2160"/>
      <c r="N40" s="2160"/>
      <c r="O40" s="2197"/>
      <c r="P40" s="3482"/>
      <c r="Q40" s="1145">
        <f t="shared" si="11"/>
        <v>111</v>
      </c>
      <c r="R40" s="1146" t="s">
        <v>60</v>
      </c>
      <c r="S40" s="1147">
        <f t="shared" si="12"/>
        <v>100</v>
      </c>
      <c r="T40" s="1146" t="s">
        <v>60</v>
      </c>
      <c r="U40" s="1147">
        <f t="shared" si="13"/>
        <v>100</v>
      </c>
      <c r="V40" s="1146" t="s">
        <v>60</v>
      </c>
      <c r="W40" s="1147">
        <f t="shared" si="14"/>
        <v>100</v>
      </c>
      <c r="X40" s="1133"/>
      <c r="Y40" s="3482"/>
      <c r="Z40" s="1148">
        <f t="shared" si="15"/>
        <v>111</v>
      </c>
      <c r="AA40" s="1149">
        <f t="shared" si="3"/>
        <v>1</v>
      </c>
      <c r="AB40" s="1149">
        <f t="shared" si="4"/>
        <v>1</v>
      </c>
      <c r="AC40" s="1149">
        <f t="shared" si="5"/>
        <v>1</v>
      </c>
    </row>
    <row r="41" spans="1:29" ht="15">
      <c r="A41" s="113" t="s">
        <v>96</v>
      </c>
      <c r="B41" s="114"/>
      <c r="C41" s="2605" t="s">
        <v>20</v>
      </c>
      <c r="D41" s="2606"/>
      <c r="E41" s="2607"/>
      <c r="F41" s="2608"/>
      <c r="G41" s="2609"/>
      <c r="H41" s="2610"/>
      <c r="I41" s="2607"/>
      <c r="J41" s="2610"/>
      <c r="K41" s="1188"/>
      <c r="L41" s="2167"/>
      <c r="M41" s="2168"/>
      <c r="N41" s="2160"/>
      <c r="O41" s="2168"/>
      <c r="P41" s="3473" t="str">
        <f>A41</f>
        <v>成交单价（元/平方米）</v>
      </c>
      <c r="Q41" s="3473"/>
      <c r="R41" s="3469">
        <f>E41</f>
        <v>0</v>
      </c>
      <c r="S41" s="3469"/>
      <c r="T41" s="3469">
        <f>G41</f>
        <v>0</v>
      </c>
      <c r="U41" s="3469"/>
      <c r="V41" s="3469">
        <f>I41</f>
        <v>0</v>
      </c>
      <c r="W41" s="3469"/>
      <c r="X41" s="1159"/>
      <c r="Y41" s="1160"/>
      <c r="Z41" s="1159"/>
      <c r="AA41" s="1159"/>
      <c r="AB41" s="1159"/>
      <c r="AC41" s="1159"/>
    </row>
    <row r="42" spans="1:29" ht="15.75" thickBot="1">
      <c r="A42" s="115" t="s">
        <v>94</v>
      </c>
      <c r="B42" s="116"/>
      <c r="C42" s="2611" t="e">
        <f>R43</f>
        <v>#DIV/0!</v>
      </c>
      <c r="D42" s="2612"/>
      <c r="E42" s="2613" t="e">
        <f>R42</f>
        <v>#DIV/0!</v>
      </c>
      <c r="F42" s="2613"/>
      <c r="G42" s="2611" t="e">
        <f>T42</f>
        <v>#DIV/0!</v>
      </c>
      <c r="H42" s="2612"/>
      <c r="I42" s="2613" t="e">
        <f>V42</f>
        <v>#DIV/0!</v>
      </c>
      <c r="J42" s="2612"/>
      <c r="K42" s="1189"/>
      <c r="L42" s="2167"/>
      <c r="M42" s="2168"/>
      <c r="N42" s="2160"/>
      <c r="O42" s="2168"/>
      <c r="P42" s="3473" t="str">
        <f>A42</f>
        <v>比较价值（元/平方米）</v>
      </c>
      <c r="Q42" s="3473"/>
      <c r="R42" s="3469" t="e">
        <f>IF(E1="售价",ROUND(PRODUCT(R41,AA7:AA40),0),ROUND(PRODUCT(R41,AA7:AA40),1))</f>
        <v>#DIV/0!</v>
      </c>
      <c r="S42" s="3469"/>
      <c r="T42" s="3469" t="e">
        <f>IF(E1="售价",ROUND(PRODUCT(T41,AB7:AB40),0),ROUND(PRODUCT(T41,AB7:AB40),1))</f>
        <v>#DIV/0!</v>
      </c>
      <c r="U42" s="3469"/>
      <c r="V42" s="3469" t="e">
        <f>IF(E1="售价",ROUND(PRODUCT(V41,AC7:AC40),0),ROUND(PRODUCT(V41,AC7:AC40),1))</f>
        <v>#DIV/0!</v>
      </c>
      <c r="W42" s="3469"/>
      <c r="X42" s="1159"/>
      <c r="Y42" s="1159"/>
      <c r="Z42" s="1159"/>
      <c r="AA42" s="1159"/>
      <c r="AB42" s="1159"/>
      <c r="AC42" s="1159"/>
    </row>
    <row r="43" spans="1:29" ht="15.75" thickBot="1">
      <c r="A43" s="62" t="s">
        <v>2881</v>
      </c>
      <c r="B43" s="63"/>
      <c r="C43" s="2615" t="e">
        <f>R43</f>
        <v>#DIV/0!</v>
      </c>
      <c r="D43" s="2615"/>
      <c r="E43" s="2615"/>
      <c r="F43" s="2615"/>
      <c r="G43" s="2615"/>
      <c r="H43" s="2615"/>
      <c r="I43" s="2615"/>
      <c r="J43" s="2615"/>
      <c r="K43" s="1190"/>
      <c r="L43" s="2167"/>
      <c r="M43" s="2168"/>
      <c r="N43" s="2168"/>
      <c r="O43" s="2168"/>
      <c r="P43" s="3470" t="str">
        <f>A43</f>
        <v>估价对象XX用房的比较价值（楼面单价，元/平方米）</v>
      </c>
      <c r="Q43" s="3471"/>
      <c r="R43" s="3472" t="e">
        <f>IF(E1="售价",ROUND(AVERAGE(R42:V42),0),ROUND(AVERAGE(R42:V42),1))</f>
        <v>#DIV/0!</v>
      </c>
      <c r="S43" s="3472"/>
      <c r="T43" s="3472"/>
      <c r="U43" s="3472"/>
      <c r="V43" s="3472"/>
      <c r="W43" s="3472"/>
      <c r="X43" s="1159"/>
      <c r="Y43" s="1159"/>
      <c r="Z43" s="1159"/>
      <c r="AA43" s="1159"/>
      <c r="AB43" s="1159"/>
      <c r="AC43" s="1159"/>
    </row>
    <row r="44" spans="1:29">
      <c r="A44" s="2168"/>
      <c r="B44" s="2168"/>
      <c r="C44" s="2168"/>
      <c r="D44" s="2168"/>
      <c r="E44" s="2168"/>
      <c r="F44" s="2168"/>
      <c r="G44" s="2172"/>
      <c r="H44" s="2168"/>
      <c r="I44" s="2168"/>
      <c r="J44" s="2168"/>
      <c r="K44" s="2173"/>
      <c r="L44" s="2169"/>
      <c r="M44" s="2168"/>
      <c r="N44" s="2168"/>
      <c r="O44" s="2168"/>
    </row>
    <row r="45" spans="1:29">
      <c r="A45" s="2168"/>
      <c r="B45" s="2168"/>
      <c r="C45" s="2168"/>
      <c r="D45" s="2168"/>
      <c r="E45" s="2168"/>
      <c r="F45" s="2168"/>
      <c r="G45" s="2168"/>
      <c r="H45" s="2168"/>
      <c r="I45" s="2168"/>
      <c r="J45" s="2168"/>
      <c r="K45" s="2173"/>
      <c r="L45" s="2169"/>
      <c r="M45" s="2168"/>
      <c r="N45" s="2168"/>
      <c r="O45" s="2168"/>
    </row>
    <row r="46" spans="1:29" ht="13.5" customHeight="1">
      <c r="A46" s="2168"/>
      <c r="B46" s="2168"/>
      <c r="C46" s="117" t="s">
        <v>908</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3"/>
      <c r="L46" s="2169"/>
      <c r="M46" s="2168"/>
      <c r="N46" s="2168"/>
      <c r="O46" s="2168"/>
    </row>
    <row r="47" spans="1:29" ht="13.5" customHeight="1">
      <c r="A47" s="2168"/>
      <c r="B47" s="2168"/>
      <c r="C47" s="117" t="s">
        <v>909</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3"/>
      <c r="L47" s="2169"/>
      <c r="M47" s="2168"/>
      <c r="N47" s="2168"/>
      <c r="O47" s="2168"/>
    </row>
    <row r="48" spans="1:29" s="66" customFormat="1" ht="13.5" customHeight="1">
      <c r="A48" s="2170"/>
      <c r="B48" s="2170"/>
      <c r="C48" s="117" t="s">
        <v>910</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4"/>
      <c r="L48" s="2175"/>
      <c r="M48" s="2170"/>
      <c r="N48" s="2170"/>
      <c r="O48" s="2170"/>
    </row>
    <row r="49" spans="1:17" s="66" customFormat="1">
      <c r="A49" s="2170"/>
      <c r="B49" s="2171"/>
      <c r="C49" s="2176"/>
      <c r="D49" s="2170"/>
      <c r="E49" s="2170"/>
      <c r="F49" s="2170"/>
      <c r="G49" s="2170"/>
      <c r="H49" s="2170"/>
      <c r="I49" s="2170"/>
      <c r="J49" s="2170"/>
      <c r="K49" s="2174"/>
      <c r="L49" s="2175"/>
      <c r="M49" s="2170"/>
      <c r="N49" s="2170"/>
      <c r="O49" s="2170"/>
    </row>
    <row r="50" spans="1:17">
      <c r="A50" s="2168"/>
      <c r="B50" s="2171"/>
      <c r="C50" s="2176"/>
      <c r="D50" s="2168"/>
      <c r="E50" s="2168"/>
      <c r="F50" s="2168"/>
      <c r="G50" s="2168"/>
      <c r="H50" s="2168"/>
      <c r="I50" s="2168"/>
      <c r="J50" s="2168"/>
      <c r="K50" s="2173"/>
      <c r="L50" s="2169"/>
      <c r="M50" s="2168"/>
      <c r="N50" s="2168"/>
      <c r="O50" s="2168"/>
    </row>
    <row r="51" spans="1:17" ht="21" thickBot="1">
      <c r="A51" s="1165" t="s">
        <v>128</v>
      </c>
      <c r="B51" s="1159"/>
      <c r="C51" s="1166"/>
      <c r="D51" s="1166"/>
      <c r="E51" s="1166"/>
      <c r="F51" s="1167"/>
      <c r="G51" s="1167"/>
      <c r="H51" s="1166"/>
      <c r="I51" s="1166"/>
      <c r="J51" s="1166"/>
      <c r="K51" s="1168"/>
      <c r="L51" s="1169"/>
      <c r="M51" s="1166"/>
      <c r="N51" s="1166"/>
      <c r="O51" s="1166"/>
      <c r="P51" s="67"/>
      <c r="Q51" s="68"/>
    </row>
    <row r="52" spans="1:17" s="707" customFormat="1" ht="15">
      <c r="A52" s="704" t="s">
        <v>2654</v>
      </c>
      <c r="B52" s="705"/>
      <c r="C52" s="2800" t="str">
        <f>YEAR(C7)&amp;"-"&amp;MONTH(C7)</f>
        <v>2017-6</v>
      </c>
      <c r="D52" s="2801">
        <f>EDATE(C52,-1)</f>
        <v>42856</v>
      </c>
      <c r="E52" s="2802">
        <f t="shared" ref="E52:O52" si="16">EDATE(D52,-1)</f>
        <v>42826</v>
      </c>
      <c r="F52" s="2802">
        <f t="shared" si="16"/>
        <v>42795</v>
      </c>
      <c r="G52" s="2802">
        <f t="shared" si="16"/>
        <v>42767</v>
      </c>
      <c r="H52" s="2802">
        <f t="shared" si="16"/>
        <v>42736</v>
      </c>
      <c r="I52" s="2802">
        <f t="shared" si="16"/>
        <v>42705</v>
      </c>
      <c r="J52" s="2802">
        <f t="shared" si="16"/>
        <v>42675</v>
      </c>
      <c r="K52" s="2802">
        <f t="shared" si="16"/>
        <v>42644</v>
      </c>
      <c r="L52" s="2802">
        <f t="shared" si="16"/>
        <v>42614</v>
      </c>
      <c r="M52" s="2802">
        <f t="shared" si="16"/>
        <v>42583</v>
      </c>
      <c r="N52" s="2802">
        <f t="shared" si="16"/>
        <v>42552</v>
      </c>
      <c r="O52" s="2802">
        <f t="shared" si="16"/>
        <v>42522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119</v>
      </c>
      <c r="B54" s="911"/>
      <c r="C54" s="716"/>
      <c r="D54" s="717"/>
      <c r="E54" s="717"/>
      <c r="F54" s="717"/>
      <c r="G54" s="717"/>
      <c r="H54" s="717"/>
      <c r="I54" s="717"/>
      <c r="J54" s="717"/>
      <c r="K54" s="717"/>
      <c r="L54" s="717"/>
      <c r="M54" s="718"/>
      <c r="N54" s="717"/>
      <c r="O54" s="719"/>
      <c r="P54" s="68"/>
      <c r="Q54" s="68"/>
    </row>
    <row r="55" spans="1:17" s="11" customFormat="1">
      <c r="A55" s="912" t="s">
        <v>61</v>
      </c>
      <c r="B55" s="909"/>
      <c r="C55" s="913" t="s">
        <v>117</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62</v>
      </c>
      <c r="B57" s="183" t="s">
        <v>63</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103</v>
      </c>
      <c r="C59" s="740" t="s">
        <v>914</v>
      </c>
      <c r="D59" s="740" t="s">
        <v>915</v>
      </c>
      <c r="E59" s="740" t="s">
        <v>916</v>
      </c>
      <c r="F59" s="740" t="s">
        <v>917</v>
      </c>
      <c r="G59" s="740" t="s">
        <v>918</v>
      </c>
      <c r="H59" s="740" t="s">
        <v>919</v>
      </c>
      <c r="I59" s="740" t="s">
        <v>920</v>
      </c>
      <c r="J59" s="740"/>
      <c r="K59" s="741"/>
      <c r="L59" s="742"/>
      <c r="M59" s="743"/>
      <c r="N59" s="1184"/>
      <c r="O59" s="1184"/>
      <c r="P59" s="1"/>
      <c r="Q59" s="68"/>
    </row>
    <row r="60" spans="1:17" ht="15" thickBot="1">
      <c r="A60" s="125"/>
      <c r="B60" s="918"/>
      <c r="C60" s="745" t="s">
        <v>138</v>
      </c>
      <c r="D60" s="745" t="s">
        <v>139</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87</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64</v>
      </c>
      <c r="B70" s="183" t="s">
        <v>160</v>
      </c>
      <c r="C70" s="775" t="s">
        <v>921</v>
      </c>
      <c r="D70" s="775" t="s">
        <v>922</v>
      </c>
      <c r="E70" s="775" t="s">
        <v>923</v>
      </c>
      <c r="F70" s="775" t="s">
        <v>924</v>
      </c>
      <c r="G70" s="775" t="s">
        <v>925</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86</v>
      </c>
      <c r="C72" s="780" t="s">
        <v>921</v>
      </c>
      <c r="D72" s="780" t="s">
        <v>922</v>
      </c>
      <c r="E72" s="780" t="s">
        <v>923</v>
      </c>
      <c r="F72" s="780" t="s">
        <v>924</v>
      </c>
      <c r="G72" s="780" t="s">
        <v>925</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2530</v>
      </c>
      <c r="C74" s="780" t="s">
        <v>921</v>
      </c>
      <c r="D74" s="780" t="s">
        <v>922</v>
      </c>
      <c r="E74" s="780" t="s">
        <v>923</v>
      </c>
      <c r="F74" s="780" t="s">
        <v>924</v>
      </c>
      <c r="G74" s="780" t="s">
        <v>925</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2545</v>
      </c>
      <c r="C76" s="129" t="s">
        <v>2534</v>
      </c>
      <c r="D76" s="129" t="s">
        <v>2535</v>
      </c>
      <c r="E76" s="129" t="s">
        <v>2536</v>
      </c>
      <c r="F76" s="129" t="s">
        <v>2537</v>
      </c>
      <c r="G76" s="129" t="s">
        <v>2538</v>
      </c>
      <c r="H76" s="740"/>
      <c r="I76" s="740"/>
      <c r="J76" s="740"/>
      <c r="K76" s="740"/>
      <c r="L76" s="740"/>
      <c r="M76" s="2555"/>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148</v>
      </c>
      <c r="C78" s="780" t="s">
        <v>921</v>
      </c>
      <c r="D78" s="780" t="s">
        <v>922</v>
      </c>
      <c r="E78" s="780" t="s">
        <v>923</v>
      </c>
      <c r="F78" s="780" t="s">
        <v>924</v>
      </c>
      <c r="G78" s="780" t="s">
        <v>925</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65</v>
      </c>
      <c r="B88" s="183" t="s">
        <v>123</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90</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89</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125</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110</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126</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127</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153</v>
      </c>
      <c r="C106" s="780" t="s">
        <v>921</v>
      </c>
      <c r="D106" s="780" t="s">
        <v>922</v>
      </c>
      <c r="E106" s="780" t="s">
        <v>923</v>
      </c>
      <c r="F106" s="780" t="s">
        <v>924</v>
      </c>
      <c r="G106" s="780" t="s">
        <v>925</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4" customFormat="1" ht="28.5" customHeight="1" thickBot="1">
      <c r="A1" s="2904" t="s">
        <v>400</v>
      </c>
      <c r="B1" s="2905"/>
      <c r="C1" s="2906"/>
      <c r="D1" s="2907"/>
      <c r="E1" s="2890"/>
      <c r="F1" s="2908" t="s">
        <v>455</v>
      </c>
      <c r="G1" s="2907"/>
      <c r="H1" s="2907"/>
      <c r="I1" s="2907"/>
      <c r="J1" s="2907"/>
      <c r="K1" s="2909"/>
      <c r="L1" s="2910"/>
      <c r="M1" s="2911"/>
      <c r="N1" s="2911"/>
      <c r="O1" s="2911"/>
      <c r="P1" s="2912"/>
      <c r="Q1" s="2912"/>
      <c r="R1" s="2912"/>
      <c r="S1" s="2912"/>
      <c r="T1" s="2912"/>
      <c r="U1" s="2912"/>
      <c r="V1" s="2912"/>
      <c r="W1" s="2912"/>
      <c r="X1" s="2912"/>
      <c r="Y1" s="2912"/>
      <c r="Z1" s="2912"/>
      <c r="AA1" s="2912"/>
      <c r="AB1" s="2912"/>
      <c r="AC1" s="2913"/>
    </row>
    <row r="2" spans="1:29" s="595" customFormat="1" ht="28.5" customHeight="1" thickTop="1">
      <c r="A2" s="2903" t="s">
        <v>456</v>
      </c>
      <c r="B2" s="2882" t="e">
        <f ca="1">IF(D2="——",IF(B37="元/平方米",IF(C2="元",ROUND(C39*D3,0),ROUND(C39*D3/10000,0)),IF(C2="元",ROUND(F3*C39,0),ROUND(F3*C39/10000,0))),IF(B37="元/平方米",IF(C2="元",ROUND(C39*D3,0),ROUND(C39*D3/10000,0)),IF(C2="元",ROUND(F3*C39,0),ROUND(F3*C39/10000,0)))-E2)</f>
        <v>#DIV/0!</v>
      </c>
      <c r="C2" s="32" t="str">
        <f>'数据-取费表'!B3</f>
        <v>万元</v>
      </c>
      <c r="D2" s="2883"/>
      <c r="E2" s="2127" t="e">
        <f ca="1">SUMIF(INDIRECT("'"&amp;G2&amp;"'"&amp;"!A:A"),"承租人权益价值",INDIRECT("'"&amp;G2&amp;"'"&amp;"!c:c"))</f>
        <v>#REF!</v>
      </c>
      <c r="F2" s="2884" t="str">
        <f>C2</f>
        <v>万元</v>
      </c>
      <c r="G2" s="2885"/>
      <c r="H2" s="1639"/>
      <c r="I2" s="1639"/>
      <c r="J2" s="1639"/>
      <c r="K2" s="1641"/>
      <c r="L2" s="2616"/>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457</v>
      </c>
      <c r="B3" s="811" t="e">
        <f>IF(AND(D2="——",B37="元/平方米"),C39,ROUND(F3*C39/D3,0))</f>
        <v>#DIV/0!</v>
      </c>
      <c r="C3" s="597" t="s">
        <v>458</v>
      </c>
      <c r="D3" s="596">
        <f>IF(C1="仅计算典型户型",'数据-取费表'!E5,'数据-取费表'!B5)</f>
        <v>88039.929999999338</v>
      </c>
      <c r="E3" s="1898" t="s">
        <v>2009</v>
      </c>
      <c r="F3" s="597">
        <f>'数据-取费表'!B41</f>
        <v>1</v>
      </c>
      <c r="G3" s="1639"/>
      <c r="H3" s="1639"/>
      <c r="I3" s="1639"/>
      <c r="J3" s="1639"/>
      <c r="K3" s="1641"/>
      <c r="L3" s="2616"/>
      <c r="M3" s="1107"/>
      <c r="N3" s="1107"/>
      <c r="O3" s="1107"/>
      <c r="P3" s="1107"/>
      <c r="Q3" s="1107"/>
      <c r="R3" s="1107"/>
      <c r="S3" s="1107"/>
      <c r="T3" s="1107"/>
      <c r="U3" s="1107"/>
      <c r="V3" s="1107"/>
      <c r="W3" s="1107"/>
      <c r="X3" s="1107"/>
      <c r="Y3" s="1107"/>
      <c r="Z3" s="1107"/>
      <c r="AA3" s="1107"/>
      <c r="AB3" s="1202"/>
      <c r="AC3" s="1191"/>
    </row>
    <row r="4" spans="1:29" ht="15">
      <c r="A4" s="598" t="s">
        <v>459</v>
      </c>
      <c r="B4" s="599"/>
      <c r="C4" s="3560" t="s">
        <v>460</v>
      </c>
      <c r="D4" s="3561"/>
      <c r="E4" s="3562" t="s">
        <v>461</v>
      </c>
      <c r="F4" s="3563"/>
      <c r="G4" s="3560" t="s">
        <v>462</v>
      </c>
      <c r="H4" s="3561"/>
      <c r="I4" s="3560" t="s">
        <v>463</v>
      </c>
      <c r="J4" s="3561"/>
      <c r="K4" s="812" t="s">
        <v>464</v>
      </c>
      <c r="L4" s="2617"/>
      <c r="M4" s="643"/>
      <c r="N4" s="643"/>
      <c r="O4" s="643"/>
      <c r="P4" s="3564" t="s">
        <v>465</v>
      </c>
      <c r="Q4" s="3565"/>
      <c r="R4" s="3548" t="s">
        <v>461</v>
      </c>
      <c r="S4" s="3549"/>
      <c r="T4" s="3548" t="s">
        <v>462</v>
      </c>
      <c r="U4" s="3549"/>
      <c r="V4" s="3545" t="s">
        <v>463</v>
      </c>
      <c r="W4" s="3545"/>
      <c r="X4" s="2596"/>
      <c r="Y4" s="3548" t="s">
        <v>465</v>
      </c>
      <c r="Z4" s="3549"/>
      <c r="AA4" s="3557" t="s">
        <v>461</v>
      </c>
      <c r="AB4" s="3558" t="s">
        <v>462</v>
      </c>
      <c r="AC4" s="3557" t="s">
        <v>463</v>
      </c>
    </row>
    <row r="5" spans="1:29" ht="15">
      <c r="A5" s="601"/>
      <c r="B5" s="602"/>
      <c r="C5" s="3588" t="s">
        <v>2882</v>
      </c>
      <c r="D5" s="3589"/>
      <c r="E5" s="3586" t="s">
        <v>2883</v>
      </c>
      <c r="F5" s="3587"/>
      <c r="G5" s="3588" t="s">
        <v>2884</v>
      </c>
      <c r="H5" s="3589"/>
      <c r="I5" s="3588" t="s">
        <v>2885</v>
      </c>
      <c r="J5" s="3589"/>
      <c r="K5" s="812"/>
      <c r="L5" s="2617"/>
      <c r="M5" s="643"/>
      <c r="N5" s="643"/>
      <c r="O5" s="643"/>
      <c r="P5" s="3566"/>
      <c r="Q5" s="3567"/>
      <c r="R5" s="3550"/>
      <c r="S5" s="3551"/>
      <c r="T5" s="3550"/>
      <c r="U5" s="3551"/>
      <c r="V5" s="3545"/>
      <c r="W5" s="3545"/>
      <c r="X5" s="2596"/>
      <c r="Y5" s="3550"/>
      <c r="Z5" s="3551"/>
      <c r="AA5" s="3558"/>
      <c r="AB5" s="3558"/>
      <c r="AC5" s="3558"/>
    </row>
    <row r="6" spans="1:29" ht="15.75" thickBot="1">
      <c r="A6" s="603"/>
      <c r="B6" s="604"/>
      <c r="C6" s="3590" t="s">
        <v>2886</v>
      </c>
      <c r="D6" s="3591"/>
      <c r="E6" s="3592" t="s">
        <v>2886</v>
      </c>
      <c r="F6" s="3593"/>
      <c r="G6" s="3590" t="s">
        <v>2886</v>
      </c>
      <c r="H6" s="3591"/>
      <c r="I6" s="3590" t="s">
        <v>2886</v>
      </c>
      <c r="J6" s="3591"/>
      <c r="K6" s="812" t="s">
        <v>409</v>
      </c>
      <c r="L6" s="2617"/>
      <c r="M6" s="643"/>
      <c r="N6" s="643"/>
      <c r="O6" s="643"/>
      <c r="P6" s="3568"/>
      <c r="Q6" s="3569"/>
      <c r="R6" s="3550"/>
      <c r="S6" s="3551"/>
      <c r="T6" s="3552"/>
      <c r="U6" s="3553"/>
      <c r="V6" s="3545"/>
      <c r="W6" s="3545"/>
      <c r="X6" s="2596"/>
      <c r="Y6" s="3552"/>
      <c r="Z6" s="3553"/>
      <c r="AA6" s="3559"/>
      <c r="AB6" s="3559"/>
      <c r="AC6" s="3559"/>
    </row>
    <row r="7" spans="1:29" s="218" customFormat="1" ht="15.75" thickBot="1">
      <c r="A7" s="605" t="s">
        <v>410</v>
      </c>
      <c r="B7" s="606"/>
      <c r="C7" s="607">
        <f>'数据-取费表'!B2</f>
        <v>42916</v>
      </c>
      <c r="D7" s="608">
        <v>100</v>
      </c>
      <c r="E7" s="609"/>
      <c r="F7" s="610">
        <f>SUMIF(48:48,YEAR(E7)&amp;"-"&amp;MONTH(E7),49:49)</f>
        <v>0</v>
      </c>
      <c r="G7" s="609"/>
      <c r="H7" s="608">
        <f>SUMIF(48:48,YEAR(G7)&amp;"-"&amp;MONTH(G7),49:49)</f>
        <v>0</v>
      </c>
      <c r="I7" s="609"/>
      <c r="J7" s="608">
        <f>SUMIF(48:48,YEAR(I7)&amp;"-"&amp;MONTH(I7),49:49)</f>
        <v>0</v>
      </c>
      <c r="K7" s="813"/>
      <c r="L7" s="2618"/>
      <c r="M7" s="2619"/>
      <c r="N7" s="2619"/>
      <c r="O7" s="2619"/>
      <c r="P7" s="3546" t="s">
        <v>411</v>
      </c>
      <c r="Q7" s="3554"/>
      <c r="R7" s="1110" t="s">
        <v>60</v>
      </c>
      <c r="S7" s="1111">
        <f t="shared" ref="S7:S14" si="0">F7</f>
        <v>0</v>
      </c>
      <c r="T7" s="1110" t="s">
        <v>60</v>
      </c>
      <c r="U7" s="1111">
        <f t="shared" ref="U7:U14" si="1">H7</f>
        <v>0</v>
      </c>
      <c r="V7" s="1110" t="s">
        <v>60</v>
      </c>
      <c r="W7" s="1111">
        <f t="shared" ref="W7:W14" si="2">J7</f>
        <v>0</v>
      </c>
      <c r="X7" s="1112"/>
      <c r="Y7" s="3546" t="s">
        <v>411</v>
      </c>
      <c r="Z7" s="3547"/>
      <c r="AA7" s="1113" t="e">
        <f>D7/F7</f>
        <v>#DIV/0!</v>
      </c>
      <c r="AB7" s="1113" t="e">
        <f>D7/H7</f>
        <v>#DIV/0!</v>
      </c>
      <c r="AC7" s="1113" t="e">
        <f>D7/J7</f>
        <v>#DIV/0!</v>
      </c>
    </row>
    <row r="8" spans="1:29" s="218" customFormat="1" ht="15.75" thickBot="1">
      <c r="A8" s="605" t="s">
        <v>412</v>
      </c>
      <c r="B8" s="606"/>
      <c r="C8" s="612" t="s">
        <v>429</v>
      </c>
      <c r="D8" s="608">
        <v>100</v>
      </c>
      <c r="E8" s="612"/>
      <c r="F8" s="610">
        <f>SUMIF(51:51,E8,52:52)-SUMIF(51:51,C8,52:52)+100</f>
        <v>0</v>
      </c>
      <c r="G8" s="612"/>
      <c r="H8" s="608">
        <f>SUMIF(51:51,G8,52:52)-SUMIF(51:51,C8,52:52)+100</f>
        <v>0</v>
      </c>
      <c r="I8" s="612"/>
      <c r="J8" s="608">
        <f>SUMIF(51:51,I8,52:52)-SUMIF(51:51,C8,52:52)+100</f>
        <v>0</v>
      </c>
      <c r="K8" s="813"/>
      <c r="L8" s="2618"/>
      <c r="M8" s="2619"/>
      <c r="N8" s="2619"/>
      <c r="O8" s="2619"/>
      <c r="P8" s="3546" t="s">
        <v>446</v>
      </c>
      <c r="Q8" s="3547"/>
      <c r="R8" s="1110" t="s">
        <v>60</v>
      </c>
      <c r="S8" s="1111">
        <f t="shared" si="0"/>
        <v>0</v>
      </c>
      <c r="T8" s="1110" t="s">
        <v>60</v>
      </c>
      <c r="U8" s="1111">
        <f t="shared" si="1"/>
        <v>0</v>
      </c>
      <c r="V8" s="1110" t="s">
        <v>60</v>
      </c>
      <c r="W8" s="1111">
        <f t="shared" si="2"/>
        <v>0</v>
      </c>
      <c r="X8" s="1112"/>
      <c r="Y8" s="3546" t="s">
        <v>446</v>
      </c>
      <c r="Z8" s="3547"/>
      <c r="AA8" s="1113" t="e">
        <f t="shared" ref="AA8:AA36" si="3">D8/F8</f>
        <v>#DIV/0!</v>
      </c>
      <c r="AB8" s="1113" t="e">
        <f t="shared" ref="AB8:AB36" si="4">D8/H8</f>
        <v>#DIV/0!</v>
      </c>
      <c r="AC8" s="1113" t="e">
        <f t="shared" ref="AC8:AC36" si="5">D8/J8</f>
        <v>#DIV/0!</v>
      </c>
    </row>
    <row r="9" spans="1:29" s="218" customFormat="1">
      <c r="A9" s="208" t="s">
        <v>413</v>
      </c>
      <c r="B9" s="842" t="s">
        <v>431</v>
      </c>
      <c r="C9" s="614"/>
      <c r="D9" s="234">
        <v>100</v>
      </c>
      <c r="E9" s="617"/>
      <c r="F9" s="234">
        <f>SUMIF(53:53,E9,54:54)-SUMIF(53:53,C9,54:54)+100</f>
        <v>100</v>
      </c>
      <c r="G9" s="615"/>
      <c r="H9" s="234">
        <f>SUMIF(53:53,G9,54:54)-SUMIF(53:53,C9,54:54)+100</f>
        <v>100</v>
      </c>
      <c r="I9" s="615"/>
      <c r="J9" s="234">
        <f>SUMIF(53:53,I9,54:54)-SUMIF(53:53,C9,54:54)+100</f>
        <v>100</v>
      </c>
      <c r="K9" s="813"/>
      <c r="L9" s="2618"/>
      <c r="M9" s="2619"/>
      <c r="N9" s="2619"/>
      <c r="O9" s="2620"/>
      <c r="P9" s="3538" t="s">
        <v>414</v>
      </c>
      <c r="Q9" s="2594" t="str">
        <f t="shared" ref="Q9:Q14" si="6">B9</f>
        <v>用途</v>
      </c>
      <c r="R9" s="1110" t="s">
        <v>60</v>
      </c>
      <c r="S9" s="1111">
        <f t="shared" si="0"/>
        <v>100</v>
      </c>
      <c r="T9" s="1110" t="s">
        <v>60</v>
      </c>
      <c r="U9" s="1111">
        <f t="shared" si="1"/>
        <v>100</v>
      </c>
      <c r="V9" s="1110" t="s">
        <v>60</v>
      </c>
      <c r="W9" s="1111">
        <f t="shared" si="2"/>
        <v>100</v>
      </c>
      <c r="X9" s="1112"/>
      <c r="Y9" s="3369" t="s">
        <v>415</v>
      </c>
      <c r="Z9" s="206" t="str">
        <f t="shared" ref="Z9:Z14" si="7">Q9</f>
        <v>用途</v>
      </c>
      <c r="AA9" s="1113">
        <f t="shared" si="3"/>
        <v>1</v>
      </c>
      <c r="AB9" s="1113">
        <f t="shared" si="4"/>
        <v>1</v>
      </c>
      <c r="AC9" s="1113">
        <f t="shared" si="5"/>
        <v>1</v>
      </c>
    </row>
    <row r="10" spans="1:29" s="625" customFormat="1" ht="27">
      <c r="A10" s="843"/>
      <c r="B10" s="844" t="s">
        <v>416</v>
      </c>
      <c r="C10" s="621"/>
      <c r="D10" s="235">
        <v>100</v>
      </c>
      <c r="E10" s="621"/>
      <c r="F10" s="235">
        <f>SUMIF(55:55,E10,56:56)-SUMIF(55:55,C10,56:56)+100</f>
        <v>100</v>
      </c>
      <c r="G10" s="622"/>
      <c r="H10" s="235">
        <f>SUMIF(55:55,G10,56:56)-SUMIF(55:55,C10,56:56)+100</f>
        <v>100</v>
      </c>
      <c r="I10" s="621"/>
      <c r="J10" s="235">
        <f>SUMIF(55:55,I10,56:56)-SUMIF(55:55,C10,56:56)+100</f>
        <v>100</v>
      </c>
      <c r="K10" s="814"/>
      <c r="L10" s="2621"/>
      <c r="M10" s="2622"/>
      <c r="N10" s="2622"/>
      <c r="O10" s="2623"/>
      <c r="P10" s="3538"/>
      <c r="Q10" s="2594" t="str">
        <f t="shared" si="6"/>
        <v>土地使用年限（年）</v>
      </c>
      <c r="R10" s="1110" t="s">
        <v>60</v>
      </c>
      <c r="S10" s="1111">
        <f t="shared" si="0"/>
        <v>100</v>
      </c>
      <c r="T10" s="1110" t="s">
        <v>60</v>
      </c>
      <c r="U10" s="1111">
        <f t="shared" si="1"/>
        <v>100</v>
      </c>
      <c r="V10" s="1110" t="s">
        <v>60</v>
      </c>
      <c r="W10" s="1111">
        <f t="shared" si="2"/>
        <v>100</v>
      </c>
      <c r="X10" s="1112"/>
      <c r="Y10" s="3369"/>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4"/>
      <c r="M11" s="643"/>
      <c r="N11" s="643"/>
      <c r="O11" s="2597"/>
      <c r="P11" s="3538"/>
      <c r="Q11" s="2594">
        <f t="shared" si="6"/>
        <v>111</v>
      </c>
      <c r="R11" s="1110" t="s">
        <v>60</v>
      </c>
      <c r="S11" s="1111">
        <f t="shared" si="0"/>
        <v>100</v>
      </c>
      <c r="T11" s="1110" t="s">
        <v>60</v>
      </c>
      <c r="U11" s="1111">
        <f t="shared" si="1"/>
        <v>100</v>
      </c>
      <c r="V11" s="1110" t="s">
        <v>60</v>
      </c>
      <c r="W11" s="1111">
        <f t="shared" si="2"/>
        <v>100</v>
      </c>
      <c r="X11" s="1112"/>
      <c r="Y11" s="3369"/>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18"/>
      <c r="M12" s="2619"/>
      <c r="N12" s="2619"/>
      <c r="O12" s="2620"/>
      <c r="P12" s="3538"/>
      <c r="Q12" s="2594">
        <f t="shared" si="6"/>
        <v>111</v>
      </c>
      <c r="R12" s="1110" t="s">
        <v>60</v>
      </c>
      <c r="S12" s="1111">
        <f t="shared" si="0"/>
        <v>100</v>
      </c>
      <c r="T12" s="1110" t="s">
        <v>60</v>
      </c>
      <c r="U12" s="1111">
        <f t="shared" si="1"/>
        <v>100</v>
      </c>
      <c r="V12" s="1110" t="s">
        <v>60</v>
      </c>
      <c r="W12" s="1111">
        <f t="shared" si="2"/>
        <v>100</v>
      </c>
      <c r="X12" s="1112"/>
      <c r="Y12" s="3369"/>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5"/>
      <c r="M13" s="643"/>
      <c r="N13" s="643"/>
      <c r="O13" s="2597"/>
      <c r="P13" s="3538"/>
      <c r="Q13" s="2594">
        <f t="shared" si="6"/>
        <v>111</v>
      </c>
      <c r="R13" s="1110" t="s">
        <v>60</v>
      </c>
      <c r="S13" s="1111">
        <f t="shared" si="0"/>
        <v>100</v>
      </c>
      <c r="T13" s="1110" t="s">
        <v>60</v>
      </c>
      <c r="U13" s="1111">
        <f t="shared" si="1"/>
        <v>100</v>
      </c>
      <c r="V13" s="1110" t="s">
        <v>60</v>
      </c>
      <c r="W13" s="1111">
        <f t="shared" si="2"/>
        <v>100</v>
      </c>
      <c r="X13" s="1112"/>
      <c r="Y13" s="3369"/>
      <c r="Z13" s="206">
        <f t="shared" si="7"/>
        <v>111</v>
      </c>
      <c r="AA13" s="1113">
        <f t="shared" si="3"/>
        <v>1</v>
      </c>
      <c r="AB13" s="1113">
        <f t="shared" si="4"/>
        <v>1</v>
      </c>
      <c r="AC13" s="1113">
        <f t="shared" si="5"/>
        <v>1</v>
      </c>
    </row>
    <row r="14" spans="1:29" ht="28.5">
      <c r="A14" s="598" t="s">
        <v>418</v>
      </c>
      <c r="B14" s="831" t="s">
        <v>466</v>
      </c>
      <c r="C14" s="2569" t="str">
        <f>IF(B1="工业",估价对象房地状况!G4,估价对象房地状况!C6)</f>
        <v>192路 764路 778路</v>
      </c>
      <c r="D14" s="2563">
        <v>100</v>
      </c>
      <c r="E14" s="639"/>
      <c r="F14" s="638">
        <f>SUMIF(63:63,E15,64:64)-SUMIF(63:63,C15,64:64)+100</f>
        <v>100</v>
      </c>
      <c r="G14" s="639"/>
      <c r="H14" s="638">
        <f>SUMIF(63:63,G15,64:64)-SUMIF(63:63,C15,64:64)+100</f>
        <v>100</v>
      </c>
      <c r="I14" s="639"/>
      <c r="J14" s="638">
        <f>SUMIF(63:63,I15,64:64)-SUMIF(63:63,C15,64:64)+100</f>
        <v>100</v>
      </c>
      <c r="K14" s="816"/>
      <c r="L14" s="2625"/>
      <c r="M14" s="643"/>
      <c r="N14" s="643"/>
      <c r="O14" s="2597"/>
      <c r="P14" s="3555" t="s">
        <v>419</v>
      </c>
      <c r="Q14" s="2595" t="str">
        <f t="shared" si="6"/>
        <v>交通便捷度</v>
      </c>
      <c r="R14" s="1115" t="s">
        <v>60</v>
      </c>
      <c r="S14" s="1116">
        <f t="shared" si="0"/>
        <v>100</v>
      </c>
      <c r="T14" s="1115" t="s">
        <v>60</v>
      </c>
      <c r="U14" s="1116">
        <f t="shared" si="1"/>
        <v>100</v>
      </c>
      <c r="V14" s="1115" t="s">
        <v>60</v>
      </c>
      <c r="W14" s="1116">
        <f t="shared" si="2"/>
        <v>100</v>
      </c>
      <c r="X14" s="2596"/>
      <c r="Y14" s="3555" t="s">
        <v>419</v>
      </c>
      <c r="Z14" s="2598" t="str">
        <f t="shared" si="7"/>
        <v>交通便捷度</v>
      </c>
      <c r="AA14" s="1118">
        <f t="shared" si="3"/>
        <v>1</v>
      </c>
      <c r="AB14" s="1118">
        <f t="shared" si="4"/>
        <v>1</v>
      </c>
      <c r="AC14" s="1118">
        <f t="shared" si="5"/>
        <v>1</v>
      </c>
    </row>
    <row r="15" spans="1:29" ht="15">
      <c r="A15" s="601"/>
      <c r="B15" s="849"/>
      <c r="C15" s="2570"/>
      <c r="D15" s="2564"/>
      <c r="E15" s="644"/>
      <c r="F15" s="645"/>
      <c r="G15" s="2561"/>
      <c r="H15" s="648"/>
      <c r="I15" s="644"/>
      <c r="J15" s="645"/>
      <c r="K15" s="817"/>
      <c r="L15" s="2625"/>
      <c r="M15" s="643"/>
      <c r="N15" s="643"/>
      <c r="O15" s="2597"/>
      <c r="P15" s="3556"/>
      <c r="Q15" s="2595"/>
      <c r="R15" s="1115"/>
      <c r="S15" s="1116"/>
      <c r="T15" s="1115"/>
      <c r="U15" s="1116"/>
      <c r="V15" s="1115"/>
      <c r="W15" s="1116"/>
      <c r="X15" s="2596"/>
      <c r="Y15" s="3556"/>
      <c r="Z15" s="2598"/>
      <c r="AA15" s="1118">
        <v>1</v>
      </c>
      <c r="AB15" s="1118">
        <v>1</v>
      </c>
      <c r="AC15" s="1118">
        <v>1</v>
      </c>
    </row>
    <row r="16" spans="1:29" ht="114">
      <c r="A16" s="601"/>
      <c r="B16" s="892" t="s">
        <v>2543</v>
      </c>
      <c r="C16" s="2571" t="str">
        <f>IF(B1="工业",估价对象房地状况!G5,估价对象房地状况!C7)</f>
        <v>余杭区良渚二小、勾庄镇中星桥小学、良渚街道社区卫生服务中心勾庄院区、中信银行(杭州良渚支行)、中信银行(杭州良渚支行)</v>
      </c>
      <c r="D16" s="2565">
        <v>100</v>
      </c>
      <c r="E16" s="650"/>
      <c r="F16" s="648">
        <f>SUMIF(65:65,E17,66:66)-SUMIF(65:65,C17,66:66)+100</f>
        <v>100</v>
      </c>
      <c r="G16" s="650"/>
      <c r="H16" s="653">
        <f>SUMIF(65:65,G17,66:66)-SUMIF(65:65,C17,66:66)+100</f>
        <v>100</v>
      </c>
      <c r="I16" s="650"/>
      <c r="J16" s="653">
        <f>SUMIF(65:65,I17,66:66)-SUMIF(65:65,C17,66:66)+100</f>
        <v>100</v>
      </c>
      <c r="K16" s="816"/>
      <c r="L16" s="2625"/>
      <c r="M16" s="643"/>
      <c r="N16" s="643"/>
      <c r="O16" s="2597"/>
      <c r="P16" s="3556"/>
      <c r="Q16" s="2595" t="str">
        <f>B16</f>
        <v>公共配套设施</v>
      </c>
      <c r="R16" s="1115" t="s">
        <v>60</v>
      </c>
      <c r="S16" s="1116">
        <f>F16</f>
        <v>100</v>
      </c>
      <c r="T16" s="1115" t="s">
        <v>60</v>
      </c>
      <c r="U16" s="1116">
        <f>H16</f>
        <v>100</v>
      </c>
      <c r="V16" s="1115" t="s">
        <v>60</v>
      </c>
      <c r="W16" s="1116">
        <f>J16</f>
        <v>100</v>
      </c>
      <c r="X16" s="2596"/>
      <c r="Y16" s="3556"/>
      <c r="Z16" s="2598" t="str">
        <f>Q16</f>
        <v>公共配套设施</v>
      </c>
      <c r="AA16" s="1118">
        <f t="shared" si="3"/>
        <v>1</v>
      </c>
      <c r="AB16" s="1118">
        <f t="shared" si="4"/>
        <v>1</v>
      </c>
      <c r="AC16" s="1118">
        <f t="shared" si="5"/>
        <v>1</v>
      </c>
    </row>
    <row r="17" spans="1:29" ht="15">
      <c r="A17" s="601"/>
      <c r="B17" s="893"/>
      <c r="C17" s="2559"/>
      <c r="D17" s="2565"/>
      <c r="E17" s="646"/>
      <c r="F17" s="648"/>
      <c r="G17" s="646"/>
      <c r="H17" s="645"/>
      <c r="I17" s="646"/>
      <c r="J17" s="645"/>
      <c r="K17" s="817"/>
      <c r="L17" s="2625"/>
      <c r="M17" s="643"/>
      <c r="N17" s="643"/>
      <c r="O17" s="2597"/>
      <c r="P17" s="3556"/>
      <c r="Q17" s="2595"/>
      <c r="R17" s="1115"/>
      <c r="S17" s="1116"/>
      <c r="T17" s="1115"/>
      <c r="U17" s="1116"/>
      <c r="V17" s="1115"/>
      <c r="W17" s="1116"/>
      <c r="X17" s="2596"/>
      <c r="Y17" s="3556"/>
      <c r="Z17" s="2598"/>
      <c r="AA17" s="1118">
        <v>1</v>
      </c>
      <c r="AB17" s="1118">
        <v>1</v>
      </c>
      <c r="AC17" s="1118">
        <v>1</v>
      </c>
    </row>
    <row r="18" spans="1:29" ht="15">
      <c r="A18" s="601"/>
      <c r="B18" s="894" t="s">
        <v>2544</v>
      </c>
      <c r="C18" s="2571" t="str">
        <f>IF(B1="工业",估价对象房地状况!G6,估价对象房地状况!C8)</f>
        <v>六通</v>
      </c>
      <c r="D18" s="2565">
        <v>100</v>
      </c>
      <c r="E18" s="650"/>
      <c r="F18" s="648">
        <f>SUMIF(67:67,E19,68:68)-SUMIF(67:67,C19,68:68)+100</f>
        <v>100</v>
      </c>
      <c r="G18" s="650"/>
      <c r="H18" s="653">
        <f>SUMIF(67:67,G19,68:68)-SUMIF(67:67,C19,68:68)+100</f>
        <v>100</v>
      </c>
      <c r="I18" s="650"/>
      <c r="J18" s="653">
        <f>SUMIF(67:67,I19,68:68)-SUMIF(67:67,C19,68:68)+100</f>
        <v>100</v>
      </c>
      <c r="K18" s="816"/>
      <c r="L18" s="2625"/>
      <c r="M18" s="643"/>
      <c r="N18" s="643"/>
      <c r="O18" s="2597"/>
      <c r="P18" s="3556"/>
      <c r="Q18" s="2595" t="str">
        <f>B18</f>
        <v>基础设施水平</v>
      </c>
      <c r="R18" s="1115" t="s">
        <v>60</v>
      </c>
      <c r="S18" s="1116">
        <f>F18</f>
        <v>100</v>
      </c>
      <c r="T18" s="1115" t="s">
        <v>60</v>
      </c>
      <c r="U18" s="1116">
        <f>H18</f>
        <v>100</v>
      </c>
      <c r="V18" s="1115" t="s">
        <v>60</v>
      </c>
      <c r="W18" s="1116">
        <f>J18</f>
        <v>100</v>
      </c>
      <c r="X18" s="2596"/>
      <c r="Y18" s="3556"/>
      <c r="Z18" s="2598" t="str">
        <f>Q18</f>
        <v>基础设施水平</v>
      </c>
      <c r="AA18" s="1118">
        <f t="shared" ref="AA18" si="8">D18/F18</f>
        <v>1</v>
      </c>
      <c r="AB18" s="1118">
        <f t="shared" ref="AB18" si="9">D18/H18</f>
        <v>1</v>
      </c>
      <c r="AC18" s="1118">
        <f t="shared" ref="AC18" si="10">D18/J18</f>
        <v>1</v>
      </c>
    </row>
    <row r="19" spans="1:29" ht="15">
      <c r="A19" s="601"/>
      <c r="B19" s="894"/>
      <c r="C19" s="2560"/>
      <c r="D19" s="2565"/>
      <c r="E19" s="2557"/>
      <c r="F19" s="648"/>
      <c r="G19" s="2557"/>
      <c r="H19" s="645"/>
      <c r="I19" s="646"/>
      <c r="J19" s="645"/>
      <c r="K19" s="2558"/>
      <c r="L19" s="2625"/>
      <c r="M19" s="643"/>
      <c r="N19" s="643"/>
      <c r="O19" s="2597"/>
      <c r="P19" s="3556"/>
      <c r="Q19" s="2595"/>
      <c r="R19" s="1115"/>
      <c r="S19" s="1116"/>
      <c r="T19" s="1115"/>
      <c r="U19" s="1116"/>
      <c r="V19" s="1115"/>
      <c r="W19" s="1116"/>
      <c r="X19" s="2596"/>
      <c r="Y19" s="3556"/>
      <c r="Z19" s="2598"/>
      <c r="AA19" s="1118">
        <v>1</v>
      </c>
      <c r="AB19" s="1118">
        <v>1</v>
      </c>
      <c r="AC19" s="1118">
        <v>1</v>
      </c>
    </row>
    <row r="20" spans="1:29" ht="15">
      <c r="A20" s="601"/>
      <c r="B20" s="833" t="s">
        <v>467</v>
      </c>
      <c r="C20" s="2571" t="str">
        <f>IF(B1="工业",估价对象房地状况!G7,估价对象房地状况!C9)</f>
        <v>海德公园</v>
      </c>
      <c r="D20" s="2566">
        <v>100</v>
      </c>
      <c r="E20" s="656"/>
      <c r="F20" s="653">
        <f>SUMIF(69:69,E21,70:70)-SUMIF(69:69,C21,70:70)+100</f>
        <v>100</v>
      </c>
      <c r="G20" s="656"/>
      <c r="H20" s="648">
        <f>SUMIF(69:69,G21,70:70)-SUMIF(69:69,C21,70:70)+100</f>
        <v>100</v>
      </c>
      <c r="I20" s="650"/>
      <c r="J20" s="648">
        <f>SUMIF(69:69,I21,70:70)-SUMIF(69:69,C21,70:70)+100</f>
        <v>100</v>
      </c>
      <c r="K20" s="816"/>
      <c r="L20" s="2625"/>
      <c r="M20" s="643"/>
      <c r="N20" s="643"/>
      <c r="O20" s="2597"/>
      <c r="P20" s="3556"/>
      <c r="Q20" s="2595" t="str">
        <f>B20</f>
        <v>自然及人文环境</v>
      </c>
      <c r="R20" s="1115" t="s">
        <v>60</v>
      </c>
      <c r="S20" s="1116">
        <f>F20</f>
        <v>100</v>
      </c>
      <c r="T20" s="1115" t="s">
        <v>60</v>
      </c>
      <c r="U20" s="1116">
        <f>H20</f>
        <v>100</v>
      </c>
      <c r="V20" s="1115" t="s">
        <v>60</v>
      </c>
      <c r="W20" s="1116">
        <f>J20</f>
        <v>100</v>
      </c>
      <c r="X20" s="2596"/>
      <c r="Y20" s="3556"/>
      <c r="Z20" s="2598" t="str">
        <f>Q20</f>
        <v>自然及人文环境</v>
      </c>
      <c r="AA20" s="1118">
        <f t="shared" si="3"/>
        <v>1</v>
      </c>
      <c r="AB20" s="1118">
        <f t="shared" si="4"/>
        <v>1</v>
      </c>
      <c r="AC20" s="1118">
        <f t="shared" si="5"/>
        <v>1</v>
      </c>
    </row>
    <row r="21" spans="1:29" ht="15">
      <c r="A21" s="601"/>
      <c r="B21" s="834"/>
      <c r="C21" s="2570"/>
      <c r="D21" s="2564"/>
      <c r="E21" s="644"/>
      <c r="F21" s="645"/>
      <c r="G21" s="2561"/>
      <c r="H21" s="645"/>
      <c r="I21" s="644"/>
      <c r="J21" s="645"/>
      <c r="K21" s="817"/>
      <c r="L21" s="2625"/>
      <c r="M21" s="643"/>
      <c r="N21" s="643"/>
      <c r="O21" s="2597"/>
      <c r="P21" s="3556"/>
      <c r="Q21" s="2595"/>
      <c r="R21" s="1115"/>
      <c r="S21" s="1116"/>
      <c r="T21" s="1115"/>
      <c r="U21" s="1116"/>
      <c r="V21" s="1115"/>
      <c r="W21" s="1116"/>
      <c r="X21" s="2596"/>
      <c r="Y21" s="3556"/>
      <c r="Z21" s="2598"/>
      <c r="AA21" s="1118">
        <v>1</v>
      </c>
      <c r="AB21" s="1118">
        <v>1</v>
      </c>
      <c r="AC21" s="1118">
        <v>1</v>
      </c>
    </row>
    <row r="22" spans="1:29" ht="15">
      <c r="A22" s="601"/>
      <c r="B22" s="833" t="s">
        <v>468</v>
      </c>
      <c r="C22" s="836"/>
      <c r="D22" s="2565">
        <v>100</v>
      </c>
      <c r="E22" s="818"/>
      <c r="F22" s="633">
        <f>SUMIF(71:71,E22,72:72)-SUMIF(71:71,C22,72:72)+100</f>
        <v>100</v>
      </c>
      <c r="G22" s="836"/>
      <c r="H22" s="633">
        <f>SUMIF(71:71,G22,72:72)-SUMIF(71:71,C22,72:72)+100</f>
        <v>100</v>
      </c>
      <c r="I22" s="818"/>
      <c r="J22" s="633">
        <f>SUMIF(71:71,I22,72:72)-SUMIF(71:71,C22,72:72)+100</f>
        <v>100</v>
      </c>
      <c r="K22" s="814"/>
      <c r="L22" s="2625"/>
      <c r="M22" s="643"/>
      <c r="N22" s="643"/>
      <c r="O22" s="2597"/>
      <c r="P22" s="3556"/>
      <c r="Q22" s="2595" t="str">
        <f>B22</f>
        <v>楼层</v>
      </c>
      <c r="R22" s="1115" t="s">
        <v>60</v>
      </c>
      <c r="S22" s="1116">
        <f>F22</f>
        <v>100</v>
      </c>
      <c r="T22" s="1115" t="s">
        <v>60</v>
      </c>
      <c r="U22" s="1116">
        <f>H22</f>
        <v>100</v>
      </c>
      <c r="V22" s="1115" t="s">
        <v>60</v>
      </c>
      <c r="W22" s="1116">
        <f>J22</f>
        <v>100</v>
      </c>
      <c r="X22" s="2596"/>
      <c r="Y22" s="3556"/>
      <c r="Z22" s="2598" t="str">
        <f>Q22</f>
        <v>楼层</v>
      </c>
      <c r="AA22" s="1118">
        <f t="shared" si="3"/>
        <v>1</v>
      </c>
      <c r="AB22" s="1118">
        <f t="shared" si="4"/>
        <v>1</v>
      </c>
      <c r="AC22" s="1118">
        <f t="shared" si="5"/>
        <v>1</v>
      </c>
    </row>
    <row r="23" spans="1:29" ht="15">
      <c r="A23" s="601"/>
      <c r="B23" s="850">
        <v>111</v>
      </c>
      <c r="C23" s="2572"/>
      <c r="D23" s="2567">
        <v>100</v>
      </c>
      <c r="E23" s="630"/>
      <c r="F23" s="633">
        <f>SUMIF(73:73,E23,74:74)-SUMIF(73:73,C23,74:74)+100</f>
        <v>100</v>
      </c>
      <c r="G23" s="2562"/>
      <c r="H23" s="633">
        <f>SUMIF(73:73,G23,74:74)-SUMIF(73:73,C23,74:74)+100</f>
        <v>100</v>
      </c>
      <c r="I23" s="630"/>
      <c r="J23" s="633">
        <f>SUMIF(73:73,I23,74:74)-SUMIF(73:73,C23,74:74)+100</f>
        <v>100</v>
      </c>
      <c r="K23" s="815"/>
      <c r="L23" s="2625"/>
      <c r="M23" s="643"/>
      <c r="N23" s="643"/>
      <c r="O23" s="2597"/>
      <c r="P23" s="3556"/>
      <c r="Q23" s="2595">
        <f>B23</f>
        <v>111</v>
      </c>
      <c r="R23" s="1115" t="s">
        <v>60</v>
      </c>
      <c r="S23" s="1116">
        <f>F23</f>
        <v>100</v>
      </c>
      <c r="T23" s="1115" t="s">
        <v>60</v>
      </c>
      <c r="U23" s="1116">
        <f>H23</f>
        <v>100</v>
      </c>
      <c r="V23" s="1115" t="s">
        <v>60</v>
      </c>
      <c r="W23" s="1116">
        <f>J23</f>
        <v>100</v>
      </c>
      <c r="X23" s="2596"/>
      <c r="Y23" s="3556"/>
      <c r="Z23" s="2598">
        <f>Q23</f>
        <v>111</v>
      </c>
      <c r="AA23" s="1118">
        <f t="shared" si="3"/>
        <v>1</v>
      </c>
      <c r="AB23" s="1118">
        <f t="shared" si="4"/>
        <v>1</v>
      </c>
      <c r="AC23" s="1118">
        <f t="shared" si="5"/>
        <v>1</v>
      </c>
    </row>
    <row r="24" spans="1:29" ht="15">
      <c r="A24" s="601"/>
      <c r="B24" s="850">
        <v>111</v>
      </c>
      <c r="C24" s="2572"/>
      <c r="D24" s="2567">
        <v>100</v>
      </c>
      <c r="E24" s="630"/>
      <c r="F24" s="633">
        <f>SUMIF(75:75,E24,76:76)-SUMIF(75:75,C24,76:76)+100</f>
        <v>100</v>
      </c>
      <c r="G24" s="2562"/>
      <c r="H24" s="633">
        <f>SUMIF(75:75,G24,76:76)-SUMIF(75:75,C24,76:76)+100</f>
        <v>100</v>
      </c>
      <c r="I24" s="630"/>
      <c r="J24" s="633">
        <f>SUMIF(75:75,I24,76:76)-SUMIF(75:75,C24,76:76)+100</f>
        <v>100</v>
      </c>
      <c r="K24" s="815"/>
      <c r="L24" s="2625"/>
      <c r="M24" s="643"/>
      <c r="N24" s="643"/>
      <c r="O24" s="2597"/>
      <c r="P24" s="3556"/>
      <c r="Q24" s="2595">
        <f t="shared" ref="Q24:Q36" si="11">B24</f>
        <v>111</v>
      </c>
      <c r="R24" s="1115" t="s">
        <v>60</v>
      </c>
      <c r="S24" s="1116">
        <f>F24</f>
        <v>100</v>
      </c>
      <c r="T24" s="1115" t="s">
        <v>60</v>
      </c>
      <c r="U24" s="1116">
        <f>H24</f>
        <v>100</v>
      </c>
      <c r="V24" s="1115" t="s">
        <v>60</v>
      </c>
      <c r="W24" s="1116">
        <f>J24</f>
        <v>100</v>
      </c>
      <c r="X24" s="2596"/>
      <c r="Y24" s="3556"/>
      <c r="Z24" s="2598">
        <f>Q24</f>
        <v>111</v>
      </c>
      <c r="AA24" s="1118">
        <f t="shared" si="3"/>
        <v>1</v>
      </c>
      <c r="AB24" s="1118">
        <f t="shared" si="4"/>
        <v>1</v>
      </c>
      <c r="AC24" s="1118">
        <f t="shared" si="5"/>
        <v>1</v>
      </c>
    </row>
    <row r="25" spans="1:29" s="218" customFormat="1" ht="15.75" thickBot="1">
      <c r="A25" s="2574"/>
      <c r="B25" s="837">
        <v>111</v>
      </c>
      <c r="C25" s="2573"/>
      <c r="D25" s="2568">
        <v>100</v>
      </c>
      <c r="E25" s="830"/>
      <c r="F25" s="852">
        <f>SUMIF(77:77,E25,78:78)-SUMIF(77:77,C25,78:78)+100</f>
        <v>100</v>
      </c>
      <c r="G25" s="716"/>
      <c r="H25" s="852">
        <f>SUMIF(77:77,G25,78:78)-SUMIF(77:77,C25,78:78)+100</f>
        <v>100</v>
      </c>
      <c r="I25" s="830"/>
      <c r="J25" s="852">
        <f>SUMIF(77:77,I25,78:78)-SUMIF(77:77,C25,78:78)+100</f>
        <v>100</v>
      </c>
      <c r="K25" s="815"/>
      <c r="L25" s="2618"/>
      <c r="M25" s="2619"/>
      <c r="N25" s="2619"/>
      <c r="O25" s="2620"/>
      <c r="P25" s="3556"/>
      <c r="Q25" s="2594">
        <f t="shared" si="11"/>
        <v>111</v>
      </c>
      <c r="R25" s="1110" t="s">
        <v>60</v>
      </c>
      <c r="S25" s="1111">
        <f>F25</f>
        <v>100</v>
      </c>
      <c r="T25" s="1110" t="s">
        <v>60</v>
      </c>
      <c r="U25" s="1111">
        <f>H25</f>
        <v>100</v>
      </c>
      <c r="V25" s="1110" t="s">
        <v>60</v>
      </c>
      <c r="W25" s="1111">
        <f>J25</f>
        <v>100</v>
      </c>
      <c r="X25" s="1112"/>
      <c r="Y25" s="3556"/>
      <c r="Z25" s="206">
        <f>Q25</f>
        <v>111</v>
      </c>
      <c r="AA25" s="1118">
        <f>D25/F25</f>
        <v>1</v>
      </c>
      <c r="AB25" s="1118">
        <f>D25/H25</f>
        <v>1</v>
      </c>
      <c r="AC25" s="1118">
        <f>D25/J25</f>
        <v>1</v>
      </c>
    </row>
    <row r="26" spans="1:29" ht="15">
      <c r="A26" s="853" t="s">
        <v>420</v>
      </c>
      <c r="B26" s="210" t="s">
        <v>469</v>
      </c>
      <c r="C26" s="1899"/>
      <c r="D26" s="645">
        <v>100</v>
      </c>
      <c r="E26" s="644"/>
      <c r="F26" s="647">
        <f>SUMIF(79:79,E26,80:80)-SUMIF(79:79,C26,80:80)+100</f>
        <v>100</v>
      </c>
      <c r="G26" s="644"/>
      <c r="H26" s="645">
        <f>SUMIF(79:79,G26,80:80)-SUMIF(79:79,C26,80:80)+100</f>
        <v>100</v>
      </c>
      <c r="I26" s="644"/>
      <c r="J26" s="645">
        <f>SUMIF(79:79,I26,80:80)-SUMIF(79:79,C26,80:80)+100</f>
        <v>100</v>
      </c>
      <c r="K26" s="814"/>
      <c r="L26" s="2625"/>
      <c r="M26" s="643"/>
      <c r="N26" s="643"/>
      <c r="O26" s="2597"/>
      <c r="P26" s="3543" t="s">
        <v>421</v>
      </c>
      <c r="Q26" s="2595" t="str">
        <f t="shared" si="11"/>
        <v>配套类型</v>
      </c>
      <c r="R26" s="1115" t="s">
        <v>60</v>
      </c>
      <c r="S26" s="1116">
        <f t="shared" ref="S26:S36" si="12">F26</f>
        <v>100</v>
      </c>
      <c r="T26" s="1115" t="s">
        <v>60</v>
      </c>
      <c r="U26" s="1116">
        <f t="shared" ref="U26:U36" si="13">H26</f>
        <v>100</v>
      </c>
      <c r="V26" s="1115" t="s">
        <v>60</v>
      </c>
      <c r="W26" s="1116">
        <f t="shared" ref="W26:W36" si="14">J26</f>
        <v>100</v>
      </c>
      <c r="X26" s="2596"/>
      <c r="Y26" s="3544" t="s">
        <v>421</v>
      </c>
      <c r="Z26" s="2598" t="str">
        <f t="shared" ref="Z26:Z36" si="15">Q26</f>
        <v>配套类型</v>
      </c>
      <c r="AA26" s="1118">
        <f t="shared" si="3"/>
        <v>1</v>
      </c>
      <c r="AB26" s="1118">
        <f t="shared" si="4"/>
        <v>1</v>
      </c>
      <c r="AC26" s="1118">
        <f t="shared" si="5"/>
        <v>1</v>
      </c>
    </row>
    <row r="27" spans="1:29" s="670" customFormat="1" ht="15">
      <c r="A27" s="854"/>
      <c r="B27" s="855" t="s">
        <v>470</v>
      </c>
      <c r="C27" s="856"/>
      <c r="D27" s="235">
        <v>100</v>
      </c>
      <c r="E27" s="856"/>
      <c r="F27" s="660">
        <f>SUMIF(81:81,E27,82:82)-SUMIF(81:81,C27,82:82)+100</f>
        <v>100</v>
      </c>
      <c r="G27" s="856"/>
      <c r="H27" s="633">
        <f>SUMIF(81:81,G27,82:82)-SUMIF(81:81,C27,82:82)+100</f>
        <v>100</v>
      </c>
      <c r="I27" s="856"/>
      <c r="J27" s="633">
        <f>SUMIF(81:81,I27,82:82)-SUMIF(81:81,C27,82:82)+100</f>
        <v>100</v>
      </c>
      <c r="K27" s="815"/>
      <c r="L27" s="2624"/>
      <c r="M27" s="2626"/>
      <c r="N27" s="2626"/>
      <c r="O27" s="2627"/>
      <c r="P27" s="3544"/>
      <c r="Q27" s="1119" t="str">
        <f t="shared" si="11"/>
        <v>项目停车位配比</v>
      </c>
      <c r="R27" s="1120" t="s">
        <v>60</v>
      </c>
      <c r="S27" s="1121">
        <f t="shared" si="12"/>
        <v>100</v>
      </c>
      <c r="T27" s="1120" t="s">
        <v>60</v>
      </c>
      <c r="U27" s="1121">
        <f t="shared" si="13"/>
        <v>100</v>
      </c>
      <c r="V27" s="1120" t="s">
        <v>60</v>
      </c>
      <c r="W27" s="1121">
        <f t="shared" si="14"/>
        <v>100</v>
      </c>
      <c r="X27" s="1122"/>
      <c r="Y27" s="3544"/>
      <c r="Z27" s="1123" t="str">
        <f t="shared" si="15"/>
        <v>项目停车位配比</v>
      </c>
      <c r="AA27" s="1118">
        <f t="shared" si="3"/>
        <v>1</v>
      </c>
      <c r="AB27" s="1118">
        <f t="shared" si="4"/>
        <v>1</v>
      </c>
      <c r="AC27" s="1118">
        <f t="shared" si="5"/>
        <v>1</v>
      </c>
    </row>
    <row r="28" spans="1:29" ht="15">
      <c r="A28" s="857"/>
      <c r="B28" s="855" t="s">
        <v>471</v>
      </c>
      <c r="C28" s="659"/>
      <c r="D28" s="633">
        <v>100</v>
      </c>
      <c r="E28" s="659"/>
      <c r="F28" s="660">
        <f>SUMIF(83:83,E28,84:84)-SUMIF(83:83,C28,84:84)+100</f>
        <v>100</v>
      </c>
      <c r="G28" s="659"/>
      <c r="H28" s="633">
        <f>SUMIF(83:83,G28,84:84)-SUMIF(83:83,C28,84:84)+100</f>
        <v>100</v>
      </c>
      <c r="I28" s="659"/>
      <c r="J28" s="633">
        <f>SUMIF(83:83,I28,84:84)-SUMIF(83:83,C28,84:84)+100</f>
        <v>100</v>
      </c>
      <c r="K28" s="814"/>
      <c r="L28" s="2625"/>
      <c r="M28" s="643"/>
      <c r="N28" s="643"/>
      <c r="O28" s="2597"/>
      <c r="P28" s="3544"/>
      <c r="Q28" s="2595" t="str">
        <f t="shared" si="11"/>
        <v>公共部分装修</v>
      </c>
      <c r="R28" s="1115" t="s">
        <v>60</v>
      </c>
      <c r="S28" s="1116">
        <f t="shared" si="12"/>
        <v>100</v>
      </c>
      <c r="T28" s="1115" t="s">
        <v>60</v>
      </c>
      <c r="U28" s="1116">
        <f t="shared" si="13"/>
        <v>100</v>
      </c>
      <c r="V28" s="1115" t="s">
        <v>60</v>
      </c>
      <c r="W28" s="1116">
        <f t="shared" si="14"/>
        <v>100</v>
      </c>
      <c r="X28" s="2596"/>
      <c r="Y28" s="3544"/>
      <c r="Z28" s="2598" t="str">
        <f t="shared" si="15"/>
        <v>公共部分装修</v>
      </c>
      <c r="AA28" s="1118">
        <f t="shared" si="3"/>
        <v>1</v>
      </c>
      <c r="AB28" s="1118">
        <f t="shared" si="4"/>
        <v>1</v>
      </c>
      <c r="AC28" s="1118">
        <f t="shared" si="5"/>
        <v>1</v>
      </c>
    </row>
    <row r="29" spans="1:29" ht="15">
      <c r="A29" s="857"/>
      <c r="B29" s="855" t="s">
        <v>472</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5"/>
      <c r="M29" s="643"/>
      <c r="N29" s="643"/>
      <c r="O29" s="2597"/>
      <c r="P29" s="3544"/>
      <c r="Q29" s="2595" t="str">
        <f t="shared" si="11"/>
        <v>成新率</v>
      </c>
      <c r="R29" s="1115" t="s">
        <v>60</v>
      </c>
      <c r="S29" s="1116" t="e">
        <f t="shared" si="12"/>
        <v>#N/A</v>
      </c>
      <c r="T29" s="1115" t="s">
        <v>60</v>
      </c>
      <c r="U29" s="1116" t="e">
        <f t="shared" si="13"/>
        <v>#N/A</v>
      </c>
      <c r="V29" s="1115" t="s">
        <v>60</v>
      </c>
      <c r="W29" s="1116" t="e">
        <f t="shared" si="14"/>
        <v>#N/A</v>
      </c>
      <c r="X29" s="2596"/>
      <c r="Y29" s="3544"/>
      <c r="Z29" s="2598" t="str">
        <f t="shared" si="15"/>
        <v>成新率</v>
      </c>
      <c r="AA29" s="1118" t="e">
        <f t="shared" si="3"/>
        <v>#N/A</v>
      </c>
      <c r="AB29" s="1118" t="e">
        <f t="shared" si="4"/>
        <v>#N/A</v>
      </c>
      <c r="AC29" s="1118" t="e">
        <f t="shared" si="5"/>
        <v>#N/A</v>
      </c>
    </row>
    <row r="30" spans="1:29" ht="15">
      <c r="A30" s="857"/>
      <c r="B30" s="855" t="s">
        <v>473</v>
      </c>
      <c r="C30" s="858"/>
      <c r="D30" s="633">
        <v>100</v>
      </c>
      <c r="E30" s="858"/>
      <c r="F30" s="660">
        <f>SUMIF(88:88,E30,89:89)-SUMIF(88:88,C30,89:89)+100</f>
        <v>100</v>
      </c>
      <c r="G30" s="858"/>
      <c r="H30" s="633">
        <f>SUMIF(88:88,E30,89:89)-SUMIF(88:88,C30,89:89)+100</f>
        <v>100</v>
      </c>
      <c r="I30" s="858"/>
      <c r="J30" s="633">
        <f>SUMIF(88:88,E30,89:89)-SUMIF(88:88,C30,89:89)+100</f>
        <v>100</v>
      </c>
      <c r="K30" s="814"/>
      <c r="L30" s="2625"/>
      <c r="M30" s="643"/>
      <c r="N30" s="643"/>
      <c r="O30" s="2597"/>
      <c r="P30" s="3544"/>
      <c r="Q30" s="2595" t="str">
        <f t="shared" si="11"/>
        <v>物业等级</v>
      </c>
      <c r="R30" s="1115" t="s">
        <v>60</v>
      </c>
      <c r="S30" s="1116">
        <f t="shared" si="12"/>
        <v>100</v>
      </c>
      <c r="T30" s="1115" t="s">
        <v>60</v>
      </c>
      <c r="U30" s="1116">
        <f t="shared" si="13"/>
        <v>100</v>
      </c>
      <c r="V30" s="1115" t="s">
        <v>60</v>
      </c>
      <c r="W30" s="1116">
        <f t="shared" si="14"/>
        <v>100</v>
      </c>
      <c r="X30" s="2596"/>
      <c r="Y30" s="3544"/>
      <c r="Z30" s="2598" t="str">
        <f t="shared" si="15"/>
        <v>物业等级</v>
      </c>
      <c r="AA30" s="1118">
        <f t="shared" si="3"/>
        <v>1</v>
      </c>
      <c r="AB30" s="1118">
        <f t="shared" si="4"/>
        <v>1</v>
      </c>
      <c r="AC30" s="1118">
        <f t="shared" si="5"/>
        <v>1</v>
      </c>
    </row>
    <row r="31" spans="1:29" s="218" customFormat="1" ht="15">
      <c r="A31" s="859"/>
      <c r="B31" s="855" t="s">
        <v>474</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18"/>
      <c r="M31" s="2619"/>
      <c r="N31" s="2619"/>
      <c r="O31" s="2620"/>
      <c r="P31" s="3544"/>
      <c r="Q31" s="2594" t="str">
        <f t="shared" si="11"/>
        <v>停车位面积</v>
      </c>
      <c r="R31" s="1110" t="s">
        <v>60</v>
      </c>
      <c r="S31" s="1111" t="e">
        <f t="shared" si="12"/>
        <v>#N/A</v>
      </c>
      <c r="T31" s="1110" t="s">
        <v>60</v>
      </c>
      <c r="U31" s="1111" t="e">
        <f t="shared" si="13"/>
        <v>#N/A</v>
      </c>
      <c r="V31" s="1110" t="s">
        <v>60</v>
      </c>
      <c r="W31" s="1111" t="e">
        <f t="shared" si="14"/>
        <v>#N/A</v>
      </c>
      <c r="X31" s="1112"/>
      <c r="Y31" s="3544"/>
      <c r="Z31" s="206" t="str">
        <f t="shared" si="15"/>
        <v>停车位面积</v>
      </c>
      <c r="AA31" s="1113" t="e">
        <f t="shared" si="3"/>
        <v>#N/A</v>
      </c>
      <c r="AB31" s="1113" t="e">
        <f t="shared" si="4"/>
        <v>#N/A</v>
      </c>
      <c r="AC31" s="1113" t="e">
        <f t="shared" si="5"/>
        <v>#N/A</v>
      </c>
    </row>
    <row r="32" spans="1:29" ht="15">
      <c r="A32" s="857"/>
      <c r="B32" s="855" t="s">
        <v>475</v>
      </c>
      <c r="C32" s="659"/>
      <c r="D32" s="633">
        <v>100</v>
      </c>
      <c r="E32" s="659"/>
      <c r="F32" s="660">
        <f>SUMIF(93:93,E32,94:94)-SUMIF(93:93,C32,94:94)+100</f>
        <v>100</v>
      </c>
      <c r="G32" s="659"/>
      <c r="H32" s="633">
        <f>SUMIF(93:93,G32,94:94)-SUMIF(93:93,C32,94:94)+100</f>
        <v>100</v>
      </c>
      <c r="I32" s="659"/>
      <c r="J32" s="633">
        <f>SUMIF(93:93,I32,94:94)-SUMIF(93:93,C32,94:94)+100</f>
        <v>100</v>
      </c>
      <c r="K32" s="814"/>
      <c r="L32" s="2625"/>
      <c r="M32" s="643"/>
      <c r="N32" s="643"/>
      <c r="O32" s="2597"/>
      <c r="P32" s="3544" t="s">
        <v>421</v>
      </c>
      <c r="Q32" s="2595" t="str">
        <f t="shared" si="11"/>
        <v>车位类型</v>
      </c>
      <c r="R32" s="1115" t="s">
        <v>60</v>
      </c>
      <c r="S32" s="1116">
        <f t="shared" si="12"/>
        <v>100</v>
      </c>
      <c r="T32" s="1115" t="s">
        <v>60</v>
      </c>
      <c r="U32" s="1116">
        <f t="shared" si="13"/>
        <v>100</v>
      </c>
      <c r="V32" s="1115" t="s">
        <v>60</v>
      </c>
      <c r="W32" s="1116">
        <f t="shared" si="14"/>
        <v>100</v>
      </c>
      <c r="X32" s="2596"/>
      <c r="Y32" s="3544" t="s">
        <v>421</v>
      </c>
      <c r="Z32" s="2598" t="str">
        <f t="shared" si="15"/>
        <v>车位类型</v>
      </c>
      <c r="AA32" s="1118">
        <f t="shared" si="3"/>
        <v>1</v>
      </c>
      <c r="AB32" s="1118">
        <f t="shared" si="4"/>
        <v>1</v>
      </c>
      <c r="AC32" s="1118">
        <f t="shared" si="5"/>
        <v>1</v>
      </c>
    </row>
    <row r="33" spans="1:29" ht="15">
      <c r="A33" s="857"/>
      <c r="B33" s="855" t="s">
        <v>476</v>
      </c>
      <c r="C33" s="659"/>
      <c r="D33" s="633">
        <v>100</v>
      </c>
      <c r="E33" s="659"/>
      <c r="F33" s="660">
        <f>SUMIF(95:95,E33,96:96)-SUMIF(95:95,C33,96:96)+100</f>
        <v>100</v>
      </c>
      <c r="G33" s="659"/>
      <c r="H33" s="633">
        <f>SUMIF(95:95,G33,96:96)-SUMIF(95:95,C33,96:96)+100</f>
        <v>100</v>
      </c>
      <c r="I33" s="659"/>
      <c r="J33" s="633">
        <f>SUMIF(95:95,I33,96:96)-SUMIF(95:95,C33,96:96)+100</f>
        <v>100</v>
      </c>
      <c r="K33" s="814"/>
      <c r="L33" s="2625"/>
      <c r="M33" s="643"/>
      <c r="N33" s="643"/>
      <c r="O33" s="2597"/>
      <c r="P33" s="3544"/>
      <c r="Q33" s="2595" t="str">
        <f t="shared" si="11"/>
        <v>是否直接入户</v>
      </c>
      <c r="R33" s="1115" t="s">
        <v>60</v>
      </c>
      <c r="S33" s="1116">
        <f t="shared" si="12"/>
        <v>100</v>
      </c>
      <c r="T33" s="1115" t="s">
        <v>60</v>
      </c>
      <c r="U33" s="1116">
        <f t="shared" si="13"/>
        <v>100</v>
      </c>
      <c r="V33" s="1115" t="s">
        <v>60</v>
      </c>
      <c r="W33" s="1116">
        <f t="shared" si="14"/>
        <v>100</v>
      </c>
      <c r="X33" s="2596"/>
      <c r="Y33" s="3544"/>
      <c r="Z33" s="2598"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5"/>
      <c r="M34" s="643"/>
      <c r="N34" s="643"/>
      <c r="O34" s="2597"/>
      <c r="P34" s="3544"/>
      <c r="Q34" s="2595">
        <f t="shared" si="11"/>
        <v>111</v>
      </c>
      <c r="R34" s="1115" t="s">
        <v>60</v>
      </c>
      <c r="S34" s="1116">
        <f t="shared" si="12"/>
        <v>100</v>
      </c>
      <c r="T34" s="1115" t="s">
        <v>60</v>
      </c>
      <c r="U34" s="1116">
        <f t="shared" si="13"/>
        <v>100</v>
      </c>
      <c r="V34" s="1115" t="s">
        <v>60</v>
      </c>
      <c r="W34" s="1116">
        <f t="shared" si="14"/>
        <v>100</v>
      </c>
      <c r="X34" s="2596"/>
      <c r="Y34" s="3544"/>
      <c r="Z34" s="2598">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4"/>
      <c r="M35" s="2626"/>
      <c r="N35" s="2626"/>
      <c r="O35" s="2627"/>
      <c r="P35" s="3544"/>
      <c r="Q35" s="1119">
        <f t="shared" si="11"/>
        <v>111</v>
      </c>
      <c r="R35" s="1120" t="s">
        <v>60</v>
      </c>
      <c r="S35" s="1121">
        <f t="shared" si="12"/>
        <v>100</v>
      </c>
      <c r="T35" s="1120" t="s">
        <v>60</v>
      </c>
      <c r="U35" s="1121">
        <f t="shared" si="13"/>
        <v>100</v>
      </c>
      <c r="V35" s="1120" t="s">
        <v>60</v>
      </c>
      <c r="W35" s="1121">
        <f t="shared" si="14"/>
        <v>100</v>
      </c>
      <c r="X35" s="1122"/>
      <c r="Y35" s="354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5"/>
      <c r="M36" s="643"/>
      <c r="N36" s="643"/>
      <c r="O36" s="2597"/>
      <c r="P36" s="3544"/>
      <c r="Q36" s="2595">
        <f t="shared" si="11"/>
        <v>111</v>
      </c>
      <c r="R36" s="1115" t="s">
        <v>60</v>
      </c>
      <c r="S36" s="1116">
        <f t="shared" si="12"/>
        <v>100</v>
      </c>
      <c r="T36" s="1115" t="s">
        <v>60</v>
      </c>
      <c r="U36" s="1116">
        <f t="shared" si="13"/>
        <v>100</v>
      </c>
      <c r="V36" s="1115" t="s">
        <v>60</v>
      </c>
      <c r="W36" s="1116">
        <f t="shared" si="14"/>
        <v>100</v>
      </c>
      <c r="X36" s="2596"/>
      <c r="Y36" s="3544"/>
      <c r="Z36" s="2598">
        <f t="shared" si="15"/>
        <v>111</v>
      </c>
      <c r="AA36" s="1118">
        <f t="shared" si="3"/>
        <v>1</v>
      </c>
      <c r="AB36" s="1118">
        <f t="shared" si="4"/>
        <v>1</v>
      </c>
      <c r="AC36" s="1118">
        <f t="shared" si="5"/>
        <v>1</v>
      </c>
    </row>
    <row r="37" spans="1:29" ht="15">
      <c r="A37" s="113" t="s">
        <v>2010</v>
      </c>
      <c r="B37" s="1900" t="s">
        <v>2857</v>
      </c>
      <c r="C37" s="2605" t="s">
        <v>20</v>
      </c>
      <c r="D37" s="2606"/>
      <c r="E37" s="2607"/>
      <c r="F37" s="2608"/>
      <c r="G37" s="2609"/>
      <c r="H37" s="2610"/>
      <c r="I37" s="2607"/>
      <c r="J37" s="2610"/>
      <c r="K37" s="821"/>
      <c r="L37" s="2628"/>
      <c r="M37" s="1098"/>
      <c r="N37" s="643"/>
      <c r="O37" s="1098"/>
      <c r="P37" s="3538" t="str">
        <f>A37</f>
        <v>成交单价</v>
      </c>
      <c r="Q37" s="3538"/>
      <c r="R37" s="3584">
        <f>E37</f>
        <v>0</v>
      </c>
      <c r="S37" s="3584"/>
      <c r="T37" s="3584">
        <f>G37</f>
        <v>0</v>
      </c>
      <c r="U37" s="3584"/>
      <c r="V37" s="3584">
        <f>I37</f>
        <v>0</v>
      </c>
      <c r="W37" s="3584"/>
      <c r="X37" s="1098"/>
      <c r="Y37" s="1124"/>
      <c r="Z37" s="1098"/>
      <c r="AA37" s="1098"/>
      <c r="AB37" s="1098"/>
      <c r="AC37" s="1098"/>
    </row>
    <row r="38" spans="1:29" ht="15.75" thickBot="1">
      <c r="A38" s="115" t="s">
        <v>2011</v>
      </c>
      <c r="B38" s="686" t="str">
        <f>B37</f>
        <v>元/平方米</v>
      </c>
      <c r="C38" s="2611" t="e">
        <f>R39</f>
        <v>#DIV/0!</v>
      </c>
      <c r="D38" s="2612"/>
      <c r="E38" s="2613" t="e">
        <f>R38</f>
        <v>#DIV/0!</v>
      </c>
      <c r="F38" s="2613"/>
      <c r="G38" s="2611" t="e">
        <f>T38</f>
        <v>#DIV/0!</v>
      </c>
      <c r="H38" s="2612"/>
      <c r="I38" s="2613" t="e">
        <f>V38</f>
        <v>#DIV/0!</v>
      </c>
      <c r="J38" s="2612"/>
      <c r="K38" s="822"/>
      <c r="L38" s="2628"/>
      <c r="M38" s="1098"/>
      <c r="N38" s="1098"/>
      <c r="O38" s="1098"/>
      <c r="P38" s="3538" t="str">
        <f>A38</f>
        <v>比较价值</v>
      </c>
      <c r="Q38" s="3538"/>
      <c r="R38" s="3584" t="e">
        <f>IF(E1="售价",ROUND(PRODUCT(R37,AA7:AA36),0),ROUND(PRODUCT(R37,AA7:AA36),1))</f>
        <v>#DIV/0!</v>
      </c>
      <c r="S38" s="3584"/>
      <c r="T38" s="3584" t="e">
        <f>IF(E1="售价",ROUND(PRODUCT(T37,AB7:AB36),0),ROUND(PRODUCT(T37,AB7:AB36),1))</f>
        <v>#DIV/0!</v>
      </c>
      <c r="U38" s="3584"/>
      <c r="V38" s="3584" t="e">
        <f>IF(E1="售价",ROUND(PRODUCT(V37,AC7:AC36),0),ROUND(PRODUCT(V37,AC7:AC36),1))</f>
        <v>#DIV/0!</v>
      </c>
      <c r="W38" s="3584"/>
      <c r="X38" s="1098"/>
      <c r="Y38" s="1098"/>
      <c r="Z38" s="1098"/>
      <c r="AA38" s="1098"/>
      <c r="AB38" s="1098"/>
      <c r="AC38" s="1098"/>
    </row>
    <row r="39" spans="1:29" ht="15.75" thickBot="1">
      <c r="A39" s="691" t="s">
        <v>2887</v>
      </c>
      <c r="B39" s="692"/>
      <c r="C39" s="2615" t="e">
        <f>R39</f>
        <v>#DIV/0!</v>
      </c>
      <c r="D39" s="2615"/>
      <c r="E39" s="2615"/>
      <c r="F39" s="2615"/>
      <c r="G39" s="2615"/>
      <c r="H39" s="2615"/>
      <c r="I39" s="2615"/>
      <c r="J39" s="2615"/>
      <c r="K39" s="823"/>
      <c r="L39" s="2628"/>
      <c r="M39" s="1098"/>
      <c r="N39" s="1098"/>
      <c r="O39" s="1098"/>
      <c r="P39" s="3540" t="str">
        <f>A39</f>
        <v>估价对象XX用房的比较价值（楼面单价，元/平方米）</v>
      </c>
      <c r="Q39" s="3541"/>
      <c r="R39" s="3585" t="e">
        <f>IF(E1="售价",ROUND(AVERAGE(R38:V38),0),ROUND(AVERAGE(R38:V38),1))</f>
        <v>#DIV/0!</v>
      </c>
      <c r="S39" s="3585"/>
      <c r="T39" s="3585"/>
      <c r="U39" s="3585"/>
      <c r="V39" s="3585"/>
      <c r="W39" s="3585"/>
      <c r="X39" s="1098"/>
      <c r="Y39" s="1098"/>
      <c r="Z39" s="1098"/>
      <c r="AA39" s="1098"/>
      <c r="AB39" s="1098"/>
      <c r="AC39" s="1098"/>
    </row>
    <row r="40" spans="1:29">
      <c r="A40" s="2215"/>
      <c r="B40" s="2215"/>
      <c r="C40" s="2215"/>
      <c r="D40" s="2215"/>
      <c r="E40" s="2215"/>
      <c r="F40" s="2215"/>
      <c r="G40" s="2219"/>
      <c r="H40" s="2215"/>
      <c r="I40" s="2215"/>
      <c r="J40" s="2215"/>
      <c r="K40" s="2220"/>
      <c r="L40" s="2629"/>
      <c r="M40" s="1098"/>
      <c r="N40" s="1098"/>
      <c r="O40" s="1098"/>
      <c r="P40" s="1098"/>
      <c r="Q40" s="1098"/>
      <c r="R40" s="1098"/>
      <c r="S40" s="1098"/>
      <c r="T40" s="1098"/>
      <c r="U40" s="1098"/>
      <c r="V40" s="1098"/>
      <c r="W40" s="1098"/>
      <c r="X40" s="1098"/>
      <c r="Y40" s="1098"/>
      <c r="Z40" s="1098"/>
      <c r="AA40" s="1098"/>
      <c r="AB40" s="1098"/>
      <c r="AC40" s="1098"/>
    </row>
    <row r="41" spans="1:29">
      <c r="A41" s="2215"/>
      <c r="B41" s="2215"/>
      <c r="C41" s="2215"/>
      <c r="D41" s="2215"/>
      <c r="E41" s="2215"/>
      <c r="F41" s="2215"/>
      <c r="G41" s="2215"/>
      <c r="H41" s="2215"/>
      <c r="I41" s="2215"/>
      <c r="J41" s="2215"/>
      <c r="K41" s="2220"/>
      <c r="L41" s="2629"/>
      <c r="M41" s="1098"/>
      <c r="N41" s="1098"/>
      <c r="O41" s="1098"/>
      <c r="P41" s="1098"/>
      <c r="Q41" s="1098"/>
      <c r="R41" s="1098"/>
      <c r="S41" s="1098"/>
      <c r="T41" s="1098"/>
      <c r="U41" s="1098"/>
      <c r="V41" s="1098"/>
      <c r="W41" s="1098"/>
      <c r="X41" s="1098"/>
      <c r="Y41" s="1098"/>
      <c r="Z41" s="1098"/>
      <c r="AA41" s="1098"/>
      <c r="AB41" s="1098"/>
      <c r="AC41" s="1098"/>
    </row>
    <row r="42" spans="1:29" ht="13.5" customHeight="1">
      <c r="A42" s="2215"/>
      <c r="B42" s="2215"/>
      <c r="C42" s="696" t="s">
        <v>424</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0"/>
      <c r="L42" s="2629"/>
      <c r="M42" s="1098"/>
      <c r="N42" s="1098"/>
      <c r="O42" s="1098"/>
      <c r="P42" s="1098"/>
      <c r="Q42" s="1098"/>
      <c r="R42" s="1098"/>
      <c r="S42" s="1098"/>
      <c r="T42" s="1098"/>
      <c r="U42" s="1098"/>
      <c r="V42" s="1098"/>
      <c r="W42" s="1098"/>
      <c r="X42" s="1098"/>
      <c r="Y42" s="1098"/>
      <c r="Z42" s="1098"/>
      <c r="AA42" s="1098"/>
      <c r="AB42" s="1098"/>
      <c r="AC42" s="1098"/>
    </row>
    <row r="43" spans="1:29" ht="13.5" customHeight="1">
      <c r="A43" s="2215"/>
      <c r="B43" s="2215"/>
      <c r="C43" s="696" t="s">
        <v>425</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0"/>
      <c r="L43" s="2629"/>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17"/>
      <c r="B44" s="2217"/>
      <c r="C44" s="696" t="s">
        <v>426</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1"/>
      <c r="L44" s="2630"/>
      <c r="M44" s="1100"/>
      <c r="N44" s="1100"/>
      <c r="O44" s="1100"/>
      <c r="P44" s="1100"/>
      <c r="Q44" s="1100"/>
      <c r="R44" s="1100"/>
      <c r="S44" s="1100"/>
      <c r="T44" s="1100"/>
      <c r="U44" s="1100"/>
      <c r="V44" s="1100"/>
      <c r="W44" s="1100"/>
      <c r="X44" s="1100"/>
      <c r="Y44" s="1100"/>
      <c r="Z44" s="1100"/>
      <c r="AA44" s="1100"/>
      <c r="AB44" s="1100"/>
      <c r="AC44" s="1100"/>
    </row>
    <row r="45" spans="1:29" s="701" customFormat="1">
      <c r="A45" s="2217"/>
      <c r="B45" s="2218"/>
      <c r="C45" s="2223"/>
      <c r="D45" s="2217"/>
      <c r="E45" s="2217"/>
      <c r="F45" s="2217"/>
      <c r="G45" s="2217"/>
      <c r="H45" s="2217"/>
      <c r="I45" s="2217"/>
      <c r="J45" s="2217"/>
      <c r="K45" s="2221"/>
      <c r="L45" s="2630"/>
      <c r="M45" s="1100"/>
      <c r="N45" s="1100"/>
      <c r="O45" s="1100"/>
      <c r="P45" s="1100"/>
      <c r="Q45" s="1100"/>
      <c r="R45" s="1100"/>
      <c r="S45" s="1100"/>
      <c r="T45" s="1100"/>
      <c r="U45" s="1100"/>
      <c r="V45" s="1100"/>
      <c r="W45" s="1100"/>
      <c r="X45" s="1100"/>
      <c r="Y45" s="1100"/>
      <c r="Z45" s="1100"/>
      <c r="AA45" s="1100"/>
      <c r="AB45" s="1100"/>
      <c r="AC45" s="1100"/>
    </row>
    <row r="46" spans="1:29">
      <c r="A46" s="2215"/>
      <c r="B46" s="2218"/>
      <c r="C46" s="2223"/>
      <c r="D46" s="2215"/>
      <c r="E46" s="2215"/>
      <c r="F46" s="2215"/>
      <c r="G46" s="2215"/>
      <c r="H46" s="2215"/>
      <c r="I46" s="2215"/>
      <c r="J46" s="2215"/>
      <c r="K46" s="2220"/>
      <c r="L46" s="2629"/>
      <c r="M46" s="1098"/>
      <c r="N46" s="1098"/>
      <c r="O46" s="1098"/>
      <c r="P46" s="1098"/>
      <c r="Q46" s="1098"/>
      <c r="R46" s="1098"/>
      <c r="S46" s="1098"/>
      <c r="T46" s="1098"/>
      <c r="U46" s="1098"/>
      <c r="V46" s="1098"/>
      <c r="W46" s="1098"/>
      <c r="X46" s="1098"/>
      <c r="Y46" s="1098"/>
      <c r="Z46" s="1098"/>
      <c r="AA46" s="1098"/>
      <c r="AB46" s="1098"/>
      <c r="AC46" s="1098"/>
    </row>
    <row r="47" spans="1:29" ht="21.75" thickBot="1">
      <c r="A47" s="2632" t="s">
        <v>427</v>
      </c>
      <c r="B47" s="2215"/>
      <c r="C47" s="2231"/>
      <c r="D47" s="2231"/>
      <c r="E47" s="2231"/>
      <c r="F47" s="2633"/>
      <c r="G47" s="2633"/>
      <c r="H47" s="2231"/>
      <c r="I47" s="2231"/>
      <c r="J47" s="2231"/>
      <c r="K47" s="2229"/>
      <c r="L47" s="1106"/>
      <c r="M47" s="1103"/>
      <c r="N47" s="1103"/>
      <c r="O47" s="1103"/>
      <c r="P47" s="1103"/>
      <c r="Q47" s="2631"/>
      <c r="R47" s="1098"/>
      <c r="S47" s="1098"/>
      <c r="T47" s="1098"/>
      <c r="U47" s="1098"/>
      <c r="V47" s="1098"/>
      <c r="W47" s="1098"/>
      <c r="X47" s="1098"/>
      <c r="Y47" s="1098"/>
      <c r="Z47" s="1098"/>
      <c r="AA47" s="1098"/>
      <c r="AB47" s="1098"/>
      <c r="AC47" s="1098"/>
    </row>
    <row r="48" spans="1:29" s="707" customFormat="1" ht="15">
      <c r="A48" s="704" t="s">
        <v>410</v>
      </c>
      <c r="B48" s="705"/>
      <c r="C48" s="2800" t="str">
        <f>YEAR(C7)&amp;"-"&amp;MONTH(C7)</f>
        <v>2017-6</v>
      </c>
      <c r="D48" s="2801">
        <f>EDATE(C48,-1)</f>
        <v>42856</v>
      </c>
      <c r="E48" s="2801">
        <f t="shared" ref="E48:O48" si="16">EDATE(D48,-1)</f>
        <v>42826</v>
      </c>
      <c r="F48" s="2801">
        <f t="shared" si="16"/>
        <v>42795</v>
      </c>
      <c r="G48" s="2801">
        <f t="shared" si="16"/>
        <v>42767</v>
      </c>
      <c r="H48" s="2801">
        <f t="shared" si="16"/>
        <v>42736</v>
      </c>
      <c r="I48" s="2801">
        <f t="shared" si="16"/>
        <v>42705</v>
      </c>
      <c r="J48" s="2801">
        <f t="shared" si="16"/>
        <v>42675</v>
      </c>
      <c r="K48" s="2801">
        <f t="shared" si="16"/>
        <v>42644</v>
      </c>
      <c r="L48" s="2801">
        <f t="shared" si="16"/>
        <v>42614</v>
      </c>
      <c r="M48" s="2801">
        <f t="shared" si="16"/>
        <v>42583</v>
      </c>
      <c r="N48" s="2801">
        <f t="shared" si="16"/>
        <v>42552</v>
      </c>
      <c r="O48" s="2801">
        <f t="shared" si="16"/>
        <v>42522</v>
      </c>
      <c r="P48" s="706"/>
    </row>
    <row r="49" spans="1:17" s="218" customFormat="1" ht="15">
      <c r="A49" s="708"/>
      <c r="B49" s="709"/>
      <c r="C49" s="2799">
        <v>100</v>
      </c>
      <c r="D49" s="711"/>
      <c r="E49" s="711"/>
      <c r="F49" s="711"/>
      <c r="G49" s="711"/>
      <c r="H49" s="711"/>
      <c r="I49" s="711"/>
      <c r="J49" s="711"/>
      <c r="K49" s="711"/>
      <c r="L49" s="711"/>
      <c r="M49" s="712"/>
      <c r="N49" s="711"/>
      <c r="O49" s="713"/>
      <c r="P49" s="703"/>
    </row>
    <row r="50" spans="1:17" s="218" customFormat="1" ht="15.75" thickBot="1">
      <c r="A50" s="714" t="s">
        <v>428</v>
      </c>
      <c r="B50" s="715"/>
      <c r="C50" s="716"/>
      <c r="D50" s="717"/>
      <c r="E50" s="717"/>
      <c r="F50" s="717"/>
      <c r="G50" s="717"/>
      <c r="H50" s="717"/>
      <c r="I50" s="717"/>
      <c r="J50" s="717"/>
      <c r="K50" s="717"/>
      <c r="L50" s="717"/>
      <c r="M50" s="718"/>
      <c r="N50" s="717"/>
      <c r="O50" s="719"/>
      <c r="P50" s="703"/>
      <c r="Q50" s="703"/>
    </row>
    <row r="51" spans="1:17" s="218" customFormat="1" ht="15">
      <c r="A51" s="720" t="s">
        <v>412</v>
      </c>
      <c r="B51" s="709"/>
      <c r="C51" s="721" t="s">
        <v>429</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430</v>
      </c>
      <c r="B53" s="727" t="s">
        <v>431</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416</v>
      </c>
      <c r="C55" s="740" t="s">
        <v>432</v>
      </c>
      <c r="D55" s="740" t="s">
        <v>433</v>
      </c>
      <c r="E55" s="740" t="s">
        <v>434</v>
      </c>
      <c r="F55" s="740" t="s">
        <v>435</v>
      </c>
      <c r="G55" s="740" t="s">
        <v>449</v>
      </c>
      <c r="H55" s="740" t="s">
        <v>450</v>
      </c>
      <c r="I55" s="740" t="s">
        <v>451</v>
      </c>
      <c r="J55" s="740"/>
      <c r="K55" s="741"/>
      <c r="L55" s="742"/>
      <c r="M55" s="743"/>
      <c r="N55" s="733"/>
      <c r="O55" s="733"/>
      <c r="P55" s="205"/>
      <c r="Q55" s="703"/>
    </row>
    <row r="56" spans="1:17" ht="15.75" thickBot="1">
      <c r="A56" s="734"/>
      <c r="B56" s="744"/>
      <c r="C56" s="745" t="s">
        <v>138</v>
      </c>
      <c r="D56" s="745" t="s">
        <v>139</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418</v>
      </c>
      <c r="B63" s="727" t="s">
        <v>442</v>
      </c>
      <c r="C63" s="775" t="s">
        <v>437</v>
      </c>
      <c r="D63" s="775" t="s">
        <v>438</v>
      </c>
      <c r="E63" s="775" t="s">
        <v>439</v>
      </c>
      <c r="F63" s="775" t="s">
        <v>440</v>
      </c>
      <c r="G63" s="775" t="s">
        <v>441</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2530</v>
      </c>
      <c r="C65" s="780" t="s">
        <v>437</v>
      </c>
      <c r="D65" s="780" t="s">
        <v>438</v>
      </c>
      <c r="E65" s="780" t="s">
        <v>439</v>
      </c>
      <c r="F65" s="780" t="s">
        <v>440</v>
      </c>
      <c r="G65" s="780" t="s">
        <v>441</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2545</v>
      </c>
      <c r="C67" s="129" t="s">
        <v>2534</v>
      </c>
      <c r="D67" s="129" t="s">
        <v>2535</v>
      </c>
      <c r="E67" s="129" t="s">
        <v>2536</v>
      </c>
      <c r="F67" s="129" t="s">
        <v>2537</v>
      </c>
      <c r="G67" s="129" t="s">
        <v>2538</v>
      </c>
      <c r="H67" s="740"/>
      <c r="I67" s="740"/>
      <c r="J67" s="740"/>
      <c r="K67" s="740"/>
      <c r="L67" s="740"/>
      <c r="M67" s="2555"/>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443</v>
      </c>
      <c r="C69" s="780" t="s">
        <v>437</v>
      </c>
      <c r="D69" s="780" t="s">
        <v>438</v>
      </c>
      <c r="E69" s="780" t="s">
        <v>439</v>
      </c>
      <c r="F69" s="780" t="s">
        <v>440</v>
      </c>
      <c r="G69" s="780" t="s">
        <v>441</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444</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420</v>
      </c>
      <c r="B79" s="727" t="s">
        <v>477</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478</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445</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479</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480</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481</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482</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483</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4" customFormat="1" ht="28.5" customHeight="1" thickBot="1">
      <c r="A1" s="2904" t="s">
        <v>400</v>
      </c>
      <c r="B1" s="2905"/>
      <c r="C1" s="2906"/>
      <c r="D1" s="2916"/>
      <c r="E1" s="2890"/>
      <c r="F1" s="2917" t="s">
        <v>455</v>
      </c>
      <c r="G1" s="2916"/>
      <c r="H1" s="2916"/>
      <c r="I1" s="2916"/>
      <c r="J1" s="2916"/>
      <c r="K1" s="2918"/>
      <c r="L1" s="2910"/>
      <c r="M1" s="2911"/>
      <c r="N1" s="2911"/>
      <c r="O1" s="2911"/>
      <c r="P1" s="2912"/>
      <c r="Q1" s="2912"/>
      <c r="R1" s="2912"/>
      <c r="S1" s="2912"/>
      <c r="T1" s="2912"/>
      <c r="U1" s="2912"/>
      <c r="V1" s="2912"/>
      <c r="W1" s="2912"/>
      <c r="X1" s="2912"/>
      <c r="Y1" s="2912"/>
      <c r="Z1" s="2912"/>
      <c r="AA1" s="2912"/>
      <c r="AB1" s="2912"/>
      <c r="AC1" s="2913"/>
    </row>
    <row r="2" spans="1:29" s="595" customFormat="1" ht="28.5" customHeight="1" thickTop="1">
      <c r="A2" s="2903" t="s">
        <v>456</v>
      </c>
      <c r="B2" s="2882" t="e">
        <f ca="1">IF(D2="——",IF(C2="元",ROUND(C37*D3,0),ROUND(C37*D3/10000,0)),IF(C2="元",ROUND(C37*D3,0),ROUND(C37*D3/10000,0))-E2)</f>
        <v>#DIV/0!</v>
      </c>
      <c r="C2" s="32" t="str">
        <f>'数据-取费表'!B3</f>
        <v>万元</v>
      </c>
      <c r="D2" s="2883"/>
      <c r="E2" s="2915" t="e">
        <f ca="1">SUMIF(INDIRECT("'"&amp;G2&amp;"'"&amp;"!A:A"),"承租人权益价值",INDIRECT("'"&amp;G2&amp;"'"&amp;"!c:c"))</f>
        <v>#REF!</v>
      </c>
      <c r="F2" s="2884" t="str">
        <f>C2</f>
        <v>万元</v>
      </c>
      <c r="G2" s="2885"/>
      <c r="H2" s="1639"/>
      <c r="I2" s="1639"/>
      <c r="J2" s="1639"/>
      <c r="K2" s="1641"/>
      <c r="L2" s="2199"/>
      <c r="M2" s="2200"/>
      <c r="N2" s="2200"/>
      <c r="O2" s="2200"/>
      <c r="P2" s="1107"/>
      <c r="Q2" s="1107"/>
      <c r="R2" s="1107"/>
      <c r="S2" s="1107"/>
      <c r="T2" s="1107"/>
      <c r="U2" s="1107"/>
      <c r="V2" s="1107"/>
      <c r="W2" s="1107"/>
      <c r="X2" s="1107"/>
      <c r="Y2" s="1107"/>
      <c r="Z2" s="1107"/>
      <c r="AA2" s="1107"/>
      <c r="AB2" s="1107"/>
      <c r="AC2" s="1108"/>
    </row>
    <row r="3" spans="1:29" s="595" customFormat="1" ht="28.5" customHeight="1" thickBot="1">
      <c r="A3" s="384" t="s">
        <v>457</v>
      </c>
      <c r="B3" s="811" t="e">
        <f ca="1">ROUND(IF(D2="——",C37,IF(C2="万元",B2*10000/D3,B2/D3)),0)</f>
        <v>#DIV/0!</v>
      </c>
      <c r="C3" s="597" t="s">
        <v>458</v>
      </c>
      <c r="D3" s="596">
        <f>IF(C1="仅计算典型户型",'数据-取费表'!E5,'数据-取费表'!B5)</f>
        <v>88039.929999999338</v>
      </c>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29" ht="15">
      <c r="A4" s="598" t="s">
        <v>459</v>
      </c>
      <c r="B4" s="599"/>
      <c r="C4" s="3560" t="s">
        <v>460</v>
      </c>
      <c r="D4" s="3561"/>
      <c r="E4" s="3562" t="s">
        <v>461</v>
      </c>
      <c r="F4" s="3563"/>
      <c r="G4" s="3560" t="s">
        <v>462</v>
      </c>
      <c r="H4" s="3561"/>
      <c r="I4" s="3560" t="s">
        <v>463</v>
      </c>
      <c r="J4" s="3561"/>
      <c r="K4" s="812" t="s">
        <v>464</v>
      </c>
      <c r="L4" s="2201"/>
      <c r="M4" s="2202"/>
      <c r="N4" s="2202"/>
      <c r="O4" s="2202"/>
      <c r="P4" s="3564" t="s">
        <v>465</v>
      </c>
      <c r="Q4" s="3565"/>
      <c r="R4" s="3548" t="s">
        <v>461</v>
      </c>
      <c r="S4" s="3549"/>
      <c r="T4" s="3548" t="s">
        <v>462</v>
      </c>
      <c r="U4" s="3549"/>
      <c r="V4" s="3545" t="s">
        <v>463</v>
      </c>
      <c r="W4" s="3545"/>
      <c r="X4" s="1109"/>
      <c r="Y4" s="3548" t="s">
        <v>465</v>
      </c>
      <c r="Z4" s="3549"/>
      <c r="AA4" s="3557" t="s">
        <v>461</v>
      </c>
      <c r="AB4" s="3558" t="s">
        <v>462</v>
      </c>
      <c r="AC4" s="3557" t="s">
        <v>463</v>
      </c>
    </row>
    <row r="5" spans="1:29" ht="15">
      <c r="A5" s="601"/>
      <c r="B5" s="602"/>
      <c r="C5" s="3485" t="s">
        <v>1033</v>
      </c>
      <c r="D5" s="3486"/>
      <c r="E5" s="3511" t="s">
        <v>1034</v>
      </c>
      <c r="F5" s="3512"/>
      <c r="G5" s="3485" t="s">
        <v>56</v>
      </c>
      <c r="H5" s="3486"/>
      <c r="I5" s="3485" t="s">
        <v>1035</v>
      </c>
      <c r="J5" s="3486"/>
      <c r="K5" s="812"/>
      <c r="L5" s="2201"/>
      <c r="M5" s="2202"/>
      <c r="N5" s="2202"/>
      <c r="O5" s="2202"/>
      <c r="P5" s="3566"/>
      <c r="Q5" s="3567"/>
      <c r="R5" s="3550"/>
      <c r="S5" s="3551"/>
      <c r="T5" s="3550"/>
      <c r="U5" s="3551"/>
      <c r="V5" s="3545"/>
      <c r="W5" s="3545"/>
      <c r="X5" s="1109"/>
      <c r="Y5" s="3550"/>
      <c r="Z5" s="3551"/>
      <c r="AA5" s="3558"/>
      <c r="AB5" s="3558"/>
      <c r="AC5" s="3558"/>
    </row>
    <row r="6" spans="1:29" ht="15.75" thickBot="1">
      <c r="A6" s="603"/>
      <c r="B6" s="604"/>
      <c r="C6" s="3483" t="s">
        <v>1036</v>
      </c>
      <c r="D6" s="3484"/>
      <c r="E6" s="3513" t="s">
        <v>1036</v>
      </c>
      <c r="F6" s="3514"/>
      <c r="G6" s="3483" t="s">
        <v>1036</v>
      </c>
      <c r="H6" s="3484"/>
      <c r="I6" s="3483" t="s">
        <v>1036</v>
      </c>
      <c r="J6" s="3484"/>
      <c r="K6" s="812" t="s">
        <v>409</v>
      </c>
      <c r="L6" s="2201"/>
      <c r="M6" s="2202"/>
      <c r="N6" s="2202"/>
      <c r="O6" s="2202"/>
      <c r="P6" s="3568"/>
      <c r="Q6" s="3569"/>
      <c r="R6" s="3550"/>
      <c r="S6" s="3551"/>
      <c r="T6" s="3552"/>
      <c r="U6" s="3553"/>
      <c r="V6" s="3545"/>
      <c r="W6" s="3545"/>
      <c r="X6" s="1109"/>
      <c r="Y6" s="3552"/>
      <c r="Z6" s="3553"/>
      <c r="AA6" s="3559"/>
      <c r="AB6" s="3559"/>
      <c r="AC6" s="3559"/>
    </row>
    <row r="7" spans="1:29" s="218" customFormat="1" ht="15.75" thickBot="1">
      <c r="A7" s="605" t="s">
        <v>410</v>
      </c>
      <c r="B7" s="606"/>
      <c r="C7" s="607">
        <f>'数据-取费表'!B2</f>
        <v>42916</v>
      </c>
      <c r="D7" s="608">
        <v>100</v>
      </c>
      <c r="E7" s="876"/>
      <c r="F7" s="608">
        <f>SUMIF(46:46,YEAR(E7)&amp;"-"&amp;MONTH(E7),47:47)</f>
        <v>0</v>
      </c>
      <c r="G7" s="875"/>
      <c r="H7" s="608">
        <f>SUMIF(46:46,YEAR(G7)&amp;"-"&amp;MONTH(G7),47:47)</f>
        <v>0</v>
      </c>
      <c r="I7" s="875"/>
      <c r="J7" s="608">
        <f>SUMIF(46:46,YEAR(I7)&amp;"-"&amp;MONTH(I7),47:47)</f>
        <v>0</v>
      </c>
      <c r="K7" s="813"/>
      <c r="L7" s="2203"/>
      <c r="M7" s="2204"/>
      <c r="N7" s="2204"/>
      <c r="O7" s="2204"/>
      <c r="P7" s="3546" t="s">
        <v>411</v>
      </c>
      <c r="Q7" s="3554"/>
      <c r="R7" s="1110" t="s">
        <v>60</v>
      </c>
      <c r="S7" s="1111">
        <f t="shared" ref="S7:S14" si="0">F7</f>
        <v>0</v>
      </c>
      <c r="T7" s="1110" t="s">
        <v>60</v>
      </c>
      <c r="U7" s="1111">
        <f t="shared" ref="U7:U14" si="1">H7</f>
        <v>0</v>
      </c>
      <c r="V7" s="1110" t="s">
        <v>60</v>
      </c>
      <c r="W7" s="1111">
        <f t="shared" ref="W7:W14" si="2">J7</f>
        <v>0</v>
      </c>
      <c r="X7" s="1112"/>
      <c r="Y7" s="3546" t="s">
        <v>411</v>
      </c>
      <c r="Z7" s="3547"/>
      <c r="AA7" s="1113" t="e">
        <f>D7/F7</f>
        <v>#DIV/0!</v>
      </c>
      <c r="AB7" s="1113" t="e">
        <f>D7/H7</f>
        <v>#DIV/0!</v>
      </c>
      <c r="AC7" s="1113" t="e">
        <f>D7/J7</f>
        <v>#DIV/0!</v>
      </c>
    </row>
    <row r="8" spans="1:29" s="218" customFormat="1" ht="15.75" thickBot="1">
      <c r="A8" s="605" t="s">
        <v>412</v>
      </c>
      <c r="B8" s="606"/>
      <c r="C8" s="612" t="s">
        <v>429</v>
      </c>
      <c r="D8" s="608">
        <v>100</v>
      </c>
      <c r="E8" s="612"/>
      <c r="F8" s="610">
        <f>SUMIF(49:49,E8,50:50)-SUMIF(49:49,C8,50:50)+100</f>
        <v>0</v>
      </c>
      <c r="G8" s="612"/>
      <c r="H8" s="608">
        <f>SUMIF(49:49,G8,50:50)-SUMIF(49:49,C8,50:50)+100</f>
        <v>0</v>
      </c>
      <c r="I8" s="612"/>
      <c r="J8" s="608">
        <f>SUMIF(49:49,I8,50:50)-SUMIF(49:49,C8,50:50)+100</f>
        <v>0</v>
      </c>
      <c r="K8" s="813"/>
      <c r="L8" s="2203"/>
      <c r="M8" s="2204"/>
      <c r="N8" s="2204"/>
      <c r="O8" s="2204"/>
      <c r="P8" s="3546" t="s">
        <v>446</v>
      </c>
      <c r="Q8" s="3547"/>
      <c r="R8" s="1110" t="s">
        <v>60</v>
      </c>
      <c r="S8" s="1111">
        <f t="shared" si="0"/>
        <v>0</v>
      </c>
      <c r="T8" s="1110" t="s">
        <v>60</v>
      </c>
      <c r="U8" s="1111">
        <f t="shared" si="1"/>
        <v>0</v>
      </c>
      <c r="V8" s="1110" t="s">
        <v>60</v>
      </c>
      <c r="W8" s="1111">
        <f t="shared" si="2"/>
        <v>0</v>
      </c>
      <c r="X8" s="1112"/>
      <c r="Y8" s="3546" t="s">
        <v>446</v>
      </c>
      <c r="Z8" s="3547"/>
      <c r="AA8" s="1113" t="e">
        <f t="shared" ref="AA8:AA34" si="3">D8/F8</f>
        <v>#DIV/0!</v>
      </c>
      <c r="AB8" s="1113" t="e">
        <f t="shared" ref="AB8:AB34" si="4">D8/H8</f>
        <v>#DIV/0!</v>
      </c>
      <c r="AC8" s="1113" t="e">
        <f t="shared" ref="AC8:AC34" si="5">D8/J8</f>
        <v>#DIV/0!</v>
      </c>
    </row>
    <row r="9" spans="1:29" s="218" customFormat="1">
      <c r="A9" s="613" t="s">
        <v>413</v>
      </c>
      <c r="B9" s="211" t="s">
        <v>431</v>
      </c>
      <c r="C9" s="1139"/>
      <c r="D9" s="234">
        <v>100</v>
      </c>
      <c r="E9" s="617"/>
      <c r="F9" s="234">
        <f>SUMIF(51:51,E9,52:52)-SUMIF(51:51,C9,52:52)+100</f>
        <v>100</v>
      </c>
      <c r="G9" s="617"/>
      <c r="H9" s="234">
        <f>SUMIF(51:51,G9,52:52)-SUMIF(51:51,C9,52:52)+100</f>
        <v>100</v>
      </c>
      <c r="I9" s="617"/>
      <c r="J9" s="234">
        <f>SUMIF(51:51,I9,52:52)-SUMIF(51:51,C9,52:52)+100</f>
        <v>100</v>
      </c>
      <c r="K9" s="813"/>
      <c r="L9" s="2203"/>
      <c r="M9" s="2204"/>
      <c r="N9" s="2204"/>
      <c r="O9" s="2205"/>
      <c r="P9" s="3538" t="s">
        <v>414</v>
      </c>
      <c r="Q9" s="192" t="str">
        <f t="shared" ref="Q9:Q14" si="6">B9</f>
        <v>用途</v>
      </c>
      <c r="R9" s="1110" t="s">
        <v>60</v>
      </c>
      <c r="S9" s="1111">
        <f t="shared" si="0"/>
        <v>100</v>
      </c>
      <c r="T9" s="1110" t="s">
        <v>60</v>
      </c>
      <c r="U9" s="1111">
        <f t="shared" si="1"/>
        <v>100</v>
      </c>
      <c r="V9" s="1110" t="s">
        <v>60</v>
      </c>
      <c r="W9" s="1111">
        <f t="shared" si="2"/>
        <v>100</v>
      </c>
      <c r="X9" s="1112"/>
      <c r="Y9" s="3369" t="s">
        <v>415</v>
      </c>
      <c r="Z9" s="206" t="str">
        <f t="shared" ref="Z9:Z14" si="7">Q9</f>
        <v>用途</v>
      </c>
      <c r="AA9" s="1113">
        <f t="shared" si="3"/>
        <v>1</v>
      </c>
      <c r="AB9" s="1113">
        <f t="shared" si="4"/>
        <v>1</v>
      </c>
      <c r="AC9" s="1113">
        <f t="shared" si="5"/>
        <v>1</v>
      </c>
    </row>
    <row r="10" spans="1:29" s="625" customFormat="1" ht="27">
      <c r="A10" s="619"/>
      <c r="B10" s="620" t="s">
        <v>416</v>
      </c>
      <c r="C10" s="621"/>
      <c r="D10" s="235">
        <v>100</v>
      </c>
      <c r="E10" s="621"/>
      <c r="F10" s="235">
        <f>SUMIF(53:53,E10,54:54)-SUMIF(53:53,C10,54:54)+100</f>
        <v>100</v>
      </c>
      <c r="G10" s="622"/>
      <c r="H10" s="235">
        <f>SUMIF(53:53,G10,54:54)-SUMIF(53:53,C10,54:54)+100</f>
        <v>100</v>
      </c>
      <c r="I10" s="621"/>
      <c r="J10" s="235">
        <f>SUMIF(53:53,I10,54:54)-SUMIF(53:53,C10,54:54)+100</f>
        <v>100</v>
      </c>
      <c r="K10" s="814"/>
      <c r="L10" s="2206"/>
      <c r="M10" s="2207"/>
      <c r="N10" s="2207"/>
      <c r="O10" s="2208"/>
      <c r="P10" s="3538"/>
      <c r="Q10" s="192" t="str">
        <f t="shared" si="6"/>
        <v>土地使用年限（年）</v>
      </c>
      <c r="R10" s="1110" t="s">
        <v>60</v>
      </c>
      <c r="S10" s="1111">
        <f t="shared" si="0"/>
        <v>100</v>
      </c>
      <c r="T10" s="1110" t="s">
        <v>60</v>
      </c>
      <c r="U10" s="1111">
        <f t="shared" si="1"/>
        <v>100</v>
      </c>
      <c r="V10" s="1110" t="s">
        <v>60</v>
      </c>
      <c r="W10" s="1111">
        <f t="shared" si="2"/>
        <v>100</v>
      </c>
      <c r="X10" s="1112"/>
      <c r="Y10" s="3369"/>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09"/>
      <c r="M11" s="2202"/>
      <c r="N11" s="2202"/>
      <c r="O11" s="2210"/>
      <c r="P11" s="3538"/>
      <c r="Q11" s="192">
        <f t="shared" si="6"/>
        <v>111</v>
      </c>
      <c r="R11" s="1110" t="s">
        <v>60</v>
      </c>
      <c r="S11" s="1111">
        <f t="shared" si="0"/>
        <v>100</v>
      </c>
      <c r="T11" s="1110" t="s">
        <v>60</v>
      </c>
      <c r="U11" s="1111">
        <f t="shared" si="1"/>
        <v>100</v>
      </c>
      <c r="V11" s="1110" t="s">
        <v>60</v>
      </c>
      <c r="W11" s="1111">
        <f t="shared" si="2"/>
        <v>100</v>
      </c>
      <c r="X11" s="1112"/>
      <c r="Y11" s="3369"/>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3"/>
      <c r="M12" s="2204"/>
      <c r="N12" s="2204"/>
      <c r="O12" s="2205"/>
      <c r="P12" s="3538"/>
      <c r="Q12" s="192">
        <f t="shared" si="6"/>
        <v>111</v>
      </c>
      <c r="R12" s="1110" t="s">
        <v>60</v>
      </c>
      <c r="S12" s="1111">
        <f t="shared" si="0"/>
        <v>100</v>
      </c>
      <c r="T12" s="1110" t="s">
        <v>60</v>
      </c>
      <c r="U12" s="1111">
        <f t="shared" si="1"/>
        <v>100</v>
      </c>
      <c r="V12" s="1110" t="s">
        <v>60</v>
      </c>
      <c r="W12" s="1111">
        <f t="shared" si="2"/>
        <v>100</v>
      </c>
      <c r="X12" s="1112"/>
      <c r="Y12" s="3369"/>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1"/>
      <c r="M13" s="2202"/>
      <c r="N13" s="2202"/>
      <c r="O13" s="2210"/>
      <c r="P13" s="3538"/>
      <c r="Q13" s="192">
        <f t="shared" si="6"/>
        <v>111</v>
      </c>
      <c r="R13" s="1110" t="s">
        <v>60</v>
      </c>
      <c r="S13" s="1111">
        <f t="shared" si="0"/>
        <v>100</v>
      </c>
      <c r="T13" s="1110" t="s">
        <v>60</v>
      </c>
      <c r="U13" s="1111">
        <f t="shared" si="1"/>
        <v>100</v>
      </c>
      <c r="V13" s="1110" t="s">
        <v>60</v>
      </c>
      <c r="W13" s="1111">
        <f t="shared" si="2"/>
        <v>100</v>
      </c>
      <c r="X13" s="1112"/>
      <c r="Y13" s="3369"/>
      <c r="Z13" s="206">
        <f t="shared" si="7"/>
        <v>111</v>
      </c>
      <c r="AA13" s="1113">
        <f t="shared" si="3"/>
        <v>1</v>
      </c>
      <c r="AB13" s="1113">
        <f t="shared" si="4"/>
        <v>1</v>
      </c>
      <c r="AC13" s="1113">
        <f t="shared" si="5"/>
        <v>1</v>
      </c>
    </row>
    <row r="14" spans="1:29" ht="27">
      <c r="A14" s="637" t="s">
        <v>418</v>
      </c>
      <c r="B14" s="209" t="s">
        <v>466</v>
      </c>
      <c r="C14" s="164" t="str">
        <f>IF(B1="工业",估价对象房地状况!G4,估价对象房地状况!C6)</f>
        <v>192路 764路 778路</v>
      </c>
      <c r="D14" s="638">
        <v>100</v>
      </c>
      <c r="E14" s="42"/>
      <c r="F14" s="640">
        <f>SUMIF(61:61,E15,62:62)-SUMIF(61:61,C15,62:62)+100</f>
        <v>100</v>
      </c>
      <c r="G14" s="43"/>
      <c r="H14" s="638">
        <f>SUMIF(61:61,G15,62:62)-SUMIF(61:61,C15,62:62)+100</f>
        <v>100</v>
      </c>
      <c r="I14" s="42"/>
      <c r="J14" s="638">
        <f>SUMIF(61:61,I15,62:62)-SUMIF(61:61,C15,62:62)+100</f>
        <v>100</v>
      </c>
      <c r="K14" s="816"/>
      <c r="L14" s="2211"/>
      <c r="M14" s="2202"/>
      <c r="N14" s="2202"/>
      <c r="O14" s="2210"/>
      <c r="P14" s="3555" t="s">
        <v>419</v>
      </c>
      <c r="Q14" s="1114" t="str">
        <f t="shared" si="6"/>
        <v>交通便捷度</v>
      </c>
      <c r="R14" s="1115" t="s">
        <v>60</v>
      </c>
      <c r="S14" s="1116">
        <f t="shared" si="0"/>
        <v>100</v>
      </c>
      <c r="T14" s="1115" t="s">
        <v>60</v>
      </c>
      <c r="U14" s="1116">
        <f t="shared" si="1"/>
        <v>100</v>
      </c>
      <c r="V14" s="1115" t="s">
        <v>60</v>
      </c>
      <c r="W14" s="1116">
        <f t="shared" si="2"/>
        <v>100</v>
      </c>
      <c r="X14" s="1109"/>
      <c r="Y14" s="3555" t="s">
        <v>419</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1"/>
      <c r="M15" s="2202"/>
      <c r="N15" s="2202"/>
      <c r="O15" s="2210"/>
      <c r="P15" s="3556"/>
      <c r="Q15" s="1114"/>
      <c r="R15" s="1115"/>
      <c r="S15" s="1116"/>
      <c r="T15" s="1115"/>
      <c r="U15" s="1116"/>
      <c r="V15" s="1115"/>
      <c r="W15" s="1116"/>
      <c r="X15" s="1109"/>
      <c r="Y15" s="3556"/>
      <c r="Z15" s="1117"/>
      <c r="AA15" s="1118">
        <v>1</v>
      </c>
      <c r="AB15" s="1118">
        <v>1</v>
      </c>
      <c r="AC15" s="1118">
        <v>1</v>
      </c>
    </row>
    <row r="16" spans="1:29" ht="135">
      <c r="A16" s="626"/>
      <c r="B16" s="892" t="s">
        <v>2543</v>
      </c>
      <c r="C16" s="108" t="str">
        <f>IF(B1="工业",估价对象房地状况!G5,估价对象房地状况!C7)</f>
        <v>余杭区良渚二小、勾庄镇中星桥小学、良渚街道社区卫生服务中心勾庄院区、中信银行(杭州良渚支行)、中信银行(杭州良渚支行)</v>
      </c>
      <c r="D16" s="648">
        <v>100</v>
      </c>
      <c r="E16" s="47"/>
      <c r="F16" s="651">
        <f>SUMIF(63:63,E17,64:64)-SUMIF(63:63,C17,64:64)+100</f>
        <v>100</v>
      </c>
      <c r="G16" s="48"/>
      <c r="H16" s="653">
        <f>SUMIF(63:63,G17,64:64)-SUMIF(63:63,C17,64:64)+100</f>
        <v>100</v>
      </c>
      <c r="I16" s="47"/>
      <c r="J16" s="653">
        <f>SUMIF(63:63,I17,64:64)-SUMIF(63:63,C17,64:64)+100</f>
        <v>100</v>
      </c>
      <c r="K16" s="816"/>
      <c r="L16" s="2211"/>
      <c r="M16" s="2202"/>
      <c r="N16" s="2202"/>
      <c r="O16" s="2210"/>
      <c r="P16" s="3556"/>
      <c r="Q16" s="1114" t="str">
        <f>B16</f>
        <v>公共配套设施</v>
      </c>
      <c r="R16" s="1115" t="s">
        <v>60</v>
      </c>
      <c r="S16" s="1116">
        <f>F16</f>
        <v>100</v>
      </c>
      <c r="T16" s="1115" t="s">
        <v>60</v>
      </c>
      <c r="U16" s="1116">
        <f>H16</f>
        <v>100</v>
      </c>
      <c r="V16" s="1115" t="s">
        <v>60</v>
      </c>
      <c r="W16" s="1116">
        <f>J16</f>
        <v>100</v>
      </c>
      <c r="X16" s="1109"/>
      <c r="Y16" s="355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1"/>
      <c r="M17" s="2202"/>
      <c r="N17" s="2202"/>
      <c r="O17" s="2210"/>
      <c r="P17" s="3556"/>
      <c r="Q17" s="1114"/>
      <c r="R17" s="1115"/>
      <c r="S17" s="1116"/>
      <c r="T17" s="1115"/>
      <c r="U17" s="1116"/>
      <c r="V17" s="1115"/>
      <c r="W17" s="1116"/>
      <c r="X17" s="1109"/>
      <c r="Y17" s="3556"/>
      <c r="Z17" s="1117"/>
      <c r="AA17" s="1118">
        <v>1</v>
      </c>
      <c r="AB17" s="1118">
        <v>1</v>
      </c>
      <c r="AC17" s="1118">
        <v>1</v>
      </c>
    </row>
    <row r="18" spans="1:29" ht="15">
      <c r="A18" s="626"/>
      <c r="B18" s="894" t="s">
        <v>2544</v>
      </c>
      <c r="C18" s="108" t="str">
        <f>IF(B1="工业",估价对象房地状况!G6,估价对象房地状况!C8)</f>
        <v>六通</v>
      </c>
      <c r="D18" s="648">
        <v>100</v>
      </c>
      <c r="E18" s="47"/>
      <c r="F18" s="651">
        <f>SUMIF(65:65,E19,66:66)-SUMIF(65:65,C19,66:66)+100</f>
        <v>100</v>
      </c>
      <c r="G18" s="48"/>
      <c r="H18" s="648">
        <f>SUMIF(65:65,G19,66:66)-SUMIF(65:65,C19,66:66)+100</f>
        <v>100</v>
      </c>
      <c r="I18" s="47"/>
      <c r="J18" s="648">
        <f>SUMIF(65:65,I19,66:66)-SUMIF(65:65,C19,66:66)+100</f>
        <v>100</v>
      </c>
      <c r="K18" s="816"/>
      <c r="L18" s="2211"/>
      <c r="M18" s="2202"/>
      <c r="N18" s="2202"/>
      <c r="O18" s="2210"/>
      <c r="P18" s="3556"/>
      <c r="Q18" s="2546" t="str">
        <f>B18</f>
        <v>基础设施水平</v>
      </c>
      <c r="R18" s="1115" t="s">
        <v>60</v>
      </c>
      <c r="S18" s="1116">
        <f>F18</f>
        <v>100</v>
      </c>
      <c r="T18" s="1115" t="s">
        <v>60</v>
      </c>
      <c r="U18" s="1116">
        <f>H18</f>
        <v>100</v>
      </c>
      <c r="V18" s="1115" t="s">
        <v>60</v>
      </c>
      <c r="W18" s="1116">
        <f>J18</f>
        <v>100</v>
      </c>
      <c r="X18" s="2547"/>
      <c r="Y18" s="3556"/>
      <c r="Z18" s="2548"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58"/>
      <c r="L19" s="2211"/>
      <c r="M19" s="2202"/>
      <c r="N19" s="2202"/>
      <c r="O19" s="2210"/>
      <c r="P19" s="3556"/>
      <c r="Q19" s="2546"/>
      <c r="R19" s="1115"/>
      <c r="S19" s="1116"/>
      <c r="T19" s="1115"/>
      <c r="U19" s="1116"/>
      <c r="V19" s="1115"/>
      <c r="W19" s="1116"/>
      <c r="X19" s="2547"/>
      <c r="Y19" s="3556"/>
      <c r="Z19" s="2548"/>
      <c r="AA19" s="1118">
        <v>1</v>
      </c>
      <c r="AB19" s="1118">
        <v>1</v>
      </c>
      <c r="AC19" s="1118">
        <v>1</v>
      </c>
    </row>
    <row r="20" spans="1:29" ht="15">
      <c r="A20" s="626"/>
      <c r="B20" s="649" t="s">
        <v>467</v>
      </c>
      <c r="C20" s="108" t="str">
        <f>IF(B1="工业",估价对象房地状况!G7,估价对象房地状况!C9)</f>
        <v>海德公园</v>
      </c>
      <c r="D20" s="653">
        <v>100</v>
      </c>
      <c r="E20" s="52"/>
      <c r="F20" s="657">
        <f>SUMIF(67:67,E21,68:68)-SUMIF(67:67,C21,68:68)+100</f>
        <v>100</v>
      </c>
      <c r="G20" s="53"/>
      <c r="H20" s="648">
        <f>SUMIF(67:67,G21,68:68)-SUMIF(67:67,C21,68:68)+100</f>
        <v>100</v>
      </c>
      <c r="I20" s="47"/>
      <c r="J20" s="648">
        <f>SUMIF(67:67,I21,68:68)-SUMIF(67:67,C21,68:68)+100</f>
        <v>100</v>
      </c>
      <c r="K20" s="816"/>
      <c r="L20" s="2211"/>
      <c r="M20" s="2202"/>
      <c r="N20" s="2202"/>
      <c r="O20" s="2210"/>
      <c r="P20" s="3556"/>
      <c r="Q20" s="1114" t="str">
        <f>B20</f>
        <v>自然及人文环境</v>
      </c>
      <c r="R20" s="1115" t="s">
        <v>60</v>
      </c>
      <c r="S20" s="1116">
        <f>F20</f>
        <v>100</v>
      </c>
      <c r="T20" s="1115" t="s">
        <v>60</v>
      </c>
      <c r="U20" s="1116">
        <f>H20</f>
        <v>100</v>
      </c>
      <c r="V20" s="1115" t="s">
        <v>60</v>
      </c>
      <c r="W20" s="1116">
        <f>J20</f>
        <v>100</v>
      </c>
      <c r="X20" s="1109"/>
      <c r="Y20" s="355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1"/>
      <c r="M21" s="2202"/>
      <c r="N21" s="2202"/>
      <c r="O21" s="2210"/>
      <c r="P21" s="3556"/>
      <c r="Q21" s="1114"/>
      <c r="R21" s="1115"/>
      <c r="S21" s="1116"/>
      <c r="T21" s="1115"/>
      <c r="U21" s="1116"/>
      <c r="V21" s="1115"/>
      <c r="W21" s="1116"/>
      <c r="X21" s="1109"/>
      <c r="Y21" s="3556"/>
      <c r="Z21" s="1117"/>
      <c r="AA21" s="1118">
        <v>1</v>
      </c>
      <c r="AB21" s="1118">
        <v>1</v>
      </c>
      <c r="AC21" s="1118">
        <v>1</v>
      </c>
    </row>
    <row r="22" spans="1:29" ht="15">
      <c r="A22" s="626"/>
      <c r="B22" s="649" t="s">
        <v>468</v>
      </c>
      <c r="C22" s="818"/>
      <c r="D22" s="648">
        <v>100</v>
      </c>
      <c r="E22" s="818"/>
      <c r="F22" s="660">
        <f>SUMIF(69:69,E22,70:70)-SUMIF(69:69,C22,70:70)+100</f>
        <v>100</v>
      </c>
      <c r="G22" s="818"/>
      <c r="H22" s="633">
        <f>SUMIF(69:69,G22,70:70)-SUMIF(69:69,C22,70:70)+100</f>
        <v>100</v>
      </c>
      <c r="I22" s="818"/>
      <c r="J22" s="633">
        <f>SUMIF(69:69,I22,70:70)-SUMIF(69:69,C22,70:70)+100</f>
        <v>100</v>
      </c>
      <c r="K22" s="814"/>
      <c r="L22" s="2211"/>
      <c r="M22" s="2202"/>
      <c r="N22" s="2202"/>
      <c r="O22" s="2210"/>
      <c r="P22" s="3556"/>
      <c r="Q22" s="1114" t="str">
        <f>B22</f>
        <v>楼层</v>
      </c>
      <c r="R22" s="1115" t="s">
        <v>60</v>
      </c>
      <c r="S22" s="1116">
        <f>F22</f>
        <v>100</v>
      </c>
      <c r="T22" s="1115" t="s">
        <v>60</v>
      </c>
      <c r="U22" s="1116">
        <f>H22</f>
        <v>100</v>
      </c>
      <c r="V22" s="1115" t="s">
        <v>60</v>
      </c>
      <c r="W22" s="1116">
        <f>J22</f>
        <v>100</v>
      </c>
      <c r="X22" s="1109"/>
      <c r="Y22" s="355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1"/>
      <c r="M23" s="2202"/>
      <c r="N23" s="2202"/>
      <c r="O23" s="2210"/>
      <c r="P23" s="3556"/>
      <c r="Q23" s="1114">
        <f>B23</f>
        <v>111</v>
      </c>
      <c r="R23" s="1115" t="s">
        <v>60</v>
      </c>
      <c r="S23" s="1116">
        <f>F23</f>
        <v>100</v>
      </c>
      <c r="T23" s="1115" t="s">
        <v>60</v>
      </c>
      <c r="U23" s="1116">
        <f>H23</f>
        <v>100</v>
      </c>
      <c r="V23" s="1115" t="s">
        <v>60</v>
      </c>
      <c r="W23" s="1116">
        <f>J23</f>
        <v>100</v>
      </c>
      <c r="X23" s="1109"/>
      <c r="Y23" s="355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1"/>
      <c r="M24" s="2202"/>
      <c r="N24" s="2202"/>
      <c r="O24" s="2210"/>
      <c r="P24" s="3556"/>
      <c r="Q24" s="1114">
        <f t="shared" ref="Q24:Q34" si="11">B24</f>
        <v>111</v>
      </c>
      <c r="R24" s="1115" t="s">
        <v>60</v>
      </c>
      <c r="S24" s="1116">
        <f>F24</f>
        <v>100</v>
      </c>
      <c r="T24" s="1115" t="s">
        <v>60</v>
      </c>
      <c r="U24" s="1116">
        <f>H24</f>
        <v>100</v>
      </c>
      <c r="V24" s="1115" t="s">
        <v>60</v>
      </c>
      <c r="W24" s="1116">
        <f>J24</f>
        <v>100</v>
      </c>
      <c r="X24" s="1109"/>
      <c r="Y24" s="355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3"/>
      <c r="M25" s="2204"/>
      <c r="N25" s="2204"/>
      <c r="O25" s="2205"/>
      <c r="P25" s="3556"/>
      <c r="Q25" s="192">
        <f t="shared" si="11"/>
        <v>111</v>
      </c>
      <c r="R25" s="1110" t="s">
        <v>60</v>
      </c>
      <c r="S25" s="1111">
        <f>F25</f>
        <v>100</v>
      </c>
      <c r="T25" s="1110" t="s">
        <v>60</v>
      </c>
      <c r="U25" s="1111">
        <f>H25</f>
        <v>100</v>
      </c>
      <c r="V25" s="1110" t="s">
        <v>60</v>
      </c>
      <c r="W25" s="1111">
        <f>J25</f>
        <v>100</v>
      </c>
      <c r="X25" s="1112"/>
      <c r="Y25" s="3556"/>
      <c r="Z25" s="206">
        <f>Q25</f>
        <v>111</v>
      </c>
      <c r="AA25" s="1118">
        <f>D25/F25</f>
        <v>1</v>
      </c>
      <c r="AB25" s="1118">
        <f>D25/H25</f>
        <v>1</v>
      </c>
      <c r="AC25" s="1118">
        <f>D25/J25</f>
        <v>1</v>
      </c>
    </row>
    <row r="26" spans="1:29" ht="15">
      <c r="A26" s="665" t="s">
        <v>420</v>
      </c>
      <c r="B26" s="211" t="s">
        <v>471</v>
      </c>
      <c r="C26" s="149"/>
      <c r="D26" s="666">
        <v>100</v>
      </c>
      <c r="E26" s="149"/>
      <c r="F26" s="868">
        <f>SUMIF(77:77,E26,78:78)-SUMIF(77:77,C26,78:78)+100</f>
        <v>100</v>
      </c>
      <c r="G26" s="149"/>
      <c r="H26" s="666">
        <f>SUMIF(77:77,G26,78:78)-SUMIF(77:77,C26,78:78)+100</f>
        <v>100</v>
      </c>
      <c r="I26" s="149"/>
      <c r="J26" s="666">
        <f>SUMIF(77:77,I26,78:78)-SUMIF(77:77,C26,78:78)+100</f>
        <v>100</v>
      </c>
      <c r="K26" s="814"/>
      <c r="L26" s="2211"/>
      <c r="M26" s="2202"/>
      <c r="N26" s="2202"/>
      <c r="O26" s="2210"/>
      <c r="P26" s="3543" t="s">
        <v>484</v>
      </c>
      <c r="Q26" s="1114" t="str">
        <f t="shared" si="11"/>
        <v>公共部分装修</v>
      </c>
      <c r="R26" s="1115" t="s">
        <v>60</v>
      </c>
      <c r="S26" s="1116">
        <f t="shared" ref="S26:S34" si="12">F26</f>
        <v>100</v>
      </c>
      <c r="T26" s="1115" t="s">
        <v>60</v>
      </c>
      <c r="U26" s="1116">
        <f t="shared" ref="U26:U34" si="13">H26</f>
        <v>100</v>
      </c>
      <c r="V26" s="1115" t="s">
        <v>60</v>
      </c>
      <c r="W26" s="1116">
        <f t="shared" ref="W26:W34" si="14">J26</f>
        <v>100</v>
      </c>
      <c r="X26" s="1109"/>
      <c r="Y26" s="3544" t="s">
        <v>484</v>
      </c>
      <c r="Z26" s="1117" t="str">
        <f t="shared" ref="Z26:Z34" si="15">Q26</f>
        <v>公共部分装修</v>
      </c>
      <c r="AA26" s="1118">
        <f t="shared" si="3"/>
        <v>1</v>
      </c>
      <c r="AB26" s="1118">
        <f t="shared" si="4"/>
        <v>1</v>
      </c>
      <c r="AC26" s="1118">
        <f t="shared" si="5"/>
        <v>1</v>
      </c>
    </row>
    <row r="27" spans="1:29" s="670" customFormat="1" ht="15">
      <c r="A27" s="667"/>
      <c r="B27" s="620" t="s">
        <v>472</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09"/>
      <c r="M27" s="2212"/>
      <c r="N27" s="2212"/>
      <c r="O27" s="2213"/>
      <c r="P27" s="3544"/>
      <c r="Q27" s="1119" t="str">
        <f t="shared" si="11"/>
        <v>成新率</v>
      </c>
      <c r="R27" s="1120" t="s">
        <v>60</v>
      </c>
      <c r="S27" s="1121" t="e">
        <f t="shared" si="12"/>
        <v>#N/A</v>
      </c>
      <c r="T27" s="1120" t="s">
        <v>60</v>
      </c>
      <c r="U27" s="1121" t="e">
        <f t="shared" si="13"/>
        <v>#N/A</v>
      </c>
      <c r="V27" s="1120" t="s">
        <v>60</v>
      </c>
      <c r="W27" s="1121" t="e">
        <f t="shared" si="14"/>
        <v>#N/A</v>
      </c>
      <c r="X27" s="1122"/>
      <c r="Y27" s="3544"/>
      <c r="Z27" s="1123" t="str">
        <f t="shared" si="15"/>
        <v>成新率</v>
      </c>
      <c r="AA27" s="1118" t="e">
        <f t="shared" si="3"/>
        <v>#N/A</v>
      </c>
      <c r="AB27" s="1118" t="e">
        <f t="shared" si="4"/>
        <v>#N/A</v>
      </c>
      <c r="AC27" s="1118" t="e">
        <f t="shared" si="5"/>
        <v>#N/A</v>
      </c>
    </row>
    <row r="28" spans="1:29" ht="15">
      <c r="A28" s="671"/>
      <c r="B28" s="620" t="s">
        <v>473</v>
      </c>
      <c r="C28" s="54"/>
      <c r="D28" s="633">
        <v>100</v>
      </c>
      <c r="E28" s="54"/>
      <c r="F28" s="660">
        <f>SUMIF(82:82,E28,83:83)-SUMIF(82:82,C28,83:83)+100</f>
        <v>100</v>
      </c>
      <c r="G28" s="54"/>
      <c r="H28" s="633">
        <f>SUMIF(82:82,G28,83:83)-SUMIF(82:82,C28,83:83)+100</f>
        <v>100</v>
      </c>
      <c r="I28" s="54"/>
      <c r="J28" s="633">
        <f>SUMIF(82:82,I28,83:83)-SUMIF(82:82,C28,83:83)+100</f>
        <v>100</v>
      </c>
      <c r="K28" s="814"/>
      <c r="L28" s="2211"/>
      <c r="M28" s="2202"/>
      <c r="N28" s="2202"/>
      <c r="O28" s="2210"/>
      <c r="P28" s="3544"/>
      <c r="Q28" s="1114" t="str">
        <f t="shared" si="11"/>
        <v>物业等级</v>
      </c>
      <c r="R28" s="1115" t="s">
        <v>60</v>
      </c>
      <c r="S28" s="1116">
        <f t="shared" si="12"/>
        <v>100</v>
      </c>
      <c r="T28" s="1115" t="s">
        <v>60</v>
      </c>
      <c r="U28" s="1116">
        <f t="shared" si="13"/>
        <v>100</v>
      </c>
      <c r="V28" s="1115" t="s">
        <v>60</v>
      </c>
      <c r="W28" s="1116">
        <f t="shared" si="14"/>
        <v>100</v>
      </c>
      <c r="X28" s="1109"/>
      <c r="Y28" s="3544"/>
      <c r="Z28" s="1117" t="str">
        <f t="shared" si="15"/>
        <v>物业等级</v>
      </c>
      <c r="AA28" s="1118">
        <f t="shared" si="3"/>
        <v>1</v>
      </c>
      <c r="AB28" s="1118">
        <f t="shared" si="4"/>
        <v>1</v>
      </c>
      <c r="AC28" s="1118">
        <f t="shared" si="5"/>
        <v>1</v>
      </c>
    </row>
    <row r="29" spans="1:29" ht="15">
      <c r="A29" s="671"/>
      <c r="B29" s="620" t="s">
        <v>485</v>
      </c>
      <c r="C29" s="1206"/>
      <c r="D29" s="633">
        <v>100</v>
      </c>
      <c r="E29" s="1206"/>
      <c r="F29" s="660">
        <f>SUMIF(84:84,E29,85:85)-SUMIF(84:84,C29,85:85)+100</f>
        <v>100</v>
      </c>
      <c r="G29" s="1206"/>
      <c r="H29" s="633">
        <f>SUMIF(84:84,G29,85:85)-SUMIF(84:84,C29,85:85)+100</f>
        <v>100</v>
      </c>
      <c r="I29" s="1206"/>
      <c r="J29" s="633">
        <f>SUMIF(84:84,I29,85:85)-SUMIF(84:84,C29,85:85)+100</f>
        <v>100</v>
      </c>
      <c r="K29" s="814"/>
      <c r="L29" s="2211"/>
      <c r="M29" s="2202"/>
      <c r="N29" s="2202"/>
      <c r="O29" s="2210"/>
      <c r="P29" s="3544"/>
      <c r="Q29" s="1114" t="str">
        <f t="shared" si="11"/>
        <v>有无电梯</v>
      </c>
      <c r="R29" s="1115" t="s">
        <v>60</v>
      </c>
      <c r="S29" s="1116">
        <f t="shared" si="12"/>
        <v>100</v>
      </c>
      <c r="T29" s="1115" t="s">
        <v>60</v>
      </c>
      <c r="U29" s="1116">
        <f t="shared" si="13"/>
        <v>100</v>
      </c>
      <c r="V29" s="1115" t="s">
        <v>60</v>
      </c>
      <c r="W29" s="1116">
        <f t="shared" si="14"/>
        <v>100</v>
      </c>
      <c r="X29" s="1109"/>
      <c r="Y29" s="3544"/>
      <c r="Z29" s="1117" t="str">
        <f t="shared" si="15"/>
        <v>有无电梯</v>
      </c>
      <c r="AA29" s="1118">
        <f t="shared" si="3"/>
        <v>1</v>
      </c>
      <c r="AB29" s="1118">
        <f t="shared" si="4"/>
        <v>1</v>
      </c>
      <c r="AC29" s="1118">
        <f t="shared" si="5"/>
        <v>1</v>
      </c>
    </row>
    <row r="30" spans="1:29" ht="15">
      <c r="A30" s="671"/>
      <c r="B30" s="620" t="s">
        <v>486</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1"/>
      <c r="M30" s="2202"/>
      <c r="N30" s="2202"/>
      <c r="O30" s="2210"/>
      <c r="P30" s="3544"/>
      <c r="Q30" s="1114" t="str">
        <f t="shared" si="11"/>
        <v>建筑面积</v>
      </c>
      <c r="R30" s="1115" t="s">
        <v>60</v>
      </c>
      <c r="S30" s="1116" t="e">
        <f t="shared" si="12"/>
        <v>#N/A</v>
      </c>
      <c r="T30" s="1115" t="s">
        <v>60</v>
      </c>
      <c r="U30" s="1116" t="e">
        <f t="shared" si="13"/>
        <v>#N/A</v>
      </c>
      <c r="V30" s="1115" t="s">
        <v>60</v>
      </c>
      <c r="W30" s="1116" t="e">
        <f t="shared" si="14"/>
        <v>#N/A</v>
      </c>
      <c r="X30" s="1109"/>
      <c r="Y30" s="3544"/>
      <c r="Z30" s="1117" t="str">
        <f t="shared" si="15"/>
        <v>建筑面积</v>
      </c>
      <c r="AA30" s="1118" t="e">
        <f t="shared" si="3"/>
        <v>#N/A</v>
      </c>
      <c r="AB30" s="1118" t="e">
        <f t="shared" si="4"/>
        <v>#N/A</v>
      </c>
      <c r="AC30" s="1118" t="e">
        <f t="shared" si="5"/>
        <v>#N/A</v>
      </c>
    </row>
    <row r="31" spans="1:29" s="218" customFormat="1" ht="15">
      <c r="A31" s="672"/>
      <c r="B31" s="620" t="s">
        <v>487</v>
      </c>
      <c r="C31" s="1206"/>
      <c r="D31" s="235">
        <v>100</v>
      </c>
      <c r="E31" s="1206"/>
      <c r="F31" s="660">
        <f>SUMIF(89:89,E31,90:90)-SUMIF(89:89,C31,90:90)+100</f>
        <v>100</v>
      </c>
      <c r="G31" s="1206"/>
      <c r="H31" s="633">
        <f>SUMIF(89:89,G31,90:90)-SUMIF(89:89,C31,90:90)+100</f>
        <v>100</v>
      </c>
      <c r="I31" s="1206"/>
      <c r="J31" s="633">
        <f>SUMIF(89:89,I31,90:90)-SUMIF(89:89,C31,90:90)+100</f>
        <v>100</v>
      </c>
      <c r="K31" s="814"/>
      <c r="L31" s="2203"/>
      <c r="M31" s="2204"/>
      <c r="N31" s="2204"/>
      <c r="O31" s="2205"/>
      <c r="P31" s="3544"/>
      <c r="Q31" s="192" t="str">
        <f t="shared" si="11"/>
        <v>是否封闭</v>
      </c>
      <c r="R31" s="1110" t="s">
        <v>60</v>
      </c>
      <c r="S31" s="1111">
        <f t="shared" si="12"/>
        <v>100</v>
      </c>
      <c r="T31" s="1110" t="s">
        <v>60</v>
      </c>
      <c r="U31" s="1111">
        <f t="shared" si="13"/>
        <v>100</v>
      </c>
      <c r="V31" s="1110" t="s">
        <v>60</v>
      </c>
      <c r="W31" s="1111">
        <f t="shared" si="14"/>
        <v>100</v>
      </c>
      <c r="X31" s="1112"/>
      <c r="Y31" s="354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1"/>
      <c r="M32" s="2202"/>
      <c r="N32" s="2202"/>
      <c r="O32" s="2210"/>
      <c r="P32" s="3544" t="s">
        <v>421</v>
      </c>
      <c r="Q32" s="1114">
        <f t="shared" si="11"/>
        <v>111</v>
      </c>
      <c r="R32" s="1115" t="s">
        <v>60</v>
      </c>
      <c r="S32" s="1116">
        <f t="shared" si="12"/>
        <v>100</v>
      </c>
      <c r="T32" s="1115" t="s">
        <v>60</v>
      </c>
      <c r="U32" s="1116">
        <f t="shared" si="13"/>
        <v>100</v>
      </c>
      <c r="V32" s="1115" t="s">
        <v>60</v>
      </c>
      <c r="W32" s="1116">
        <f t="shared" si="14"/>
        <v>100</v>
      </c>
      <c r="X32" s="1109"/>
      <c r="Y32" s="3544" t="s">
        <v>421</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1"/>
      <c r="M33" s="2202"/>
      <c r="N33" s="2202"/>
      <c r="O33" s="2210"/>
      <c r="P33" s="3544"/>
      <c r="Q33" s="1114">
        <f t="shared" si="11"/>
        <v>111</v>
      </c>
      <c r="R33" s="1115" t="s">
        <v>60</v>
      </c>
      <c r="S33" s="1116">
        <f t="shared" si="12"/>
        <v>100</v>
      </c>
      <c r="T33" s="1115" t="s">
        <v>60</v>
      </c>
      <c r="U33" s="1116">
        <f t="shared" si="13"/>
        <v>100</v>
      </c>
      <c r="V33" s="1115" t="s">
        <v>60</v>
      </c>
      <c r="W33" s="1116">
        <f t="shared" si="14"/>
        <v>100</v>
      </c>
      <c r="X33" s="1109"/>
      <c r="Y33" s="354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1"/>
      <c r="M34" s="2202"/>
      <c r="N34" s="2202"/>
      <c r="O34" s="2210"/>
      <c r="P34" s="3544"/>
      <c r="Q34" s="1114">
        <f t="shared" si="11"/>
        <v>111</v>
      </c>
      <c r="R34" s="1115" t="s">
        <v>60</v>
      </c>
      <c r="S34" s="1116">
        <f t="shared" si="12"/>
        <v>100</v>
      </c>
      <c r="T34" s="1115" t="s">
        <v>60</v>
      </c>
      <c r="U34" s="1116">
        <f t="shared" si="13"/>
        <v>100</v>
      </c>
      <c r="V34" s="1115" t="s">
        <v>60</v>
      </c>
      <c r="W34" s="1116">
        <f t="shared" si="14"/>
        <v>100</v>
      </c>
      <c r="X34" s="1109"/>
      <c r="Y34" s="3544"/>
      <c r="Z34" s="1117">
        <f t="shared" si="15"/>
        <v>111</v>
      </c>
      <c r="AA34" s="1118">
        <f t="shared" si="3"/>
        <v>1</v>
      </c>
      <c r="AB34" s="1118">
        <f t="shared" si="4"/>
        <v>1</v>
      </c>
      <c r="AC34" s="1118">
        <f t="shared" si="5"/>
        <v>1</v>
      </c>
    </row>
    <row r="35" spans="1:29" ht="15">
      <c r="A35" s="678" t="s">
        <v>422</v>
      </c>
      <c r="B35" s="679"/>
      <c r="C35" s="2605" t="s">
        <v>20</v>
      </c>
      <c r="D35" s="2606"/>
      <c r="E35" s="2607"/>
      <c r="F35" s="2608"/>
      <c r="G35" s="2609"/>
      <c r="H35" s="2610"/>
      <c r="I35" s="2607"/>
      <c r="J35" s="2610"/>
      <c r="K35" s="1192"/>
      <c r="L35" s="2214"/>
      <c r="M35" s="2215"/>
      <c r="N35" s="2202"/>
      <c r="O35" s="2215"/>
      <c r="P35" s="3538" t="str">
        <f>A35</f>
        <v>成交单价（元/平方米）</v>
      </c>
      <c r="Q35" s="3538"/>
      <c r="R35" s="3584">
        <f>E35</f>
        <v>0</v>
      </c>
      <c r="S35" s="3584"/>
      <c r="T35" s="3584">
        <f>G35</f>
        <v>0</v>
      </c>
      <c r="U35" s="3584"/>
      <c r="V35" s="3584">
        <f>I35</f>
        <v>0</v>
      </c>
      <c r="W35" s="3584"/>
      <c r="X35" s="1098"/>
      <c r="Y35" s="1124"/>
      <c r="Z35" s="1098"/>
      <c r="AA35" s="1098"/>
      <c r="AB35" s="1098"/>
      <c r="AC35" s="1098"/>
    </row>
    <row r="36" spans="1:29" ht="15.75" thickBot="1">
      <c r="A36" s="685" t="s">
        <v>423</v>
      </c>
      <c r="B36" s="686"/>
      <c r="C36" s="2611" t="e">
        <f>R37</f>
        <v>#DIV/0!</v>
      </c>
      <c r="D36" s="2612"/>
      <c r="E36" s="2613" t="e">
        <f>R36</f>
        <v>#DIV/0!</v>
      </c>
      <c r="F36" s="2613"/>
      <c r="G36" s="2611" t="e">
        <f>T36</f>
        <v>#DIV/0!</v>
      </c>
      <c r="H36" s="2612"/>
      <c r="I36" s="2613" t="e">
        <f>V36</f>
        <v>#DIV/0!</v>
      </c>
      <c r="J36" s="2612"/>
      <c r="K36" s="1193"/>
      <c r="L36" s="2214"/>
      <c r="M36" s="2215"/>
      <c r="N36" s="2202"/>
      <c r="O36" s="2215"/>
      <c r="P36" s="3538" t="str">
        <f>A36</f>
        <v>比较价值（元/平方米）</v>
      </c>
      <c r="Q36" s="3538"/>
      <c r="R36" s="3584" t="e">
        <f>IF(E1="售价",ROUND(PRODUCT(R35,AA7:AA34),0),ROUND(PRODUCT(R35,AA7:AA34),1))</f>
        <v>#DIV/0!</v>
      </c>
      <c r="S36" s="3584"/>
      <c r="T36" s="3584" t="e">
        <f>IF(E1="售价",ROUND(PRODUCT(T35,AB7:AB34),0),ROUND(PRODUCT(T35,AB7:AB34),1))</f>
        <v>#DIV/0!</v>
      </c>
      <c r="U36" s="3584"/>
      <c r="V36" s="3584" t="e">
        <f>IF(E1="售价",ROUND(PRODUCT(V35,AC7:AC34),0),ROUND(PRODUCT(V35,AC7:AC34),1))</f>
        <v>#DIV/0!</v>
      </c>
      <c r="W36" s="3584"/>
      <c r="X36" s="1098"/>
      <c r="Y36" s="1098"/>
      <c r="Z36" s="1098"/>
      <c r="AA36" s="1098"/>
      <c r="AB36" s="1098"/>
      <c r="AC36" s="1098"/>
    </row>
    <row r="37" spans="1:29" ht="15.75" thickBot="1">
      <c r="A37" s="62" t="s">
        <v>2881</v>
      </c>
      <c r="B37" s="692"/>
      <c r="C37" s="2615" t="e">
        <f>R37</f>
        <v>#DIV/0!</v>
      </c>
      <c r="D37" s="2615"/>
      <c r="E37" s="2615"/>
      <c r="F37" s="2615"/>
      <c r="G37" s="2615"/>
      <c r="H37" s="2615"/>
      <c r="I37" s="2615"/>
      <c r="J37" s="2615"/>
      <c r="K37" s="1194"/>
      <c r="L37" s="2214"/>
      <c r="M37" s="2215"/>
      <c r="N37" s="2215"/>
      <c r="O37" s="2215"/>
      <c r="P37" s="3540" t="str">
        <f>A37</f>
        <v>估价对象XX用房的比较价值（楼面单价，元/平方米）</v>
      </c>
      <c r="Q37" s="3541"/>
      <c r="R37" s="3585" t="e">
        <f>IF(E1="售价",ROUND(AVERAGE(R36:V36),0),ROUND(AVERAGE(R36:V36),1))</f>
        <v>#DIV/0!</v>
      </c>
      <c r="S37" s="3585"/>
      <c r="T37" s="3585"/>
      <c r="U37" s="3585"/>
      <c r="V37" s="3585"/>
      <c r="W37" s="3585"/>
      <c r="X37" s="1098"/>
      <c r="Y37" s="1098"/>
      <c r="Z37" s="1098"/>
      <c r="AA37" s="1098"/>
      <c r="AB37" s="1098"/>
      <c r="AC37" s="1098"/>
    </row>
    <row r="38" spans="1:29">
      <c r="A38" s="2215"/>
      <c r="B38" s="2215"/>
      <c r="C38" s="2215"/>
      <c r="D38" s="2215"/>
      <c r="E38" s="2215"/>
      <c r="F38" s="2215"/>
      <c r="G38" s="2219"/>
      <c r="H38" s="2215"/>
      <c r="I38" s="2215"/>
      <c r="J38" s="2215"/>
      <c r="K38" s="2220"/>
      <c r="L38" s="2216"/>
      <c r="M38" s="2215"/>
      <c r="N38" s="2215"/>
      <c r="O38" s="2215"/>
    </row>
    <row r="39" spans="1:29">
      <c r="A39" s="2215"/>
      <c r="B39" s="2215"/>
      <c r="C39" s="2215"/>
      <c r="D39" s="2215"/>
      <c r="E39" s="2215"/>
      <c r="F39" s="2215"/>
      <c r="G39" s="2215"/>
      <c r="H39" s="2215"/>
      <c r="I39" s="2215"/>
      <c r="J39" s="2215"/>
      <c r="K39" s="2220"/>
      <c r="L39" s="2216"/>
      <c r="M39" s="2215"/>
      <c r="N39" s="2215"/>
      <c r="O39" s="2215"/>
    </row>
    <row r="40" spans="1:29" ht="13.5" customHeight="1">
      <c r="A40" s="2215"/>
      <c r="B40" s="2215"/>
      <c r="C40" s="696" t="s">
        <v>424</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0"/>
      <c r="L40" s="2216"/>
      <c r="M40" s="2215"/>
      <c r="N40" s="2215"/>
      <c r="O40" s="2215"/>
    </row>
    <row r="41" spans="1:29" ht="13.5" customHeight="1">
      <c r="A41" s="2215"/>
      <c r="B41" s="2215"/>
      <c r="C41" s="696" t="s">
        <v>425</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0"/>
      <c r="L41" s="2216"/>
      <c r="M41" s="2215"/>
      <c r="N41" s="2215"/>
      <c r="O41" s="2215"/>
    </row>
    <row r="42" spans="1:29" s="701" customFormat="1" ht="13.5" customHeight="1">
      <c r="A42" s="2217"/>
      <c r="B42" s="2217"/>
      <c r="C42" s="696" t="s">
        <v>426</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1"/>
      <c r="L42" s="2222"/>
      <c r="M42" s="2217"/>
      <c r="N42" s="2217"/>
      <c r="O42" s="2217"/>
    </row>
    <row r="43" spans="1:29" s="701" customFormat="1">
      <c r="A43" s="2217"/>
      <c r="B43" s="2218"/>
      <c r="C43" s="2223"/>
      <c r="D43" s="2217"/>
      <c r="E43" s="2217"/>
      <c r="F43" s="2217"/>
      <c r="G43" s="2217"/>
      <c r="H43" s="2217"/>
      <c r="I43" s="2217"/>
      <c r="J43" s="2217"/>
      <c r="K43" s="2221"/>
      <c r="L43" s="2222"/>
      <c r="M43" s="2217"/>
      <c r="N43" s="2217"/>
      <c r="O43" s="2217"/>
    </row>
    <row r="44" spans="1:29">
      <c r="A44" s="2215"/>
      <c r="B44" s="2218"/>
      <c r="C44" s="2223"/>
      <c r="D44" s="2215"/>
      <c r="E44" s="2215"/>
      <c r="F44" s="2215"/>
      <c r="G44" s="2215"/>
      <c r="H44" s="2215"/>
      <c r="I44" s="2215"/>
      <c r="J44" s="2215"/>
      <c r="K44" s="2220"/>
      <c r="L44" s="2216"/>
      <c r="M44" s="2215"/>
      <c r="N44" s="2215"/>
      <c r="O44" s="2215"/>
    </row>
    <row r="45" spans="1:29" ht="21.75" thickBot="1">
      <c r="A45" s="1102" t="s">
        <v>427</v>
      </c>
      <c r="B45" s="1098"/>
      <c r="C45" s="1103"/>
      <c r="D45" s="1103"/>
      <c r="E45" s="1103"/>
      <c r="F45" s="1104"/>
      <c r="G45" s="1104"/>
      <c r="H45" s="1103"/>
      <c r="I45" s="1103"/>
      <c r="J45" s="1103"/>
      <c r="K45" s="1105"/>
      <c r="L45" s="1106"/>
      <c r="M45" s="1103"/>
      <c r="N45" s="1103"/>
      <c r="O45" s="1103"/>
      <c r="P45" s="702"/>
      <c r="Q45" s="703"/>
    </row>
    <row r="46" spans="1:29" s="707" customFormat="1" ht="15">
      <c r="A46" s="704" t="s">
        <v>410</v>
      </c>
      <c r="B46" s="705"/>
      <c r="C46" s="2800" t="str">
        <f>YEAR(C7)&amp;"-"&amp;MONTH(C7)</f>
        <v>2017-6</v>
      </c>
      <c r="D46" s="2801">
        <f>EDATE(C46,-1)</f>
        <v>42856</v>
      </c>
      <c r="E46" s="2801">
        <f t="shared" ref="E46:O46" si="16">EDATE(D46,-1)</f>
        <v>42826</v>
      </c>
      <c r="F46" s="2801">
        <f t="shared" si="16"/>
        <v>42795</v>
      </c>
      <c r="G46" s="2801">
        <f t="shared" si="16"/>
        <v>42767</v>
      </c>
      <c r="H46" s="2801">
        <f t="shared" si="16"/>
        <v>42736</v>
      </c>
      <c r="I46" s="2801">
        <f t="shared" si="16"/>
        <v>42705</v>
      </c>
      <c r="J46" s="2801">
        <f t="shared" si="16"/>
        <v>42675</v>
      </c>
      <c r="K46" s="2801">
        <f t="shared" si="16"/>
        <v>42644</v>
      </c>
      <c r="L46" s="2801">
        <f t="shared" si="16"/>
        <v>42614</v>
      </c>
      <c r="M46" s="2801">
        <f t="shared" si="16"/>
        <v>42583</v>
      </c>
      <c r="N46" s="2801">
        <f t="shared" si="16"/>
        <v>42552</v>
      </c>
      <c r="O46" s="2801">
        <f t="shared" si="16"/>
        <v>42522</v>
      </c>
      <c r="P46" s="706"/>
    </row>
    <row r="47" spans="1:29" s="218" customFormat="1" ht="15">
      <c r="A47" s="708"/>
      <c r="B47" s="709"/>
      <c r="C47" s="2799">
        <v>100</v>
      </c>
      <c r="D47" s="711"/>
      <c r="E47" s="711"/>
      <c r="F47" s="711"/>
      <c r="G47" s="711"/>
      <c r="H47" s="711"/>
      <c r="I47" s="711"/>
      <c r="J47" s="711"/>
      <c r="K47" s="711"/>
      <c r="L47" s="711"/>
      <c r="M47" s="712"/>
      <c r="N47" s="711"/>
      <c r="O47" s="713"/>
      <c r="P47" s="703"/>
    </row>
    <row r="48" spans="1:29" s="218" customFormat="1" ht="15.75" thickBot="1">
      <c r="A48" s="714" t="s">
        <v>428</v>
      </c>
      <c r="B48" s="715"/>
      <c r="C48" s="716"/>
      <c r="D48" s="717"/>
      <c r="E48" s="717"/>
      <c r="F48" s="717"/>
      <c r="G48" s="717"/>
      <c r="H48" s="717"/>
      <c r="I48" s="717"/>
      <c r="J48" s="717"/>
      <c r="K48" s="717"/>
      <c r="L48" s="717"/>
      <c r="M48" s="718"/>
      <c r="N48" s="717"/>
      <c r="O48" s="719"/>
      <c r="P48" s="703"/>
      <c r="Q48" s="703"/>
    </row>
    <row r="49" spans="1:17" s="218" customFormat="1" ht="15">
      <c r="A49" s="720" t="s">
        <v>412</v>
      </c>
      <c r="B49" s="709"/>
      <c r="C49" s="721" t="s">
        <v>429</v>
      </c>
      <c r="D49" s="87"/>
      <c r="E49" s="87"/>
      <c r="F49" s="87"/>
      <c r="G49" s="87"/>
      <c r="H49" s="87"/>
      <c r="I49" s="87"/>
      <c r="J49" s="87"/>
      <c r="K49" s="87"/>
      <c r="L49" s="88"/>
      <c r="M49" s="914"/>
      <c r="N49" s="2224"/>
      <c r="O49" s="2224"/>
      <c r="P49" s="725"/>
      <c r="Q49" s="703"/>
    </row>
    <row r="50" spans="1:17" s="218" customFormat="1" ht="15.75" thickBot="1">
      <c r="A50" s="720"/>
      <c r="B50" s="709"/>
      <c r="C50" s="841">
        <v>100</v>
      </c>
      <c r="D50" s="711"/>
      <c r="E50" s="711"/>
      <c r="F50" s="711"/>
      <c r="G50" s="711"/>
      <c r="H50" s="711"/>
      <c r="I50" s="711"/>
      <c r="J50" s="711"/>
      <c r="K50" s="711"/>
      <c r="L50" s="711"/>
      <c r="M50" s="713"/>
      <c r="N50" s="2224"/>
      <c r="O50" s="2224"/>
      <c r="P50" s="703"/>
      <c r="Q50" s="703"/>
    </row>
    <row r="51" spans="1:17">
      <c r="A51" s="726" t="s">
        <v>430</v>
      </c>
      <c r="B51" s="727" t="s">
        <v>431</v>
      </c>
      <c r="C51" s="728">
        <f>C9</f>
        <v>0</v>
      </c>
      <c r="D51" s="69"/>
      <c r="E51" s="69"/>
      <c r="F51" s="69"/>
      <c r="G51" s="69"/>
      <c r="H51" s="69"/>
      <c r="I51" s="69"/>
      <c r="J51" s="69"/>
      <c r="K51" s="70"/>
      <c r="L51" s="71"/>
      <c r="M51" s="72"/>
      <c r="N51" s="2225"/>
      <c r="O51" s="2225"/>
      <c r="P51" s="205"/>
      <c r="Q51" s="703"/>
    </row>
    <row r="52" spans="1:17" ht="15.75" thickBot="1">
      <c r="A52" s="734"/>
      <c r="B52" s="735"/>
      <c r="C52" s="736">
        <v>100</v>
      </c>
      <c r="D52" s="736"/>
      <c r="E52" s="736"/>
      <c r="F52" s="736"/>
      <c r="G52" s="736"/>
      <c r="H52" s="736"/>
      <c r="I52" s="736"/>
      <c r="J52" s="736"/>
      <c r="K52" s="736"/>
      <c r="L52" s="736"/>
      <c r="M52" s="737"/>
      <c r="N52" s="2226"/>
      <c r="O52" s="2226"/>
      <c r="P52" s="205"/>
      <c r="Q52" s="703"/>
    </row>
    <row r="53" spans="1:17" ht="27.75" thickTop="1">
      <c r="A53" s="734"/>
      <c r="B53" s="739" t="s">
        <v>416</v>
      </c>
      <c r="C53" s="740" t="s">
        <v>432</v>
      </c>
      <c r="D53" s="740" t="s">
        <v>433</v>
      </c>
      <c r="E53" s="740" t="s">
        <v>434</v>
      </c>
      <c r="F53" s="740" t="s">
        <v>435</v>
      </c>
      <c r="G53" s="740" t="s">
        <v>449</v>
      </c>
      <c r="H53" s="740" t="s">
        <v>450</v>
      </c>
      <c r="I53" s="740" t="s">
        <v>451</v>
      </c>
      <c r="J53" s="740"/>
      <c r="K53" s="741"/>
      <c r="L53" s="742"/>
      <c r="M53" s="743"/>
      <c r="N53" s="2225"/>
      <c r="O53" s="2225"/>
      <c r="P53" s="205"/>
      <c r="Q53" s="703"/>
    </row>
    <row r="54" spans="1:17" ht="15.75" thickBot="1">
      <c r="A54" s="734"/>
      <c r="B54" s="744"/>
      <c r="C54" s="745" t="s">
        <v>138</v>
      </c>
      <c r="D54" s="745" t="s">
        <v>139</v>
      </c>
      <c r="E54" s="745">
        <v>100</v>
      </c>
      <c r="F54" s="745">
        <f>E54-$K10</f>
        <v>100</v>
      </c>
      <c r="G54" s="745">
        <f>F54-$K10</f>
        <v>100</v>
      </c>
      <c r="H54" s="745">
        <f>G54-$K10</f>
        <v>100</v>
      </c>
      <c r="I54" s="745">
        <f>H54-$K10</f>
        <v>100</v>
      </c>
      <c r="J54" s="745"/>
      <c r="K54" s="745"/>
      <c r="L54" s="745"/>
      <c r="M54" s="746"/>
      <c r="N54" s="2226"/>
      <c r="O54" s="2226"/>
      <c r="P54" s="205"/>
      <c r="Q54" s="703"/>
    </row>
    <row r="55" spans="1:17" ht="15.75" thickTop="1">
      <c r="A55" s="734"/>
      <c r="B55" s="165">
        <f>B11</f>
        <v>111</v>
      </c>
      <c r="C55" s="73"/>
      <c r="D55" s="73"/>
      <c r="E55" s="73"/>
      <c r="F55" s="73"/>
      <c r="G55" s="73"/>
      <c r="H55" s="73"/>
      <c r="I55" s="73"/>
      <c r="J55" s="73"/>
      <c r="K55" s="74"/>
      <c r="L55" s="75"/>
      <c r="M55" s="76"/>
      <c r="N55" s="2225"/>
      <c r="O55" s="2225"/>
      <c r="P55" s="205"/>
      <c r="Q55" s="703"/>
    </row>
    <row r="56" spans="1:17" ht="15.75" thickBot="1">
      <c r="A56" s="734"/>
      <c r="B56" s="916"/>
      <c r="C56" s="762"/>
      <c r="D56" s="736"/>
      <c r="E56" s="736"/>
      <c r="F56" s="736"/>
      <c r="G56" s="736"/>
      <c r="H56" s="736"/>
      <c r="I56" s="736"/>
      <c r="J56" s="736"/>
      <c r="K56" s="736"/>
      <c r="L56" s="736"/>
      <c r="M56" s="737"/>
      <c r="N56" s="2226"/>
      <c r="O56" s="2226"/>
      <c r="P56" s="205"/>
      <c r="Q56" s="703"/>
    </row>
    <row r="57" spans="1:17" s="670" customFormat="1" ht="15.75" thickTop="1">
      <c r="A57" s="754"/>
      <c r="B57" s="917">
        <f>B12</f>
        <v>111</v>
      </c>
      <c r="C57" s="73"/>
      <c r="D57" s="73"/>
      <c r="E57" s="73"/>
      <c r="F57" s="73"/>
      <c r="G57" s="86"/>
      <c r="H57" s="922"/>
      <c r="I57" s="922"/>
      <c r="J57" s="922"/>
      <c r="K57" s="922"/>
      <c r="L57" s="923"/>
      <c r="M57" s="924"/>
      <c r="N57" s="2227"/>
      <c r="O57" s="2227"/>
      <c r="P57" s="760"/>
      <c r="Q57" s="761"/>
    </row>
    <row r="58" spans="1:17" s="670" customFormat="1" ht="15.75" thickBot="1">
      <c r="A58" s="754"/>
      <c r="B58" s="918"/>
      <c r="C58" s="762"/>
      <c r="D58" s="736"/>
      <c r="E58" s="736"/>
      <c r="F58" s="736"/>
      <c r="G58" s="736"/>
      <c r="H58" s="736"/>
      <c r="I58" s="736"/>
      <c r="J58" s="736"/>
      <c r="K58" s="736"/>
      <c r="L58" s="736"/>
      <c r="M58" s="737"/>
      <c r="N58" s="2226"/>
      <c r="O58" s="2226"/>
      <c r="P58" s="760"/>
      <c r="Q58" s="761"/>
    </row>
    <row r="59" spans="1:17" s="670" customFormat="1" ht="15.75" thickTop="1">
      <c r="A59" s="754"/>
      <c r="B59" s="917">
        <f>B13</f>
        <v>111</v>
      </c>
      <c r="C59" s="73"/>
      <c r="D59" s="73"/>
      <c r="E59" s="73"/>
      <c r="F59" s="73"/>
      <c r="G59" s="86"/>
      <c r="H59" s="922"/>
      <c r="I59" s="922"/>
      <c r="J59" s="922"/>
      <c r="K59" s="922"/>
      <c r="L59" s="923"/>
      <c r="M59" s="924"/>
      <c r="N59" s="2227"/>
      <c r="O59" s="2227"/>
      <c r="P59" s="669"/>
      <c r="Q59" s="763"/>
    </row>
    <row r="60" spans="1:17" s="670" customFormat="1" ht="15.75" thickBot="1">
      <c r="A60" s="754"/>
      <c r="B60" s="918"/>
      <c r="C60" s="762"/>
      <c r="D60" s="762"/>
      <c r="E60" s="762"/>
      <c r="F60" s="762"/>
      <c r="G60" s="762"/>
      <c r="H60" s="764"/>
      <c r="I60" s="764"/>
      <c r="J60" s="764"/>
      <c r="K60" s="764"/>
      <c r="L60" s="764"/>
      <c r="M60" s="765"/>
      <c r="N60" s="2227"/>
      <c r="O60" s="2227"/>
      <c r="P60" s="760"/>
      <c r="Q60" s="761"/>
    </row>
    <row r="61" spans="1:17" ht="15" thickTop="1">
      <c r="A61" s="726" t="s">
        <v>418</v>
      </c>
      <c r="B61" s="727" t="s">
        <v>442</v>
      </c>
      <c r="C61" s="775" t="s">
        <v>437</v>
      </c>
      <c r="D61" s="775" t="s">
        <v>438</v>
      </c>
      <c r="E61" s="775" t="s">
        <v>439</v>
      </c>
      <c r="F61" s="775" t="s">
        <v>440</v>
      </c>
      <c r="G61" s="775" t="s">
        <v>441</v>
      </c>
      <c r="H61" s="728"/>
      <c r="I61" s="728"/>
      <c r="J61" s="728"/>
      <c r="K61" s="776"/>
      <c r="L61" s="777"/>
      <c r="M61" s="778"/>
      <c r="N61" s="2225"/>
      <c r="O61" s="2225"/>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6"/>
      <c r="O62" s="2226"/>
      <c r="P62" s="205"/>
      <c r="Q62" s="703"/>
    </row>
    <row r="63" spans="1:17" ht="15.75" thickTop="1">
      <c r="A63" s="734"/>
      <c r="B63" s="917" t="s">
        <v>2530</v>
      </c>
      <c r="C63" s="780" t="s">
        <v>437</v>
      </c>
      <c r="D63" s="780" t="s">
        <v>438</v>
      </c>
      <c r="E63" s="780" t="s">
        <v>439</v>
      </c>
      <c r="F63" s="780" t="s">
        <v>440</v>
      </c>
      <c r="G63" s="780" t="s">
        <v>441</v>
      </c>
      <c r="H63" s="740"/>
      <c r="I63" s="740"/>
      <c r="J63" s="740"/>
      <c r="K63" s="741"/>
      <c r="L63" s="742"/>
      <c r="M63" s="743"/>
      <c r="N63" s="2225"/>
      <c r="O63" s="2225"/>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6"/>
      <c r="O64" s="2226"/>
      <c r="P64" s="205"/>
      <c r="Q64" s="703"/>
    </row>
    <row r="65" spans="1:17" ht="15.75" thickTop="1">
      <c r="A65" s="734"/>
      <c r="B65" s="919" t="s">
        <v>2545</v>
      </c>
      <c r="C65" s="129" t="s">
        <v>2534</v>
      </c>
      <c r="D65" s="129" t="s">
        <v>2535</v>
      </c>
      <c r="E65" s="129" t="s">
        <v>2536</v>
      </c>
      <c r="F65" s="129" t="s">
        <v>2537</v>
      </c>
      <c r="G65" s="129" t="s">
        <v>2538</v>
      </c>
      <c r="H65" s="740"/>
      <c r="I65" s="740"/>
      <c r="J65" s="740"/>
      <c r="K65" s="740"/>
      <c r="L65" s="740"/>
      <c r="M65" s="2555"/>
      <c r="N65" s="2226"/>
      <c r="O65" s="2226"/>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6"/>
      <c r="O66" s="2226"/>
      <c r="P66" s="205"/>
      <c r="Q66" s="703"/>
    </row>
    <row r="67" spans="1:17" ht="15.75" thickTop="1">
      <c r="A67" s="734"/>
      <c r="B67" s="739" t="s">
        <v>443</v>
      </c>
      <c r="C67" s="780" t="s">
        <v>437</v>
      </c>
      <c r="D67" s="780" t="s">
        <v>438</v>
      </c>
      <c r="E67" s="780" t="s">
        <v>439</v>
      </c>
      <c r="F67" s="780" t="s">
        <v>440</v>
      </c>
      <c r="G67" s="780" t="s">
        <v>441</v>
      </c>
      <c r="H67" s="740"/>
      <c r="I67" s="740"/>
      <c r="J67" s="740"/>
      <c r="K67" s="741"/>
      <c r="L67" s="742"/>
      <c r="M67" s="743"/>
      <c r="N67" s="2225"/>
      <c r="O67" s="2225"/>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6"/>
      <c r="O68" s="2226"/>
      <c r="P68" s="205"/>
      <c r="Q68" s="703"/>
    </row>
    <row r="69" spans="1:17" ht="15.75" thickTop="1">
      <c r="A69" s="734"/>
      <c r="B69" s="739" t="s">
        <v>444</v>
      </c>
      <c r="C69" s="86"/>
      <c r="D69" s="86"/>
      <c r="E69" s="86"/>
      <c r="F69" s="86"/>
      <c r="G69" s="86"/>
      <c r="H69" s="78"/>
      <c r="I69" s="78"/>
      <c r="J69" s="78"/>
      <c r="K69" s="79"/>
      <c r="L69" s="80"/>
      <c r="M69" s="81"/>
      <c r="N69" s="2225"/>
      <c r="O69" s="2225"/>
      <c r="P69" s="205"/>
      <c r="Q69" s="703"/>
    </row>
    <row r="70" spans="1:17" ht="15.75" thickBot="1">
      <c r="A70" s="734"/>
      <c r="B70" s="744"/>
      <c r="C70" s="745">
        <v>100</v>
      </c>
      <c r="D70" s="745">
        <f>C70-$K22</f>
        <v>100</v>
      </c>
      <c r="E70" s="745"/>
      <c r="F70" s="745"/>
      <c r="G70" s="745"/>
      <c r="H70" s="745"/>
      <c r="I70" s="745"/>
      <c r="J70" s="745"/>
      <c r="K70" s="745"/>
      <c r="L70" s="745"/>
      <c r="M70" s="746"/>
      <c r="N70" s="2226"/>
      <c r="O70" s="2226"/>
      <c r="P70" s="205"/>
      <c r="Q70" s="703"/>
    </row>
    <row r="71" spans="1:17" s="218" customFormat="1" ht="15.75" thickTop="1">
      <c r="A71" s="781"/>
      <c r="B71" s="917">
        <f>B23</f>
        <v>111</v>
      </c>
      <c r="C71" s="73"/>
      <c r="D71" s="73"/>
      <c r="E71" s="73"/>
      <c r="F71" s="73"/>
      <c r="G71" s="86"/>
      <c r="H71" s="86"/>
      <c r="I71" s="86"/>
      <c r="J71" s="86"/>
      <c r="K71" s="86"/>
      <c r="L71" s="1179"/>
      <c r="M71" s="1180"/>
      <c r="N71" s="2224"/>
      <c r="O71" s="2224"/>
      <c r="P71" s="205"/>
      <c r="Q71" s="703"/>
    </row>
    <row r="72" spans="1:17" s="218" customFormat="1" ht="15.75" thickBot="1">
      <c r="A72" s="781"/>
      <c r="B72" s="918"/>
      <c r="C72" s="762"/>
      <c r="D72" s="736"/>
      <c r="E72" s="736"/>
      <c r="F72" s="736"/>
      <c r="G72" s="736"/>
      <c r="H72" s="736"/>
      <c r="I72" s="736"/>
      <c r="J72" s="736"/>
      <c r="K72" s="736"/>
      <c r="L72" s="736"/>
      <c r="M72" s="737"/>
      <c r="N72" s="2226"/>
      <c r="O72" s="2226"/>
      <c r="P72" s="205"/>
      <c r="Q72" s="703"/>
    </row>
    <row r="73" spans="1:17" s="218" customFormat="1" ht="15.75" thickTop="1">
      <c r="A73" s="781"/>
      <c r="B73" s="917">
        <f>B24</f>
        <v>111</v>
      </c>
      <c r="C73" s="73"/>
      <c r="D73" s="73"/>
      <c r="E73" s="73"/>
      <c r="F73" s="73"/>
      <c r="G73" s="86"/>
      <c r="H73" s="86"/>
      <c r="I73" s="86"/>
      <c r="J73" s="86"/>
      <c r="K73" s="86"/>
      <c r="L73" s="86"/>
      <c r="M73" s="1180"/>
      <c r="N73" s="2224"/>
      <c r="O73" s="2224"/>
      <c r="P73" s="205"/>
      <c r="Q73" s="703"/>
    </row>
    <row r="74" spans="1:17" s="218" customFormat="1" ht="15.75" thickBot="1">
      <c r="A74" s="781"/>
      <c r="B74" s="918"/>
      <c r="C74" s="762"/>
      <c r="D74" s="736"/>
      <c r="E74" s="736"/>
      <c r="F74" s="736"/>
      <c r="G74" s="736"/>
      <c r="H74" s="736"/>
      <c r="I74" s="736"/>
      <c r="J74" s="736"/>
      <c r="K74" s="736"/>
      <c r="L74" s="736"/>
      <c r="M74" s="737"/>
      <c r="N74" s="2226"/>
      <c r="O74" s="2226"/>
      <c r="P74" s="205"/>
      <c r="Q74" s="703"/>
    </row>
    <row r="75" spans="1:17" s="670" customFormat="1" ht="15.75" thickTop="1">
      <c r="A75" s="754"/>
      <c r="B75" s="917">
        <f>B25</f>
        <v>111</v>
      </c>
      <c r="C75" s="73"/>
      <c r="D75" s="73"/>
      <c r="E75" s="73"/>
      <c r="F75" s="73"/>
      <c r="G75" s="86"/>
      <c r="H75" s="922"/>
      <c r="I75" s="922"/>
      <c r="J75" s="922"/>
      <c r="K75" s="922"/>
      <c r="L75" s="923"/>
      <c r="M75" s="924"/>
      <c r="N75" s="2227"/>
      <c r="O75" s="2227"/>
      <c r="P75" s="760"/>
      <c r="Q75" s="761"/>
    </row>
    <row r="76" spans="1:17" s="670" customFormat="1" ht="15.75" thickBot="1">
      <c r="A76" s="754"/>
      <c r="B76" s="918"/>
      <c r="C76" s="762"/>
      <c r="D76" s="762"/>
      <c r="E76" s="762"/>
      <c r="F76" s="762"/>
      <c r="G76" s="736"/>
      <c r="H76" s="736"/>
      <c r="I76" s="736"/>
      <c r="J76" s="736"/>
      <c r="K76" s="736"/>
      <c r="L76" s="736"/>
      <c r="M76" s="737"/>
      <c r="N76" s="2227"/>
      <c r="O76" s="2227"/>
      <c r="P76" s="760"/>
      <c r="Q76" s="761"/>
    </row>
    <row r="77" spans="1:17" ht="15" thickTop="1">
      <c r="A77" s="726" t="s">
        <v>420</v>
      </c>
      <c r="B77" s="727" t="s">
        <v>445</v>
      </c>
      <c r="C77" s="86"/>
      <c r="D77" s="86"/>
      <c r="E77" s="69"/>
      <c r="F77" s="69"/>
      <c r="G77" s="69"/>
      <c r="H77" s="69"/>
      <c r="I77" s="69"/>
      <c r="J77" s="69"/>
      <c r="K77" s="70"/>
      <c r="L77" s="71"/>
      <c r="M77" s="72"/>
      <c r="N77" s="2225"/>
      <c r="O77" s="2225"/>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6"/>
      <c r="O78" s="2226"/>
      <c r="P78" s="205"/>
      <c r="Q78" s="703"/>
    </row>
    <row r="79" spans="1:17" ht="15.75" thickTop="1">
      <c r="A79" s="734"/>
      <c r="B79" s="739" t="s">
        <v>479</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4"/>
      <c r="O79" s="2224"/>
      <c r="P79" s="205"/>
      <c r="Q79" s="703"/>
    </row>
    <row r="80" spans="1:17" ht="15">
      <c r="A80" s="734"/>
      <c r="B80" s="747"/>
      <c r="C80" s="805">
        <v>0.5</v>
      </c>
      <c r="D80" s="805">
        <v>0.6</v>
      </c>
      <c r="E80" s="805">
        <v>0.7</v>
      </c>
      <c r="F80" s="805">
        <v>0.8</v>
      </c>
      <c r="G80" s="805">
        <v>0.9</v>
      </c>
      <c r="H80" s="805">
        <v>1</v>
      </c>
      <c r="I80" s="861"/>
      <c r="J80" s="861"/>
      <c r="K80" s="869"/>
      <c r="L80" s="870"/>
      <c r="M80" s="871"/>
      <c r="N80" s="2224"/>
      <c r="O80" s="2224"/>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6"/>
      <c r="O81" s="2226"/>
      <c r="P81" s="760"/>
      <c r="Q81" s="761"/>
    </row>
    <row r="82" spans="1:17" ht="15" thickTop="1">
      <c r="A82" s="801"/>
      <c r="B82" s="747" t="s">
        <v>480</v>
      </c>
      <c r="C82" s="86"/>
      <c r="D82" s="86"/>
      <c r="E82" s="78"/>
      <c r="F82" s="78"/>
      <c r="G82" s="78"/>
      <c r="H82" s="78"/>
      <c r="I82" s="78"/>
      <c r="J82" s="78"/>
      <c r="K82" s="79"/>
      <c r="L82" s="80"/>
      <c r="M82" s="81"/>
      <c r="N82" s="2225"/>
      <c r="O82" s="2225"/>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6"/>
      <c r="O83" s="2226"/>
      <c r="P83" s="205"/>
      <c r="Q83" s="703"/>
    </row>
    <row r="84" spans="1:17" ht="15" thickTop="1">
      <c r="A84" s="801"/>
      <c r="B84" s="739" t="s">
        <v>488</v>
      </c>
      <c r="C84" s="86"/>
      <c r="D84" s="86"/>
      <c r="E84" s="86"/>
      <c r="F84" s="86"/>
      <c r="G84" s="86"/>
      <c r="H84" s="86"/>
      <c r="I84" s="78"/>
      <c r="J84" s="78"/>
      <c r="K84" s="79"/>
      <c r="L84" s="80"/>
      <c r="M84" s="81"/>
      <c r="N84" s="2225"/>
      <c r="O84" s="2225"/>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6"/>
      <c r="O85" s="2226"/>
      <c r="P85" s="205"/>
      <c r="Q85" s="703"/>
    </row>
    <row r="86" spans="1:17" ht="15" thickTop="1">
      <c r="A86" s="801"/>
      <c r="B86" s="747" t="s">
        <v>489</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5"/>
      <c r="O86" s="2225"/>
      <c r="P86" s="205"/>
      <c r="Q86" s="703"/>
    </row>
    <row r="87" spans="1:17">
      <c r="A87" s="801"/>
      <c r="B87" s="747"/>
      <c r="C87" s="797"/>
      <c r="D87" s="797"/>
      <c r="E87" s="797"/>
      <c r="F87" s="797"/>
      <c r="G87" s="797"/>
      <c r="H87" s="797"/>
      <c r="I87" s="797"/>
      <c r="J87" s="798"/>
      <c r="K87" s="798"/>
      <c r="L87" s="799"/>
      <c r="M87" s="800"/>
      <c r="N87" s="2225"/>
      <c r="O87" s="2225"/>
      <c r="P87" s="205"/>
      <c r="Q87" s="703"/>
    </row>
    <row r="88" spans="1:17" ht="15.75" thickBot="1">
      <c r="A88" s="734"/>
      <c r="B88" s="744"/>
      <c r="C88" s="762"/>
      <c r="D88" s="736"/>
      <c r="E88" s="736"/>
      <c r="F88" s="736"/>
      <c r="G88" s="736"/>
      <c r="H88" s="736"/>
      <c r="I88" s="736"/>
      <c r="J88" s="736"/>
      <c r="K88" s="736"/>
      <c r="L88" s="736"/>
      <c r="M88" s="736"/>
      <c r="N88" s="2226"/>
      <c r="O88" s="2226"/>
      <c r="P88" s="205"/>
      <c r="Q88" s="703"/>
    </row>
    <row r="89" spans="1:17" s="670" customFormat="1" ht="15" thickTop="1">
      <c r="A89" s="795"/>
      <c r="B89" s="739" t="s">
        <v>490</v>
      </c>
      <c r="C89" s="86"/>
      <c r="D89" s="86"/>
      <c r="E89" s="86"/>
      <c r="F89" s="86"/>
      <c r="G89" s="86"/>
      <c r="H89" s="86"/>
      <c r="I89" s="86"/>
      <c r="J89" s="86"/>
      <c r="K89" s="86"/>
      <c r="L89" s="86"/>
      <c r="M89" s="1180"/>
      <c r="N89" s="2227"/>
      <c r="O89" s="2227"/>
      <c r="P89" s="760"/>
      <c r="Q89" s="761"/>
    </row>
    <row r="90" spans="1:17" s="670" customFormat="1" ht="15.75" thickBot="1">
      <c r="A90" s="754"/>
      <c r="B90" s="744"/>
      <c r="C90" s="762"/>
      <c r="D90" s="736"/>
      <c r="E90" s="736"/>
      <c r="F90" s="736"/>
      <c r="G90" s="736"/>
      <c r="H90" s="736"/>
      <c r="I90" s="736"/>
      <c r="J90" s="736"/>
      <c r="K90" s="736"/>
      <c r="L90" s="736"/>
      <c r="M90" s="737"/>
      <c r="N90" s="2227"/>
      <c r="O90" s="2227"/>
      <c r="P90" s="760"/>
      <c r="Q90" s="761"/>
    </row>
    <row r="91" spans="1:17" ht="15" thickTop="1">
      <c r="A91" s="801"/>
      <c r="B91" s="917">
        <f>B32</f>
        <v>111</v>
      </c>
      <c r="C91" s="73"/>
      <c r="D91" s="73"/>
      <c r="E91" s="73"/>
      <c r="F91" s="73"/>
      <c r="G91" s="86"/>
      <c r="H91" s="922"/>
      <c r="I91" s="922"/>
      <c r="J91" s="922"/>
      <c r="K91" s="922"/>
      <c r="L91" s="923"/>
      <c r="M91" s="924"/>
      <c r="N91" s="2225"/>
      <c r="O91" s="2225"/>
      <c r="P91" s="205"/>
      <c r="Q91" s="703"/>
    </row>
    <row r="92" spans="1:17" ht="15.75" thickBot="1">
      <c r="A92" s="734"/>
      <c r="B92" s="918"/>
      <c r="C92" s="762"/>
      <c r="D92" s="736"/>
      <c r="E92" s="736"/>
      <c r="F92" s="736"/>
      <c r="G92" s="762"/>
      <c r="H92" s="764"/>
      <c r="I92" s="764"/>
      <c r="J92" s="764"/>
      <c r="K92" s="764"/>
      <c r="L92" s="764"/>
      <c r="M92" s="765"/>
      <c r="N92" s="2226"/>
      <c r="O92" s="2226"/>
      <c r="P92" s="205"/>
      <c r="Q92" s="703"/>
    </row>
    <row r="93" spans="1:17" ht="15" thickTop="1">
      <c r="A93" s="801"/>
      <c r="B93" s="917">
        <f>B33</f>
        <v>111</v>
      </c>
      <c r="C93" s="73"/>
      <c r="D93" s="73"/>
      <c r="E93" s="73"/>
      <c r="F93" s="73"/>
      <c r="G93" s="86"/>
      <c r="H93" s="922"/>
      <c r="I93" s="922"/>
      <c r="J93" s="922"/>
      <c r="K93" s="922"/>
      <c r="L93" s="923"/>
      <c r="M93" s="924"/>
      <c r="N93" s="2225"/>
      <c r="O93" s="2225"/>
      <c r="P93" s="205"/>
      <c r="Q93" s="703"/>
    </row>
    <row r="94" spans="1:17" ht="15.75" thickBot="1">
      <c r="A94" s="734"/>
      <c r="B94" s="918"/>
      <c r="C94" s="762"/>
      <c r="D94" s="736"/>
      <c r="E94" s="736"/>
      <c r="F94" s="736"/>
      <c r="G94" s="762"/>
      <c r="H94" s="764"/>
      <c r="I94" s="764"/>
      <c r="J94" s="764"/>
      <c r="K94" s="764"/>
      <c r="L94" s="764"/>
      <c r="M94" s="765"/>
      <c r="N94" s="2226"/>
      <c r="O94" s="2226"/>
      <c r="P94" s="205"/>
      <c r="Q94" s="703"/>
    </row>
    <row r="95" spans="1:17" ht="15" thickTop="1">
      <c r="A95" s="801"/>
      <c r="B95" s="163">
        <f>B34</f>
        <v>111</v>
      </c>
      <c r="C95" s="73"/>
      <c r="D95" s="73"/>
      <c r="E95" s="73"/>
      <c r="F95" s="73"/>
      <c r="G95" s="86"/>
      <c r="H95" s="922"/>
      <c r="I95" s="922"/>
      <c r="J95" s="922"/>
      <c r="K95" s="922"/>
      <c r="L95" s="923"/>
      <c r="M95" s="924"/>
      <c r="N95" s="2226"/>
      <c r="O95" s="2226"/>
      <c r="P95" s="839"/>
      <c r="Q95" s="840"/>
    </row>
    <row r="96" spans="1:17" ht="15.75" thickBot="1">
      <c r="A96" s="734"/>
      <c r="B96" s="918"/>
      <c r="C96" s="762"/>
      <c r="D96" s="762"/>
      <c r="E96" s="762"/>
      <c r="F96" s="762"/>
      <c r="G96" s="762"/>
      <c r="H96" s="764"/>
      <c r="I96" s="764"/>
      <c r="J96" s="764"/>
      <c r="K96" s="764"/>
      <c r="L96" s="764"/>
      <c r="M96" s="765"/>
      <c r="N96" s="2226"/>
      <c r="O96" s="2226"/>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491</v>
      </c>
      <c r="B1" s="592"/>
      <c r="C1" s="593" t="s">
        <v>527</v>
      </c>
      <c r="D1" s="1094"/>
      <c r="E1" s="1094"/>
      <c r="F1" s="1093" t="s">
        <v>401</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357</v>
      </c>
      <c r="B2" s="942" t="e">
        <f>F61</f>
        <v>#DIV/0!</v>
      </c>
      <c r="C2" s="1969" t="s">
        <v>2197</v>
      </c>
      <c r="D2" s="1639"/>
      <c r="E2" s="1639"/>
      <c r="F2" s="1640"/>
      <c r="G2" s="1639"/>
      <c r="H2" s="1639"/>
      <c r="I2" s="1639"/>
      <c r="J2" s="1639"/>
      <c r="K2" s="1641"/>
      <c r="L2" s="2199"/>
      <c r="M2" s="2200"/>
      <c r="N2" s="2200"/>
      <c r="O2" s="2200"/>
      <c r="P2" s="1107"/>
      <c r="Q2" s="1107"/>
      <c r="R2" s="1107"/>
      <c r="S2" s="1107"/>
      <c r="T2" s="1107"/>
      <c r="U2" s="1107"/>
      <c r="V2" s="1107"/>
      <c r="W2" s="1107"/>
      <c r="X2" s="1107"/>
      <c r="Y2" s="1107"/>
      <c r="Z2" s="1107"/>
      <c r="AA2" s="1107"/>
      <c r="AB2" s="1107"/>
      <c r="AC2" s="1108"/>
    </row>
    <row r="3" spans="1:29" s="595" customFormat="1" ht="28.5" customHeight="1" thickBot="1">
      <c r="A3" s="384" t="s">
        <v>358</v>
      </c>
      <c r="B3" s="811" t="e">
        <f>ROUND(B2/'数据-取费表'!B5,0)</f>
        <v>#DIV/0!</v>
      </c>
      <c r="C3" s="1092" t="s">
        <v>2198</v>
      </c>
      <c r="D3" s="1639"/>
      <c r="E3" s="1639"/>
      <c r="F3" s="1640"/>
      <c r="G3" s="1639"/>
      <c r="H3" s="1639"/>
      <c r="I3" s="1639"/>
      <c r="J3" s="1639"/>
      <c r="K3" s="1641"/>
      <c r="L3" s="2199"/>
      <c r="M3" s="2200"/>
      <c r="N3" s="2200"/>
      <c r="O3" s="2200"/>
      <c r="P3" s="1107"/>
      <c r="Q3" s="1107"/>
      <c r="R3" s="1107"/>
      <c r="S3" s="1107"/>
      <c r="T3" s="1107"/>
      <c r="U3" s="1107"/>
      <c r="V3" s="1107"/>
      <c r="W3" s="1107"/>
      <c r="X3" s="1107"/>
      <c r="Y3" s="1107"/>
      <c r="Z3" s="1107"/>
      <c r="AA3" s="1107"/>
      <c r="AB3" s="1202"/>
      <c r="AC3" s="1191"/>
    </row>
    <row r="4" spans="1:29" ht="15">
      <c r="A4" s="598" t="s">
        <v>402</v>
      </c>
      <c r="B4" s="599"/>
      <c r="C4" s="3560" t="s">
        <v>403</v>
      </c>
      <c r="D4" s="3561"/>
      <c r="E4" s="3562" t="s">
        <v>404</v>
      </c>
      <c r="F4" s="3563"/>
      <c r="G4" s="3560" t="s">
        <v>405</v>
      </c>
      <c r="H4" s="3561"/>
      <c r="I4" s="3560" t="s">
        <v>406</v>
      </c>
      <c r="J4" s="3561"/>
      <c r="K4" s="812" t="s">
        <v>407</v>
      </c>
      <c r="L4" s="2201"/>
      <c r="M4" s="2202"/>
      <c r="N4" s="2202"/>
      <c r="O4" s="2202"/>
      <c r="P4" s="3564" t="s">
        <v>408</v>
      </c>
      <c r="Q4" s="3565"/>
      <c r="R4" s="3548" t="s">
        <v>404</v>
      </c>
      <c r="S4" s="3549"/>
      <c r="T4" s="3548" t="s">
        <v>405</v>
      </c>
      <c r="U4" s="3549"/>
      <c r="V4" s="3545" t="s">
        <v>406</v>
      </c>
      <c r="W4" s="3545"/>
      <c r="X4" s="1109"/>
      <c r="Y4" s="3548" t="s">
        <v>408</v>
      </c>
      <c r="Z4" s="3549"/>
      <c r="AA4" s="3557" t="s">
        <v>404</v>
      </c>
      <c r="AB4" s="3558" t="s">
        <v>405</v>
      </c>
      <c r="AC4" s="3557" t="s">
        <v>406</v>
      </c>
    </row>
    <row r="5" spans="1:29" ht="15">
      <c r="A5" s="601"/>
      <c r="B5" s="602"/>
      <c r="C5" s="3485" t="s">
        <v>1033</v>
      </c>
      <c r="D5" s="3486"/>
      <c r="E5" s="3511" t="s">
        <v>1034</v>
      </c>
      <c r="F5" s="3512"/>
      <c r="G5" s="3485" t="s">
        <v>1037</v>
      </c>
      <c r="H5" s="3486"/>
      <c r="I5" s="3485" t="s">
        <v>1035</v>
      </c>
      <c r="J5" s="3486"/>
      <c r="K5" s="812"/>
      <c r="L5" s="2201"/>
      <c r="M5" s="2202"/>
      <c r="N5" s="2202"/>
      <c r="O5" s="2202"/>
      <c r="P5" s="3566"/>
      <c r="Q5" s="3567"/>
      <c r="R5" s="3550"/>
      <c r="S5" s="3551"/>
      <c r="T5" s="3550"/>
      <c r="U5" s="3551"/>
      <c r="V5" s="3545"/>
      <c r="W5" s="3545"/>
      <c r="X5" s="1109"/>
      <c r="Y5" s="3550"/>
      <c r="Z5" s="3551"/>
      <c r="AA5" s="3558"/>
      <c r="AB5" s="3558"/>
      <c r="AC5" s="3558"/>
    </row>
    <row r="6" spans="1:29" ht="15.75" thickBot="1">
      <c r="A6" s="603"/>
      <c r="B6" s="604"/>
      <c r="C6" s="3483" t="s">
        <v>1036</v>
      </c>
      <c r="D6" s="3484"/>
      <c r="E6" s="3513" t="s">
        <v>1036</v>
      </c>
      <c r="F6" s="3514"/>
      <c r="G6" s="3483" t="s">
        <v>1036</v>
      </c>
      <c r="H6" s="3484"/>
      <c r="I6" s="3483" t="s">
        <v>1036</v>
      </c>
      <c r="J6" s="3484"/>
      <c r="K6" s="812" t="s">
        <v>409</v>
      </c>
      <c r="L6" s="2201"/>
      <c r="M6" s="2202"/>
      <c r="N6" s="2202"/>
      <c r="O6" s="2202"/>
      <c r="P6" s="3568"/>
      <c r="Q6" s="3569"/>
      <c r="R6" s="3550"/>
      <c r="S6" s="3551"/>
      <c r="T6" s="3552"/>
      <c r="U6" s="3553"/>
      <c r="V6" s="3545"/>
      <c r="W6" s="3545"/>
      <c r="X6" s="1109"/>
      <c r="Y6" s="3552"/>
      <c r="Z6" s="3553"/>
      <c r="AA6" s="3559"/>
      <c r="AB6" s="3559"/>
      <c r="AC6" s="3559"/>
    </row>
    <row r="7" spans="1:29" s="218" customFormat="1" ht="15.75" thickBot="1">
      <c r="A7" s="605" t="s">
        <v>410</v>
      </c>
      <c r="B7" s="606"/>
      <c r="C7" s="607">
        <f>'数据-取费表'!B2</f>
        <v>42916</v>
      </c>
      <c r="D7" s="608">
        <v>100</v>
      </c>
      <c r="E7" s="875"/>
      <c r="F7" s="610">
        <f>SUMIF(65:65,YEAR(E7)&amp;"-"&amp;INT((MONTH(E7)+2)/3),66:66)</f>
        <v>0</v>
      </c>
      <c r="G7" s="876"/>
      <c r="H7" s="608">
        <f>SUMIF(65:65,YEAR(G7)&amp;"-"&amp;INT((MONTH(G7)+2)/3),66:66)</f>
        <v>0</v>
      </c>
      <c r="I7" s="876"/>
      <c r="J7" s="608">
        <f>SUMIF(65:65,YEAR(I7)&amp;"-"&amp;INT((MONTH(I7)+2)/3),66:66)</f>
        <v>0</v>
      </c>
      <c r="K7" s="813"/>
      <c r="L7" s="2203"/>
      <c r="M7" s="2204"/>
      <c r="N7" s="2204"/>
      <c r="O7" s="2204"/>
      <c r="P7" s="3546" t="s">
        <v>411</v>
      </c>
      <c r="Q7" s="3554"/>
      <c r="R7" s="1110" t="s">
        <v>60</v>
      </c>
      <c r="S7" s="1111">
        <f t="shared" ref="S7:S15" si="0">F7</f>
        <v>0</v>
      </c>
      <c r="T7" s="1110" t="s">
        <v>60</v>
      </c>
      <c r="U7" s="1111">
        <f t="shared" ref="U7:U15" si="1">H7</f>
        <v>0</v>
      </c>
      <c r="V7" s="1110" t="s">
        <v>60</v>
      </c>
      <c r="W7" s="1111">
        <f t="shared" ref="W7:W15" si="2">J7</f>
        <v>0</v>
      </c>
      <c r="X7" s="1112"/>
      <c r="Y7" s="3546" t="s">
        <v>411</v>
      </c>
      <c r="Z7" s="3547"/>
      <c r="AA7" s="1113" t="e">
        <f>D7/F7</f>
        <v>#DIV/0!</v>
      </c>
      <c r="AB7" s="1113" t="e">
        <f>D7/H7</f>
        <v>#DIV/0!</v>
      </c>
      <c r="AC7" s="1113" t="e">
        <f>D7/J7</f>
        <v>#DIV/0!</v>
      </c>
    </row>
    <row r="8" spans="1:29" s="218" customFormat="1" ht="15.75" thickBot="1">
      <c r="A8" s="605" t="s">
        <v>412</v>
      </c>
      <c r="B8" s="606"/>
      <c r="C8" s="878" t="s">
        <v>156</v>
      </c>
      <c r="D8" s="608">
        <v>100</v>
      </c>
      <c r="E8" s="878"/>
      <c r="F8" s="610">
        <f>SUMIF(68:68,E8,69:69)-SUMIF(68:68,C8,69:69)+100</f>
        <v>0</v>
      </c>
      <c r="G8" s="878"/>
      <c r="H8" s="608">
        <f>SUMIF(68:68,G8,69:69)-SUMIF(68:68,C8,69:69)+100</f>
        <v>0</v>
      </c>
      <c r="I8" s="878"/>
      <c r="J8" s="608">
        <f>SUMIF(68:68,I8,69:69)-SUMIF(68:68,C8,69:69)+100</f>
        <v>0</v>
      </c>
      <c r="K8" s="813"/>
      <c r="L8" s="2203"/>
      <c r="M8" s="2204"/>
      <c r="N8" s="2204"/>
      <c r="O8" s="2204"/>
      <c r="P8" s="3546" t="s">
        <v>446</v>
      </c>
      <c r="Q8" s="3547"/>
      <c r="R8" s="1110" t="s">
        <v>60</v>
      </c>
      <c r="S8" s="1111">
        <f t="shared" si="0"/>
        <v>0</v>
      </c>
      <c r="T8" s="1110" t="s">
        <v>60</v>
      </c>
      <c r="U8" s="1111">
        <f t="shared" si="1"/>
        <v>0</v>
      </c>
      <c r="V8" s="1110" t="s">
        <v>60</v>
      </c>
      <c r="W8" s="1111">
        <f t="shared" si="2"/>
        <v>0</v>
      </c>
      <c r="X8" s="1112"/>
      <c r="Y8" s="3546" t="s">
        <v>446</v>
      </c>
      <c r="Z8" s="3547"/>
      <c r="AA8" s="1113" t="e">
        <f t="shared" ref="AA8:AA40" si="3">D8/F8</f>
        <v>#DIV/0!</v>
      </c>
      <c r="AB8" s="1113" t="e">
        <f t="shared" ref="AB8:AB40" si="4">D8/H8</f>
        <v>#DIV/0!</v>
      </c>
      <c r="AC8" s="1113" t="e">
        <f t="shared" ref="AC8:AC40" si="5">D8/J8</f>
        <v>#DIV/0!</v>
      </c>
    </row>
    <row r="9" spans="1:29" s="218" customFormat="1">
      <c r="A9" s="613" t="s">
        <v>413</v>
      </c>
      <c r="B9" s="211" t="s">
        <v>431</v>
      </c>
      <c r="C9" s="880" t="s">
        <v>24</v>
      </c>
      <c r="D9" s="234">
        <v>100</v>
      </c>
      <c r="E9" s="880"/>
      <c r="F9" s="234">
        <f>SUMIF(70:70,E9,71:71)-SUMIF(70:70,C9,71:71)+100</f>
        <v>100</v>
      </c>
      <c r="G9" s="880"/>
      <c r="H9" s="234">
        <f>SUMIF(70:70,G9,71:71)-SUMIF(70:70,C9,71:71)+100</f>
        <v>100</v>
      </c>
      <c r="I9" s="880"/>
      <c r="J9" s="234">
        <f>SUMIF(70:70,I9,71:71)-SUMIF(70:70,C9,71:71)+100</f>
        <v>100</v>
      </c>
      <c r="K9" s="813"/>
      <c r="L9" s="2203"/>
      <c r="M9" s="2204"/>
      <c r="N9" s="2204"/>
      <c r="O9" s="2205"/>
      <c r="P9" s="3538" t="s">
        <v>414</v>
      </c>
      <c r="Q9" s="192" t="str">
        <f t="shared" ref="Q9:Q15" si="6">B9</f>
        <v>用途</v>
      </c>
      <c r="R9" s="1110" t="s">
        <v>60</v>
      </c>
      <c r="S9" s="1111">
        <f t="shared" si="0"/>
        <v>100</v>
      </c>
      <c r="T9" s="1110" t="s">
        <v>60</v>
      </c>
      <c r="U9" s="1111">
        <f t="shared" si="1"/>
        <v>100</v>
      </c>
      <c r="V9" s="1110" t="s">
        <v>60</v>
      </c>
      <c r="W9" s="1111">
        <f t="shared" si="2"/>
        <v>100</v>
      </c>
      <c r="X9" s="1112"/>
      <c r="Y9" s="3369" t="s">
        <v>415</v>
      </c>
      <c r="Z9" s="206" t="str">
        <f t="shared" ref="Z9:Z15" si="7">Q9</f>
        <v>用途</v>
      </c>
      <c r="AA9" s="1113">
        <f t="shared" si="3"/>
        <v>1</v>
      </c>
      <c r="AB9" s="1113">
        <f t="shared" si="4"/>
        <v>1</v>
      </c>
      <c r="AC9" s="1113">
        <f t="shared" si="5"/>
        <v>1</v>
      </c>
    </row>
    <row r="10" spans="1:29" s="625" customFormat="1" ht="27">
      <c r="A10" s="619"/>
      <c r="B10" s="620" t="s">
        <v>416</v>
      </c>
      <c r="C10" s="882"/>
      <c r="D10" s="235">
        <v>100</v>
      </c>
      <c r="E10" s="882"/>
      <c r="F10" s="235">
        <f>ROUND(100/'数据-取费表'!B14,0)</f>
        <v>102</v>
      </c>
      <c r="G10" s="882"/>
      <c r="H10" s="235">
        <f>ROUND(100/'数据-取费表'!B14,0)</f>
        <v>102</v>
      </c>
      <c r="I10" s="882"/>
      <c r="J10" s="235">
        <f>ROUND(100/'数据-取费表'!B14,0)</f>
        <v>102</v>
      </c>
      <c r="K10" s="943"/>
      <c r="L10" s="2206"/>
      <c r="M10" s="2207"/>
      <c r="N10" s="2207"/>
      <c r="O10" s="2208"/>
      <c r="P10" s="3538"/>
      <c r="Q10" s="192" t="str">
        <f t="shared" si="6"/>
        <v>土地使用年限（年）</v>
      </c>
      <c r="R10" s="1110" t="s">
        <v>60</v>
      </c>
      <c r="S10" s="1111">
        <f t="shared" si="0"/>
        <v>102</v>
      </c>
      <c r="T10" s="1110" t="s">
        <v>60</v>
      </c>
      <c r="U10" s="1111">
        <f t="shared" si="1"/>
        <v>102</v>
      </c>
      <c r="V10" s="1110" t="s">
        <v>60</v>
      </c>
      <c r="W10" s="1111">
        <f t="shared" si="2"/>
        <v>102</v>
      </c>
      <c r="X10" s="1112"/>
      <c r="Y10" s="3369"/>
      <c r="Z10" s="206" t="str">
        <f t="shared" si="7"/>
        <v>土地使用年限（年）</v>
      </c>
      <c r="AA10" s="1113">
        <f t="shared" si="3"/>
        <v>0.98039215686274506</v>
      </c>
      <c r="AB10" s="1113">
        <f t="shared" si="4"/>
        <v>0.98039215686274506</v>
      </c>
      <c r="AC10" s="1113">
        <f t="shared" si="5"/>
        <v>0.98039215686274506</v>
      </c>
    </row>
    <row r="11" spans="1:29" ht="15">
      <c r="A11" s="626"/>
      <c r="B11" s="620" t="s">
        <v>417</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09"/>
      <c r="M11" s="2202"/>
      <c r="N11" s="2202"/>
      <c r="O11" s="2210"/>
      <c r="P11" s="3538"/>
      <c r="Q11" s="192" t="str">
        <f t="shared" si="6"/>
        <v>容积率</v>
      </c>
      <c r="R11" s="1110" t="s">
        <v>60</v>
      </c>
      <c r="S11" s="1111" t="e">
        <f t="shared" si="0"/>
        <v>#N/A</v>
      </c>
      <c r="T11" s="1110" t="s">
        <v>60</v>
      </c>
      <c r="U11" s="1111" t="e">
        <f t="shared" si="1"/>
        <v>#N/A</v>
      </c>
      <c r="V11" s="1110" t="s">
        <v>60</v>
      </c>
      <c r="W11" s="1111" t="e">
        <f t="shared" si="2"/>
        <v>#N/A</v>
      </c>
      <c r="X11" s="1112"/>
      <c r="Y11" s="3369"/>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3"/>
      <c r="M12" s="2204"/>
      <c r="N12" s="2204"/>
      <c r="O12" s="2205"/>
      <c r="P12" s="3538"/>
      <c r="Q12" s="192">
        <f t="shared" si="6"/>
        <v>111</v>
      </c>
      <c r="R12" s="1110" t="s">
        <v>60</v>
      </c>
      <c r="S12" s="1111">
        <f t="shared" si="0"/>
        <v>100</v>
      </c>
      <c r="T12" s="1110" t="s">
        <v>60</v>
      </c>
      <c r="U12" s="1111">
        <f t="shared" si="1"/>
        <v>100</v>
      </c>
      <c r="V12" s="1110" t="s">
        <v>60</v>
      </c>
      <c r="W12" s="1111">
        <f t="shared" si="2"/>
        <v>100</v>
      </c>
      <c r="X12" s="1112"/>
      <c r="Y12" s="3369"/>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1"/>
      <c r="M13" s="2202"/>
      <c r="N13" s="2202"/>
      <c r="O13" s="2210"/>
      <c r="P13" s="3538"/>
      <c r="Q13" s="192">
        <f t="shared" si="6"/>
        <v>111</v>
      </c>
      <c r="R13" s="1110" t="s">
        <v>60</v>
      </c>
      <c r="S13" s="1111">
        <f t="shared" si="0"/>
        <v>100</v>
      </c>
      <c r="T13" s="1110" t="s">
        <v>60</v>
      </c>
      <c r="U13" s="1111">
        <f t="shared" si="1"/>
        <v>100</v>
      </c>
      <c r="V13" s="1110" t="s">
        <v>60</v>
      </c>
      <c r="W13" s="1111">
        <f t="shared" si="2"/>
        <v>100</v>
      </c>
      <c r="X13" s="1112"/>
      <c r="Y13" s="3369"/>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1"/>
      <c r="M14" s="2202"/>
      <c r="N14" s="2202"/>
      <c r="O14" s="2210"/>
      <c r="P14" s="3538"/>
      <c r="Q14" s="192">
        <f t="shared" si="6"/>
        <v>111</v>
      </c>
      <c r="R14" s="1110" t="s">
        <v>60</v>
      </c>
      <c r="S14" s="1111">
        <f t="shared" si="0"/>
        <v>100</v>
      </c>
      <c r="T14" s="1110" t="s">
        <v>60</v>
      </c>
      <c r="U14" s="1111">
        <f t="shared" si="1"/>
        <v>100</v>
      </c>
      <c r="V14" s="1110" t="s">
        <v>60</v>
      </c>
      <c r="W14" s="1111">
        <f t="shared" si="2"/>
        <v>100</v>
      </c>
      <c r="X14" s="1112"/>
      <c r="Y14" s="3369"/>
      <c r="Z14" s="206">
        <f t="shared" si="7"/>
        <v>111</v>
      </c>
      <c r="AA14" s="1113">
        <f t="shared" si="3"/>
        <v>1</v>
      </c>
      <c r="AB14" s="1113">
        <f t="shared" si="4"/>
        <v>1</v>
      </c>
      <c r="AC14" s="1113">
        <f t="shared" si="5"/>
        <v>1</v>
      </c>
    </row>
    <row r="15" spans="1:29" ht="67.5">
      <c r="A15" s="637" t="s">
        <v>418</v>
      </c>
      <c r="B15" s="831" t="s">
        <v>528</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1"/>
      <c r="M15" s="2202"/>
      <c r="N15" s="2202"/>
      <c r="O15" s="2210"/>
      <c r="P15" s="3555" t="s">
        <v>419</v>
      </c>
      <c r="Q15" s="1114" t="str">
        <f t="shared" si="6"/>
        <v>产业集聚程度</v>
      </c>
      <c r="R15" s="1115" t="s">
        <v>60</v>
      </c>
      <c r="S15" s="1116">
        <f t="shared" si="0"/>
        <v>100</v>
      </c>
      <c r="T15" s="1115" t="s">
        <v>60</v>
      </c>
      <c r="U15" s="1116">
        <f t="shared" si="1"/>
        <v>100</v>
      </c>
      <c r="V15" s="1115" t="s">
        <v>60</v>
      </c>
      <c r="W15" s="1116">
        <f t="shared" si="2"/>
        <v>100</v>
      </c>
      <c r="X15" s="1109"/>
      <c r="Y15" s="3555" t="s">
        <v>419</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1"/>
      <c r="M16" s="2202"/>
      <c r="N16" s="2202"/>
      <c r="O16" s="2210"/>
      <c r="P16" s="3556"/>
      <c r="Q16" s="1114"/>
      <c r="R16" s="1115"/>
      <c r="S16" s="1116"/>
      <c r="T16" s="1115"/>
      <c r="U16" s="1116"/>
      <c r="V16" s="1115"/>
      <c r="W16" s="1116"/>
      <c r="X16" s="1109"/>
      <c r="Y16" s="3556"/>
      <c r="Z16" s="1117"/>
      <c r="AA16" s="1118">
        <v>1</v>
      </c>
      <c r="AB16" s="1118">
        <v>1</v>
      </c>
      <c r="AC16" s="1118">
        <v>1</v>
      </c>
    </row>
    <row r="17" spans="1:29" ht="94.5">
      <c r="A17" s="626"/>
      <c r="B17" s="833" t="s">
        <v>466</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1"/>
      <c r="M17" s="2202"/>
      <c r="N17" s="2202"/>
      <c r="O17" s="2210"/>
      <c r="P17" s="3556"/>
      <c r="Q17" s="1114" t="str">
        <f>B17</f>
        <v>交通便捷度</v>
      </c>
      <c r="R17" s="1115" t="s">
        <v>60</v>
      </c>
      <c r="S17" s="1116">
        <f>F17</f>
        <v>100</v>
      </c>
      <c r="T17" s="1115" t="s">
        <v>60</v>
      </c>
      <c r="U17" s="1116">
        <f>H17</f>
        <v>100</v>
      </c>
      <c r="V17" s="1115" t="s">
        <v>60</v>
      </c>
      <c r="W17" s="1116">
        <f>J17</f>
        <v>100</v>
      </c>
      <c r="X17" s="1109"/>
      <c r="Y17" s="355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1"/>
      <c r="M18" s="2202"/>
      <c r="N18" s="2202"/>
      <c r="O18" s="2210"/>
      <c r="P18" s="3556"/>
      <c r="Q18" s="1114"/>
      <c r="R18" s="1115"/>
      <c r="S18" s="1116"/>
      <c r="T18" s="1115"/>
      <c r="U18" s="1116"/>
      <c r="V18" s="1115"/>
      <c r="W18" s="1116"/>
      <c r="X18" s="1109"/>
      <c r="Y18" s="3556"/>
      <c r="Z18" s="1117"/>
      <c r="AA18" s="1118">
        <v>1</v>
      </c>
      <c r="AB18" s="1118">
        <v>1</v>
      </c>
      <c r="AC18" s="1118">
        <v>1</v>
      </c>
    </row>
    <row r="19" spans="1:29" ht="27">
      <c r="A19" s="626"/>
      <c r="B19" s="833" t="s">
        <v>1762</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1"/>
      <c r="M19" s="2202"/>
      <c r="N19" s="2202"/>
      <c r="O19" s="2210"/>
      <c r="P19" s="3556"/>
      <c r="Q19" s="1114" t="str">
        <f t="shared" ref="Q19:Q33" si="8">B19</f>
        <v>区域土地利用方向</v>
      </c>
      <c r="R19" s="1115" t="s">
        <v>60</v>
      </c>
      <c r="S19" s="1116">
        <f>F19</f>
        <v>100</v>
      </c>
      <c r="T19" s="1115" t="s">
        <v>60</v>
      </c>
      <c r="U19" s="1116">
        <f>H19</f>
        <v>100</v>
      </c>
      <c r="V19" s="1115" t="s">
        <v>60</v>
      </c>
      <c r="W19" s="1116">
        <f>J19</f>
        <v>100</v>
      </c>
      <c r="X19" s="1109"/>
      <c r="Y19" s="355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1"/>
      <c r="M20" s="2202"/>
      <c r="N20" s="2202"/>
      <c r="O20" s="2210"/>
      <c r="P20" s="3556"/>
      <c r="Q20" s="1282"/>
      <c r="R20" s="1115"/>
      <c r="S20" s="1116"/>
      <c r="T20" s="1115"/>
      <c r="U20" s="1116"/>
      <c r="V20" s="1115"/>
      <c r="W20" s="1116"/>
      <c r="X20" s="1281"/>
      <c r="Y20" s="3556"/>
      <c r="Z20" s="1283"/>
      <c r="AA20" s="1118"/>
      <c r="AB20" s="1118"/>
      <c r="AC20" s="1118"/>
    </row>
    <row r="21" spans="1:29" ht="81">
      <c r="A21" s="601"/>
      <c r="B21" s="833" t="s">
        <v>529</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1"/>
      <c r="M21" s="2202"/>
      <c r="N21" s="2202"/>
      <c r="O21" s="2210"/>
      <c r="P21" s="3556"/>
      <c r="Q21" s="1114" t="str">
        <f t="shared" si="8"/>
        <v>环境状况</v>
      </c>
      <c r="R21" s="1115" t="s">
        <v>60</v>
      </c>
      <c r="S21" s="1116">
        <f>F21</f>
        <v>100</v>
      </c>
      <c r="T21" s="1115" t="s">
        <v>60</v>
      </c>
      <c r="U21" s="1116">
        <f>H21</f>
        <v>100</v>
      </c>
      <c r="V21" s="1115" t="s">
        <v>60</v>
      </c>
      <c r="W21" s="1116">
        <f>J21</f>
        <v>100</v>
      </c>
      <c r="X21" s="1109"/>
      <c r="Y21" s="355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1"/>
      <c r="M22" s="2202"/>
      <c r="N22" s="2202"/>
      <c r="O22" s="2210"/>
      <c r="P22" s="3556"/>
      <c r="Q22" s="1114"/>
      <c r="R22" s="1115"/>
      <c r="S22" s="1116"/>
      <c r="T22" s="1115"/>
      <c r="U22" s="1116"/>
      <c r="V22" s="1115"/>
      <c r="W22" s="1116"/>
      <c r="X22" s="1109"/>
      <c r="Y22" s="3556"/>
      <c r="Z22" s="1117"/>
      <c r="AA22" s="1118">
        <v>1</v>
      </c>
      <c r="AB22" s="1118">
        <v>1</v>
      </c>
      <c r="AC22" s="1118">
        <v>1</v>
      </c>
    </row>
    <row r="23" spans="1:29" s="218" customFormat="1" ht="40.5">
      <c r="A23" s="851"/>
      <c r="B23" s="892" t="s">
        <v>2539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3"/>
      <c r="M23" s="2204"/>
      <c r="N23" s="2204"/>
      <c r="O23" s="2205"/>
      <c r="P23" s="3556"/>
      <c r="Q23" s="192" t="str">
        <f t="shared" si="8"/>
        <v>公共配套设施</v>
      </c>
      <c r="R23" s="1110" t="s">
        <v>60</v>
      </c>
      <c r="S23" s="1111">
        <f>F23</f>
        <v>100</v>
      </c>
      <c r="T23" s="1110" t="s">
        <v>60</v>
      </c>
      <c r="U23" s="1111">
        <f>H23</f>
        <v>100</v>
      </c>
      <c r="V23" s="1110" t="s">
        <v>60</v>
      </c>
      <c r="W23" s="1111">
        <f>J23</f>
        <v>100</v>
      </c>
      <c r="X23" s="1112"/>
      <c r="Y23" s="3556"/>
      <c r="Z23" s="206" t="str">
        <f>Q23</f>
        <v>公共配套设施</v>
      </c>
      <c r="AA23" s="1118">
        <f>D23/F23</f>
        <v>1</v>
      </c>
      <c r="AB23" s="1118">
        <f>D23/H23</f>
        <v>1</v>
      </c>
      <c r="AC23" s="1118">
        <f>D23/J23</f>
        <v>1</v>
      </c>
    </row>
    <row r="24" spans="1:29" s="218" customFormat="1" ht="15">
      <c r="A24" s="851"/>
      <c r="B24" s="834"/>
      <c r="C24" s="2589"/>
      <c r="D24" s="645"/>
      <c r="E24" s="144"/>
      <c r="F24" s="645"/>
      <c r="G24" s="144"/>
      <c r="H24" s="645"/>
      <c r="I24" s="44"/>
      <c r="J24" s="645"/>
      <c r="K24" s="943"/>
      <c r="L24" s="2203"/>
      <c r="M24" s="2204"/>
      <c r="N24" s="2204"/>
      <c r="O24" s="2205"/>
      <c r="P24" s="3556"/>
      <c r="Q24" s="192"/>
      <c r="R24" s="1110"/>
      <c r="S24" s="1111"/>
      <c r="T24" s="1110"/>
      <c r="U24" s="1111"/>
      <c r="V24" s="1110"/>
      <c r="W24" s="1111"/>
      <c r="X24" s="1112"/>
      <c r="Y24" s="3556"/>
      <c r="Z24" s="206"/>
      <c r="AA24" s="1113">
        <v>1</v>
      </c>
      <c r="AB24" s="1113">
        <v>1</v>
      </c>
      <c r="AC24" s="1113">
        <v>1</v>
      </c>
    </row>
    <row r="25" spans="1:29" s="218" customFormat="1" ht="40.5">
      <c r="A25" s="851"/>
      <c r="B25" s="894" t="s">
        <v>2546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3"/>
      <c r="M25" s="2204"/>
      <c r="N25" s="2204"/>
      <c r="O25" s="2205"/>
      <c r="P25" s="3556"/>
      <c r="Q25" s="2542" t="str">
        <f t="shared" ref="Q25" si="9">B25</f>
        <v>基础设施水平</v>
      </c>
      <c r="R25" s="1110" t="s">
        <v>60</v>
      </c>
      <c r="S25" s="1111">
        <f>F25</f>
        <v>100</v>
      </c>
      <c r="T25" s="1110" t="s">
        <v>60</v>
      </c>
      <c r="U25" s="1111">
        <f>H25</f>
        <v>100</v>
      </c>
      <c r="V25" s="1110" t="s">
        <v>60</v>
      </c>
      <c r="W25" s="1111">
        <f>J25</f>
        <v>100</v>
      </c>
      <c r="X25" s="1112"/>
      <c r="Y25" s="3556"/>
      <c r="Z25" s="206" t="str">
        <f>Q25</f>
        <v>基础设施水平</v>
      </c>
      <c r="AA25" s="1118">
        <f>D25/F25</f>
        <v>1</v>
      </c>
      <c r="AB25" s="1118">
        <f>D25/H25</f>
        <v>1</v>
      </c>
      <c r="AC25" s="1118">
        <f>D25/J25</f>
        <v>1</v>
      </c>
    </row>
    <row r="26" spans="1:29" s="218" customFormat="1" ht="15">
      <c r="A26" s="851"/>
      <c r="B26" s="834"/>
      <c r="C26" s="2589"/>
      <c r="D26" s="645"/>
      <c r="E26" s="895"/>
      <c r="F26" s="645"/>
      <c r="G26" s="895"/>
      <c r="H26" s="645"/>
      <c r="I26" s="895"/>
      <c r="J26" s="645"/>
      <c r="K26" s="943"/>
      <c r="L26" s="2203"/>
      <c r="M26" s="2204"/>
      <c r="N26" s="2204"/>
      <c r="O26" s="2205"/>
      <c r="P26" s="3556"/>
      <c r="Q26" s="2542"/>
      <c r="R26" s="1110"/>
      <c r="S26" s="1111"/>
      <c r="T26" s="1110"/>
      <c r="U26" s="1111"/>
      <c r="V26" s="1110"/>
      <c r="W26" s="1111"/>
      <c r="X26" s="1112"/>
      <c r="Y26" s="3556"/>
      <c r="Z26" s="206"/>
      <c r="AA26" s="1113">
        <v>1</v>
      </c>
      <c r="AB26" s="1113">
        <v>1</v>
      </c>
      <c r="AC26" s="1113">
        <v>1</v>
      </c>
    </row>
    <row r="27" spans="1:29" ht="15">
      <c r="A27" s="626"/>
      <c r="B27" s="834" t="s">
        <v>448</v>
      </c>
      <c r="C27" s="134"/>
      <c r="D27" s="633">
        <v>100</v>
      </c>
      <c r="E27" s="147"/>
      <c r="F27" s="633">
        <f>SUMIF(95:95,E27,96:96)-SUMIF(95:95,C27,96:96)+100</f>
        <v>100</v>
      </c>
      <c r="G27" s="147"/>
      <c r="H27" s="633">
        <f>SUMIF(95:95,G27,96:96)-SUMIF(95:95,C27,96:96)+100</f>
        <v>100</v>
      </c>
      <c r="I27" s="147"/>
      <c r="J27" s="633">
        <f>SUMIF(95:95,I27,96:96)-SUMIF(95:95,C27,96:96)+100</f>
        <v>100</v>
      </c>
      <c r="K27" s="944"/>
      <c r="L27" s="2211"/>
      <c r="M27" s="2202"/>
      <c r="N27" s="2202"/>
      <c r="O27" s="2210"/>
      <c r="P27" s="3556"/>
      <c r="Q27" s="1114" t="str">
        <f t="shared" si="8"/>
        <v>临街状况</v>
      </c>
      <c r="R27" s="1115" t="s">
        <v>60</v>
      </c>
      <c r="S27" s="1116">
        <f t="shared" ref="S27:S40" si="10">F27</f>
        <v>100</v>
      </c>
      <c r="T27" s="1115" t="s">
        <v>60</v>
      </c>
      <c r="U27" s="1116">
        <f t="shared" ref="U27:U40" si="11">H27</f>
        <v>100</v>
      </c>
      <c r="V27" s="1115" t="s">
        <v>60</v>
      </c>
      <c r="W27" s="1116">
        <f t="shared" ref="W27:W40" si="12">J27</f>
        <v>100</v>
      </c>
      <c r="X27" s="1109"/>
      <c r="Y27" s="3556"/>
      <c r="Z27" s="1117" t="str">
        <f t="shared" ref="Z27:Z40" si="13">Q27</f>
        <v>临街状况</v>
      </c>
      <c r="AA27" s="1118">
        <f t="shared" si="3"/>
        <v>1</v>
      </c>
      <c r="AB27" s="1118">
        <f t="shared" si="4"/>
        <v>1</v>
      </c>
      <c r="AC27" s="1118">
        <f t="shared" si="5"/>
        <v>1</v>
      </c>
    </row>
    <row r="28" spans="1:29" ht="27">
      <c r="A28" s="626"/>
      <c r="B28" s="835" t="s">
        <v>453</v>
      </c>
      <c r="C28" s="2590">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1"/>
      <c r="M28" s="2202"/>
      <c r="N28" s="2202"/>
      <c r="O28" s="2210"/>
      <c r="P28" s="3556"/>
      <c r="Q28" s="1114" t="str">
        <f t="shared" si="8"/>
        <v>毗邻道路的类型与等级</v>
      </c>
      <c r="R28" s="1115" t="s">
        <v>60</v>
      </c>
      <c r="S28" s="1116">
        <f t="shared" si="10"/>
        <v>100</v>
      </c>
      <c r="T28" s="1115" t="s">
        <v>60</v>
      </c>
      <c r="U28" s="1116">
        <f t="shared" si="11"/>
        <v>100</v>
      </c>
      <c r="V28" s="1115" t="s">
        <v>60</v>
      </c>
      <c r="W28" s="1116">
        <f t="shared" si="12"/>
        <v>100</v>
      </c>
      <c r="X28" s="1109"/>
      <c r="Y28" s="355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1"/>
      <c r="M29" s="2202"/>
      <c r="N29" s="2202"/>
      <c r="O29" s="2210"/>
      <c r="P29" s="3556"/>
      <c r="Q29" s="1114"/>
      <c r="R29" s="1115"/>
      <c r="S29" s="1116"/>
      <c r="T29" s="1115"/>
      <c r="U29" s="1116"/>
      <c r="V29" s="1115"/>
      <c r="W29" s="1116"/>
      <c r="X29" s="1109"/>
      <c r="Y29" s="3556"/>
      <c r="Z29" s="1117"/>
      <c r="AA29" s="1118">
        <v>1</v>
      </c>
      <c r="AB29" s="1118">
        <v>1</v>
      </c>
      <c r="AC29" s="1118">
        <v>1</v>
      </c>
    </row>
    <row r="30" spans="1:29" ht="15">
      <c r="A30" s="626"/>
      <c r="B30" s="855" t="s">
        <v>495</v>
      </c>
      <c r="C30" s="2591">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1"/>
      <c r="M30" s="2202"/>
      <c r="N30" s="2202"/>
      <c r="O30" s="2210"/>
      <c r="P30" s="3556"/>
      <c r="Q30" s="1114" t="str">
        <f t="shared" si="8"/>
        <v>土地级别</v>
      </c>
      <c r="R30" s="1115" t="s">
        <v>60</v>
      </c>
      <c r="S30" s="1116">
        <f t="shared" si="10"/>
        <v>100</v>
      </c>
      <c r="T30" s="1115" t="s">
        <v>60</v>
      </c>
      <c r="U30" s="1116">
        <f t="shared" si="11"/>
        <v>100</v>
      </c>
      <c r="V30" s="1115" t="s">
        <v>60</v>
      </c>
      <c r="W30" s="1116">
        <f t="shared" si="12"/>
        <v>100</v>
      </c>
      <c r="X30" s="1109"/>
      <c r="Y30" s="355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1"/>
      <c r="M31" s="2202"/>
      <c r="N31" s="2202"/>
      <c r="O31" s="2210"/>
      <c r="P31" s="3556"/>
      <c r="Q31" s="1114">
        <f t="shared" si="8"/>
        <v>111</v>
      </c>
      <c r="R31" s="1115" t="s">
        <v>60</v>
      </c>
      <c r="S31" s="1116">
        <f t="shared" si="10"/>
        <v>100</v>
      </c>
      <c r="T31" s="1115" t="s">
        <v>60</v>
      </c>
      <c r="U31" s="1116">
        <f t="shared" si="11"/>
        <v>100</v>
      </c>
      <c r="V31" s="1115" t="s">
        <v>60</v>
      </c>
      <c r="W31" s="1116">
        <f t="shared" si="12"/>
        <v>100</v>
      </c>
      <c r="X31" s="1109"/>
      <c r="Y31" s="355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1"/>
      <c r="M32" s="2202"/>
      <c r="N32" s="2202"/>
      <c r="O32" s="2210"/>
      <c r="P32" s="3543" t="s">
        <v>421</v>
      </c>
      <c r="Q32" s="1114">
        <f t="shared" si="8"/>
        <v>111</v>
      </c>
      <c r="R32" s="1115" t="s">
        <v>60</v>
      </c>
      <c r="S32" s="1116">
        <f t="shared" si="10"/>
        <v>100</v>
      </c>
      <c r="T32" s="1115" t="s">
        <v>60</v>
      </c>
      <c r="U32" s="1116">
        <f t="shared" si="11"/>
        <v>100</v>
      </c>
      <c r="V32" s="1115" t="s">
        <v>60</v>
      </c>
      <c r="W32" s="1116">
        <f t="shared" si="12"/>
        <v>100</v>
      </c>
      <c r="X32" s="1109"/>
      <c r="Y32" s="3544" t="s">
        <v>421</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09"/>
      <c r="M33" s="2212"/>
      <c r="N33" s="2212"/>
      <c r="O33" s="2213"/>
      <c r="P33" s="3544"/>
      <c r="Q33" s="1114">
        <f t="shared" si="8"/>
        <v>111</v>
      </c>
      <c r="R33" s="1120" t="s">
        <v>60</v>
      </c>
      <c r="S33" s="1121">
        <f t="shared" si="10"/>
        <v>100</v>
      </c>
      <c r="T33" s="1120" t="s">
        <v>60</v>
      </c>
      <c r="U33" s="1121">
        <f t="shared" si="11"/>
        <v>100</v>
      </c>
      <c r="V33" s="1120" t="s">
        <v>60</v>
      </c>
      <c r="W33" s="1121">
        <f t="shared" si="12"/>
        <v>100</v>
      </c>
      <c r="X33" s="1122"/>
      <c r="Y33" s="3544"/>
      <c r="Z33" s="1123">
        <f t="shared" si="13"/>
        <v>111</v>
      </c>
      <c r="AA33" s="1118">
        <f t="shared" si="3"/>
        <v>1</v>
      </c>
      <c r="AB33" s="1118">
        <f t="shared" si="4"/>
        <v>1</v>
      </c>
      <c r="AC33" s="1118">
        <f t="shared" si="5"/>
        <v>1</v>
      </c>
    </row>
    <row r="34" spans="1:29" ht="15">
      <c r="A34" s="671" t="s">
        <v>420</v>
      </c>
      <c r="B34" s="654" t="s">
        <v>496</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1"/>
      <c r="M34" s="2202"/>
      <c r="N34" s="2202"/>
      <c r="O34" s="2210"/>
      <c r="P34" s="3544"/>
      <c r="Q34" s="1114" t="str">
        <f>B34</f>
        <v>宗地面积</v>
      </c>
      <c r="R34" s="1115" t="s">
        <v>60</v>
      </c>
      <c r="S34" s="1116" t="e">
        <f t="shared" si="10"/>
        <v>#N/A</v>
      </c>
      <c r="T34" s="1115" t="s">
        <v>60</v>
      </c>
      <c r="U34" s="1116" t="e">
        <f t="shared" si="11"/>
        <v>#N/A</v>
      </c>
      <c r="V34" s="1115" t="s">
        <v>60</v>
      </c>
      <c r="W34" s="1116" t="e">
        <f t="shared" si="12"/>
        <v>#N/A</v>
      </c>
      <c r="X34" s="1109"/>
      <c r="Y34" s="3544"/>
      <c r="Z34" s="1117" t="str">
        <f t="shared" si="13"/>
        <v>宗地面积</v>
      </c>
      <c r="AA34" s="1118" t="e">
        <f t="shared" si="3"/>
        <v>#N/A</v>
      </c>
      <c r="AB34" s="1118" t="e">
        <f t="shared" si="4"/>
        <v>#N/A</v>
      </c>
      <c r="AC34" s="1118" t="e">
        <f t="shared" si="5"/>
        <v>#N/A</v>
      </c>
    </row>
    <row r="35" spans="1:29" ht="15">
      <c r="A35" s="671"/>
      <c r="B35" s="620" t="s">
        <v>497</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1"/>
      <c r="M35" s="2202"/>
      <c r="N35" s="2202"/>
      <c r="O35" s="2210"/>
      <c r="P35" s="3544"/>
      <c r="Q35" s="1114" t="str">
        <f t="shared" ref="Q35:Q40" si="14">B35</f>
        <v>宗地形状</v>
      </c>
      <c r="R35" s="1115" t="s">
        <v>60</v>
      </c>
      <c r="S35" s="1116">
        <f t="shared" si="10"/>
        <v>100</v>
      </c>
      <c r="T35" s="1115" t="s">
        <v>60</v>
      </c>
      <c r="U35" s="1116">
        <f t="shared" si="11"/>
        <v>100</v>
      </c>
      <c r="V35" s="1115" t="s">
        <v>60</v>
      </c>
      <c r="W35" s="1116">
        <f t="shared" si="12"/>
        <v>100</v>
      </c>
      <c r="X35" s="1109"/>
      <c r="Y35" s="3544"/>
      <c r="Z35" s="1117" t="str">
        <f t="shared" si="13"/>
        <v>宗地形状</v>
      </c>
      <c r="AA35" s="1118">
        <f t="shared" si="3"/>
        <v>1</v>
      </c>
      <c r="AB35" s="1118">
        <f t="shared" si="4"/>
        <v>1</v>
      </c>
      <c r="AC35" s="1118">
        <f t="shared" si="5"/>
        <v>1</v>
      </c>
    </row>
    <row r="36" spans="1:29" s="218" customFormat="1" ht="15">
      <c r="A36" s="672"/>
      <c r="B36" s="2420" t="s">
        <v>2410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3"/>
      <c r="M36" s="2204"/>
      <c r="N36" s="2204"/>
      <c r="O36" s="2205"/>
      <c r="P36" s="3544"/>
      <c r="Q36" s="1114" t="str">
        <f t="shared" si="14"/>
        <v>宗地开发程度</v>
      </c>
      <c r="R36" s="1110" t="s">
        <v>60</v>
      </c>
      <c r="S36" s="1111">
        <f t="shared" si="10"/>
        <v>100</v>
      </c>
      <c r="T36" s="1110" t="s">
        <v>60</v>
      </c>
      <c r="U36" s="1111">
        <f t="shared" si="11"/>
        <v>100</v>
      </c>
      <c r="V36" s="1110" t="s">
        <v>60</v>
      </c>
      <c r="W36" s="1111">
        <f t="shared" si="12"/>
        <v>100</v>
      </c>
      <c r="X36" s="1112"/>
      <c r="Y36" s="3544"/>
      <c r="Z36" s="206" t="str">
        <f t="shared" si="13"/>
        <v>宗地开发程度</v>
      </c>
      <c r="AA36" s="1113">
        <f t="shared" si="3"/>
        <v>1</v>
      </c>
      <c r="AB36" s="1113">
        <f t="shared" si="4"/>
        <v>1</v>
      </c>
      <c r="AC36" s="1113">
        <f t="shared" si="5"/>
        <v>1</v>
      </c>
    </row>
    <row r="37" spans="1:29" ht="15">
      <c r="A37" s="671"/>
      <c r="B37" s="620" t="s">
        <v>499</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1"/>
      <c r="M37" s="2202"/>
      <c r="N37" s="2202"/>
      <c r="O37" s="2210"/>
      <c r="P37" s="3544" t="s">
        <v>530</v>
      </c>
      <c r="Q37" s="1114" t="str">
        <f t="shared" si="14"/>
        <v>工程地质条件</v>
      </c>
      <c r="R37" s="1115" t="s">
        <v>60</v>
      </c>
      <c r="S37" s="1116">
        <f t="shared" si="10"/>
        <v>100</v>
      </c>
      <c r="T37" s="1115" t="s">
        <v>60</v>
      </c>
      <c r="U37" s="1116">
        <f t="shared" si="11"/>
        <v>100</v>
      </c>
      <c r="V37" s="1115" t="s">
        <v>60</v>
      </c>
      <c r="W37" s="1116">
        <f t="shared" si="12"/>
        <v>100</v>
      </c>
      <c r="X37" s="1109"/>
      <c r="Y37" s="3544" t="s">
        <v>530</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1"/>
      <c r="M38" s="2202"/>
      <c r="N38" s="2202"/>
      <c r="O38" s="2210"/>
      <c r="P38" s="3544"/>
      <c r="Q38" s="1114">
        <f t="shared" si="14"/>
        <v>111</v>
      </c>
      <c r="R38" s="1115" t="s">
        <v>60</v>
      </c>
      <c r="S38" s="1116">
        <f t="shared" si="10"/>
        <v>100</v>
      </c>
      <c r="T38" s="1115" t="s">
        <v>60</v>
      </c>
      <c r="U38" s="1116">
        <f t="shared" si="11"/>
        <v>100</v>
      </c>
      <c r="V38" s="1115" t="s">
        <v>60</v>
      </c>
      <c r="W38" s="1116">
        <f t="shared" si="12"/>
        <v>100</v>
      </c>
      <c r="X38" s="1109"/>
      <c r="Y38" s="354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1"/>
      <c r="M39" s="2202"/>
      <c r="N39" s="2202"/>
      <c r="O39" s="2210"/>
      <c r="P39" s="3544"/>
      <c r="Q39" s="1114">
        <f t="shared" si="14"/>
        <v>111</v>
      </c>
      <c r="R39" s="1115" t="s">
        <v>60</v>
      </c>
      <c r="S39" s="1116">
        <f t="shared" si="10"/>
        <v>100</v>
      </c>
      <c r="T39" s="1115" t="s">
        <v>60</v>
      </c>
      <c r="U39" s="1116">
        <f t="shared" si="11"/>
        <v>100</v>
      </c>
      <c r="V39" s="1115" t="s">
        <v>60</v>
      </c>
      <c r="W39" s="1116">
        <f t="shared" si="12"/>
        <v>100</v>
      </c>
      <c r="X39" s="1109"/>
      <c r="Y39" s="354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09"/>
      <c r="M40" s="2212"/>
      <c r="N40" s="2212"/>
      <c r="O40" s="2213"/>
      <c r="P40" s="3544"/>
      <c r="Q40" s="1114">
        <f t="shared" si="14"/>
        <v>111</v>
      </c>
      <c r="R40" s="1120" t="s">
        <v>60</v>
      </c>
      <c r="S40" s="1121">
        <f t="shared" si="10"/>
        <v>100</v>
      </c>
      <c r="T40" s="1120" t="s">
        <v>60</v>
      </c>
      <c r="U40" s="1121">
        <f t="shared" si="11"/>
        <v>100</v>
      </c>
      <c r="V40" s="1120" t="s">
        <v>60</v>
      </c>
      <c r="W40" s="1121">
        <f t="shared" si="12"/>
        <v>100</v>
      </c>
      <c r="X40" s="1122"/>
      <c r="Y40" s="3544"/>
      <c r="Z40" s="1123">
        <f t="shared" si="13"/>
        <v>111</v>
      </c>
      <c r="AA40" s="1118">
        <f t="shared" si="3"/>
        <v>1</v>
      </c>
      <c r="AB40" s="1118">
        <f t="shared" si="4"/>
        <v>1</v>
      </c>
      <c r="AC40" s="1118">
        <f t="shared" si="5"/>
        <v>1</v>
      </c>
    </row>
    <row r="41" spans="1:29" ht="15">
      <c r="A41" s="678" t="s">
        <v>500</v>
      </c>
      <c r="B41" s="159" t="s">
        <v>159</v>
      </c>
      <c r="C41" s="953" t="s">
        <v>20</v>
      </c>
      <c r="D41" s="680"/>
      <c r="E41" s="681"/>
      <c r="F41" s="682"/>
      <c r="G41" s="683"/>
      <c r="H41" s="684"/>
      <c r="I41" s="681"/>
      <c r="J41" s="684"/>
      <c r="K41" s="1192"/>
      <c r="L41" s="2214"/>
      <c r="M41" s="2202"/>
      <c r="N41" s="2202"/>
      <c r="O41" s="2215"/>
      <c r="P41" s="3538" t="str">
        <f>A41</f>
        <v>成交单价</v>
      </c>
      <c r="Q41" s="3538"/>
      <c r="R41" s="3545">
        <f>E41</f>
        <v>0</v>
      </c>
      <c r="S41" s="3545"/>
      <c r="T41" s="3545">
        <f>G41</f>
        <v>0</v>
      </c>
      <c r="U41" s="3545"/>
      <c r="V41" s="3545">
        <f>I41</f>
        <v>0</v>
      </c>
      <c r="W41" s="3545"/>
      <c r="X41" s="1098"/>
      <c r="Y41" s="1124"/>
      <c r="Z41" s="1098"/>
      <c r="AA41" s="1098"/>
      <c r="AB41" s="1098"/>
      <c r="AC41" s="1098"/>
    </row>
    <row r="42" spans="1:29" ht="15.75" thickBot="1">
      <c r="A42" s="685" t="s">
        <v>423</v>
      </c>
      <c r="B42" s="954"/>
      <c r="C42" s="689" t="e">
        <f>R43</f>
        <v>#DIV/0!</v>
      </c>
      <c r="D42" s="688"/>
      <c r="E42" s="689" t="e">
        <f>R42</f>
        <v>#DIV/0!</v>
      </c>
      <c r="F42" s="690"/>
      <c r="G42" s="687" t="e">
        <f>T42</f>
        <v>#DIV/0!</v>
      </c>
      <c r="H42" s="688"/>
      <c r="I42" s="689" t="e">
        <f>V42</f>
        <v>#DIV/0!</v>
      </c>
      <c r="J42" s="688"/>
      <c r="K42" s="1193"/>
      <c r="L42" s="2214"/>
      <c r="M42" s="2202"/>
      <c r="N42" s="2202"/>
      <c r="O42" s="2215"/>
      <c r="P42" s="3538" t="str">
        <f>A42</f>
        <v>比较价值（元/平方米）</v>
      </c>
      <c r="Q42" s="3538"/>
      <c r="R42" s="3539" t="e">
        <f>ROUND(PRODUCT(R41,AA7:AA40),0)</f>
        <v>#DIV/0!</v>
      </c>
      <c r="S42" s="3539"/>
      <c r="T42" s="3539" t="e">
        <f>ROUND(PRODUCT(T41,AB7:AB40),0)</f>
        <v>#DIV/0!</v>
      </c>
      <c r="U42" s="3539"/>
      <c r="V42" s="3539" t="e">
        <f>ROUND(PRODUCT(V41,AC7:AC40),0)</f>
        <v>#DIV/0!</v>
      </c>
      <c r="W42" s="3539"/>
      <c r="X42" s="1098"/>
      <c r="Y42" s="1098"/>
      <c r="Z42" s="1098"/>
      <c r="AA42" s="1098"/>
      <c r="AB42" s="1098"/>
      <c r="AC42" s="1098"/>
    </row>
    <row r="43" spans="1:29" ht="15.75" thickBot="1">
      <c r="A43" s="62" t="s">
        <v>2881</v>
      </c>
      <c r="B43" s="692"/>
      <c r="C43" s="693" t="e">
        <f>R43</f>
        <v>#DIV/0!</v>
      </c>
      <c r="D43" s="693"/>
      <c r="E43" s="693"/>
      <c r="F43" s="693"/>
      <c r="G43" s="693"/>
      <c r="H43" s="693"/>
      <c r="I43" s="693"/>
      <c r="J43" s="693"/>
      <c r="K43" s="1194"/>
      <c r="L43" s="2214"/>
      <c r="M43" s="2202"/>
      <c r="N43" s="2202"/>
      <c r="O43" s="2215"/>
      <c r="P43" s="3540" t="str">
        <f>A43</f>
        <v>估价对象XX用房的比较价值（楼面单价，元/平方米）</v>
      </c>
      <c r="Q43" s="3541"/>
      <c r="R43" s="3542" t="e">
        <f>ROUND(AVERAGE(R42:V42),0)</f>
        <v>#DIV/0!</v>
      </c>
      <c r="S43" s="3542"/>
      <c r="T43" s="3542"/>
      <c r="U43" s="3542"/>
      <c r="V43" s="3542"/>
      <c r="W43" s="3542"/>
      <c r="X43" s="1098"/>
      <c r="Y43" s="1098"/>
      <c r="Z43" s="1098"/>
      <c r="AA43" s="1098"/>
      <c r="AB43" s="1098"/>
      <c r="AC43" s="1098"/>
    </row>
    <row r="44" spans="1:29">
      <c r="A44" s="2215"/>
      <c r="B44" s="2215"/>
      <c r="C44" s="2215"/>
      <c r="D44" s="2215"/>
      <c r="E44" s="2215"/>
      <c r="F44" s="2215"/>
      <c r="G44" s="2219"/>
      <c r="H44" s="2215"/>
      <c r="I44" s="2215"/>
      <c r="J44" s="2215"/>
      <c r="K44" s="2220"/>
      <c r="L44" s="2216"/>
      <c r="M44" s="2202"/>
      <c r="N44" s="2202"/>
      <c r="O44" s="2215"/>
    </row>
    <row r="45" spans="1:29">
      <c r="A45" s="2215"/>
      <c r="B45" s="2215"/>
      <c r="C45" s="2215"/>
      <c r="D45" s="2215"/>
      <c r="E45" s="2215"/>
      <c r="F45" s="2215"/>
      <c r="G45" s="2215"/>
      <c r="H45" s="2215"/>
      <c r="I45" s="2215"/>
      <c r="J45" s="2215"/>
      <c r="K45" s="2220"/>
      <c r="L45" s="2216"/>
      <c r="M45" s="2202"/>
      <c r="N45" s="2202"/>
      <c r="O45" s="2215"/>
    </row>
    <row r="46" spans="1:29" ht="13.5" customHeight="1">
      <c r="A46" s="2215"/>
      <c r="B46" s="2215"/>
      <c r="C46" s="696" t="s">
        <v>424</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0"/>
      <c r="L46" s="2216"/>
      <c r="M46" s="2202"/>
      <c r="N46" s="2202"/>
      <c r="O46" s="2215"/>
    </row>
    <row r="47" spans="1:29" ht="13.5" customHeight="1">
      <c r="A47" s="2215"/>
      <c r="B47" s="2215"/>
      <c r="C47" s="696" t="s">
        <v>425</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0"/>
      <c r="L47" s="2216"/>
      <c r="M47" s="2215"/>
      <c r="N47" s="2215"/>
      <c r="O47" s="2215"/>
    </row>
    <row r="48" spans="1:29" s="701" customFormat="1" ht="13.5" customHeight="1">
      <c r="A48" s="2217"/>
      <c r="B48" s="2217"/>
      <c r="C48" s="696" t="s">
        <v>426</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1"/>
      <c r="L48" s="2222"/>
      <c r="M48" s="2217"/>
      <c r="N48" s="2217"/>
      <c r="O48" s="2217"/>
    </row>
    <row r="49" spans="1:17" s="701" customFormat="1" ht="15" thickBot="1">
      <c r="A49" s="2217"/>
      <c r="B49" s="2218"/>
      <c r="C49" s="2223"/>
      <c r="D49" s="2217"/>
      <c r="E49" s="2217"/>
      <c r="F49" s="2217"/>
      <c r="G49" s="2217"/>
      <c r="H49" s="2217"/>
      <c r="I49" s="2217"/>
      <c r="J49" s="2217"/>
      <c r="K49" s="2221"/>
      <c r="L49" s="2222"/>
      <c r="M49" s="2217"/>
      <c r="N49" s="2217"/>
      <c r="O49" s="2217"/>
    </row>
    <row r="50" spans="1:17" ht="27">
      <c r="A50" s="955" t="s">
        <v>501</v>
      </c>
      <c r="B50" s="956" t="s">
        <v>502</v>
      </c>
      <c r="C50" s="1611" t="s">
        <v>1803</v>
      </c>
      <c r="D50" s="2261" t="s">
        <v>2220</v>
      </c>
      <c r="E50" s="957" t="s">
        <v>503</v>
      </c>
      <c r="F50" s="958" t="s">
        <v>504</v>
      </c>
      <c r="G50" s="1600" t="s">
        <v>1802</v>
      </c>
      <c r="H50" s="1600" t="str">
        <f>项目基本情况!G8</f>
        <v>浙江省杭州市</v>
      </c>
      <c r="I50" s="2232" t="s">
        <v>1804</v>
      </c>
      <c r="J50" s="2220"/>
      <c r="K50" s="2216"/>
      <c r="L50" s="2216"/>
      <c r="M50" s="2215"/>
      <c r="N50" s="2215"/>
      <c r="O50" s="2215"/>
    </row>
    <row r="51" spans="1:17" s="963" customFormat="1">
      <c r="A51" s="959" t="s">
        <v>505</v>
      </c>
      <c r="B51" s="960" t="e">
        <f>C43</f>
        <v>#DIV/0!</v>
      </c>
      <c r="C51" s="961">
        <v>1</v>
      </c>
      <c r="D51" s="961">
        <v>1</v>
      </c>
      <c r="E51" s="965">
        <v>120</v>
      </c>
      <c r="F51" s="962" t="e">
        <f t="shared" ref="F51:F60" si="15">ROUND(B51*E51,0)</f>
        <v>#DIV/0!</v>
      </c>
      <c r="G51" s="1609">
        <v>1</v>
      </c>
      <c r="H51" s="1609">
        <v>1</v>
      </c>
      <c r="I51" s="2217"/>
      <c r="J51" s="2220"/>
      <c r="K51" s="2216"/>
      <c r="L51" s="2216"/>
      <c r="M51" s="2215"/>
      <c r="N51" s="2215"/>
      <c r="O51" s="2215"/>
    </row>
    <row r="52" spans="1:17" s="963" customFormat="1">
      <c r="A52" s="964" t="s">
        <v>506</v>
      </c>
      <c r="B52" s="395" t="e">
        <f>ROUND($C$43*C52*D52,0)</f>
        <v>#DIV/0!</v>
      </c>
      <c r="C52" s="334">
        <f>IF($C$50="北京市系数",G52,H52)</f>
        <v>0</v>
      </c>
      <c r="D52" s="2260">
        <v>0.25</v>
      </c>
      <c r="E52" s="965">
        <v>0</v>
      </c>
      <c r="F52" s="962" t="e">
        <f t="shared" si="15"/>
        <v>#DIV/0!</v>
      </c>
      <c r="G52" s="1609">
        <f>SUMIF(修正!$A$45:$A$56,项目基本情况!$F$9,修正!B45:B56)</f>
        <v>0</v>
      </c>
      <c r="H52" s="1610"/>
      <c r="I52" s="2215"/>
      <c r="J52" s="2220"/>
      <c r="K52" s="2216"/>
      <c r="L52" s="2216"/>
      <c r="M52" s="2215"/>
      <c r="N52" s="2215"/>
      <c r="O52" s="2215"/>
    </row>
    <row r="53" spans="1:17" s="963" customFormat="1">
      <c r="A53" s="964" t="s">
        <v>507</v>
      </c>
      <c r="B53" s="395" t="e">
        <f t="shared" ref="B53:B60" si="16">ROUND($C$43*C53*D53,0)</f>
        <v>#DIV/0!</v>
      </c>
      <c r="C53" s="334">
        <f t="shared" ref="C53:C60" si="17">IF($C$50="北京市系数",G53,H53)</f>
        <v>0</v>
      </c>
      <c r="D53" s="2260">
        <v>0.25</v>
      </c>
      <c r="E53" s="965">
        <v>0</v>
      </c>
      <c r="F53" s="962" t="e">
        <f t="shared" si="15"/>
        <v>#DIV/0!</v>
      </c>
      <c r="G53" s="1609">
        <f>SUMIF(修正!$A$45:$A$56,项目基本情况!$F$9,修正!C45:C56)</f>
        <v>0</v>
      </c>
      <c r="H53" s="1610"/>
      <c r="I53" s="2217"/>
      <c r="J53" s="2220"/>
      <c r="K53" s="2216"/>
      <c r="L53" s="2216"/>
      <c r="M53" s="2215"/>
      <c r="N53" s="2215"/>
      <c r="O53" s="2215"/>
    </row>
    <row r="54" spans="1:17" s="963" customFormat="1">
      <c r="A54" s="964" t="s">
        <v>508</v>
      </c>
      <c r="B54" s="395" t="e">
        <f t="shared" si="16"/>
        <v>#DIV/0!</v>
      </c>
      <c r="C54" s="334">
        <f t="shared" si="17"/>
        <v>0</v>
      </c>
      <c r="D54" s="2260">
        <v>0.25</v>
      </c>
      <c r="E54" s="965">
        <v>0</v>
      </c>
      <c r="F54" s="962" t="e">
        <f t="shared" si="15"/>
        <v>#DIV/0!</v>
      </c>
      <c r="G54" s="1609">
        <f>SUMIF(修正!$A$45:$A$56,项目基本情况!$F$9,修正!D45:D56)</f>
        <v>0</v>
      </c>
      <c r="H54" s="1610"/>
      <c r="I54" s="2215"/>
      <c r="J54" s="2220"/>
      <c r="K54" s="2216"/>
      <c r="L54" s="2216"/>
      <c r="M54" s="2215"/>
      <c r="N54" s="2215"/>
      <c r="O54" s="2215"/>
    </row>
    <row r="55" spans="1:17" s="963" customFormat="1">
      <c r="A55" s="964" t="s">
        <v>509</v>
      </c>
      <c r="B55" s="395" t="e">
        <f t="shared" si="16"/>
        <v>#DIV/0!</v>
      </c>
      <c r="C55" s="334">
        <f t="shared" si="17"/>
        <v>0</v>
      </c>
      <c r="D55" s="2260">
        <v>0.25</v>
      </c>
      <c r="E55" s="965">
        <v>0</v>
      </c>
      <c r="F55" s="962" t="e">
        <f t="shared" si="15"/>
        <v>#DIV/0!</v>
      </c>
      <c r="G55" s="1609">
        <f>SUMIF(修正!$A$45:$A$56,项目基本情况!$F$9,修正!E45:E56)</f>
        <v>0</v>
      </c>
      <c r="H55" s="1610"/>
      <c r="I55" s="2217"/>
      <c r="J55" s="2220"/>
      <c r="K55" s="2216"/>
      <c r="L55" s="2216"/>
      <c r="M55" s="2215"/>
      <c r="N55" s="2215"/>
      <c r="O55" s="2215"/>
    </row>
    <row r="56" spans="1:17" s="963" customFormat="1">
      <c r="A56" s="964" t="s">
        <v>510</v>
      </c>
      <c r="B56" s="395" t="e">
        <f t="shared" si="16"/>
        <v>#DIV/0!</v>
      </c>
      <c r="C56" s="334">
        <f t="shared" si="17"/>
        <v>0</v>
      </c>
      <c r="D56" s="2260">
        <v>0.25</v>
      </c>
      <c r="E56" s="965">
        <v>0</v>
      </c>
      <c r="F56" s="962" t="e">
        <f t="shared" si="15"/>
        <v>#DIV/0!</v>
      </c>
      <c r="G56" s="1609">
        <f>SUMIF(修正!A40:A51,项目基本情况!F9,修正!F45:F56)</f>
        <v>0</v>
      </c>
      <c r="H56" s="1610"/>
      <c r="I56" s="2215"/>
      <c r="J56" s="2220"/>
      <c r="K56" s="2216"/>
      <c r="L56" s="2216"/>
      <c r="M56" s="2215"/>
      <c r="N56" s="2215"/>
      <c r="O56" s="2215"/>
    </row>
    <row r="57" spans="1:17" s="963" customFormat="1">
      <c r="A57" s="964" t="s">
        <v>511</v>
      </c>
      <c r="B57" s="395" t="e">
        <f t="shared" si="16"/>
        <v>#DIV/0!</v>
      </c>
      <c r="C57" s="334">
        <f t="shared" si="17"/>
        <v>0</v>
      </c>
      <c r="D57" s="2260">
        <v>0.25</v>
      </c>
      <c r="E57" s="965">
        <v>0</v>
      </c>
      <c r="F57" s="962" t="e">
        <f t="shared" si="15"/>
        <v>#DIV/0!</v>
      </c>
      <c r="G57" s="1609">
        <f>SUMIF(修正!A40:A51,项目基本情况!F9,修正!G45:G56)</f>
        <v>0</v>
      </c>
      <c r="H57" s="1610"/>
      <c r="I57" s="2217"/>
      <c r="J57" s="2220"/>
      <c r="K57" s="2216"/>
      <c r="L57" s="2216"/>
      <c r="M57" s="2215"/>
      <c r="N57" s="2215"/>
      <c r="O57" s="2215"/>
    </row>
    <row r="58" spans="1:17" s="963" customFormat="1">
      <c r="A58" s="964" t="s">
        <v>512</v>
      </c>
      <c r="B58" s="395" t="e">
        <f t="shared" si="16"/>
        <v>#DIV/0!</v>
      </c>
      <c r="C58" s="334">
        <f t="shared" si="17"/>
        <v>0</v>
      </c>
      <c r="D58" s="2260">
        <v>0.25</v>
      </c>
      <c r="E58" s="965">
        <v>0</v>
      </c>
      <c r="F58" s="962" t="e">
        <f t="shared" si="15"/>
        <v>#DIV/0!</v>
      </c>
      <c r="G58" s="1609">
        <f>SUMIF(修正!A40:A51,项目基本情况!F9,修正!H45:H56)</f>
        <v>0</v>
      </c>
      <c r="H58" s="1610"/>
      <c r="I58" s="2215"/>
      <c r="J58" s="2220"/>
      <c r="K58" s="2216"/>
      <c r="L58" s="2216"/>
      <c r="M58" s="2215"/>
      <c r="N58" s="2215"/>
      <c r="O58" s="2215"/>
    </row>
    <row r="59" spans="1:17" s="963" customFormat="1">
      <c r="A59" s="964" t="s">
        <v>513</v>
      </c>
      <c r="B59" s="395" t="e">
        <f t="shared" si="16"/>
        <v>#DIV/0!</v>
      </c>
      <c r="C59" s="334">
        <f t="shared" si="17"/>
        <v>0</v>
      </c>
      <c r="D59" s="2260">
        <v>0.25</v>
      </c>
      <c r="E59" s="965">
        <v>0</v>
      </c>
      <c r="F59" s="962" t="e">
        <f t="shared" si="15"/>
        <v>#DIV/0!</v>
      </c>
      <c r="G59" s="1609">
        <f>G58</f>
        <v>0</v>
      </c>
      <c r="H59" s="1610"/>
      <c r="I59" s="2217"/>
      <c r="J59" s="2220"/>
      <c r="K59" s="2216"/>
      <c r="L59" s="2216"/>
      <c r="M59" s="2215"/>
      <c r="N59" s="2215"/>
      <c r="O59" s="2215"/>
    </row>
    <row r="60" spans="1:17" s="963" customFormat="1">
      <c r="A60" s="964" t="s">
        <v>514</v>
      </c>
      <c r="B60" s="395" t="e">
        <f t="shared" si="16"/>
        <v>#DIV/0!</v>
      </c>
      <c r="C60" s="334">
        <f t="shared" si="17"/>
        <v>0</v>
      </c>
      <c r="D60" s="2260">
        <v>0.25</v>
      </c>
      <c r="E60" s="965">
        <v>0</v>
      </c>
      <c r="F60" s="962" t="e">
        <f t="shared" si="15"/>
        <v>#DIV/0!</v>
      </c>
      <c r="G60" s="1609">
        <f>G58</f>
        <v>0</v>
      </c>
      <c r="H60" s="1610"/>
      <c r="I60" s="2215"/>
      <c r="J60" s="2220"/>
      <c r="K60" s="2216"/>
      <c r="L60" s="2216"/>
      <c r="M60" s="2215"/>
      <c r="N60" s="2215"/>
      <c r="O60" s="2215"/>
    </row>
    <row r="61" spans="1:17" s="963" customFormat="1" ht="15" thickBot="1">
      <c r="A61" s="967" t="s">
        <v>515</v>
      </c>
      <c r="B61" s="968" t="s">
        <v>157</v>
      </c>
      <c r="C61" s="968" t="s">
        <v>158</v>
      </c>
      <c r="D61" s="968" t="s">
        <v>138</v>
      </c>
      <c r="E61" s="968">
        <f>SUM(E51:E60)</f>
        <v>120</v>
      </c>
      <c r="F61" s="969" t="e">
        <f>SUM(F51:F60)</f>
        <v>#DIV/0!</v>
      </c>
      <c r="G61" s="2228"/>
      <c r="H61" s="2228"/>
      <c r="I61" s="2228"/>
      <c r="J61" s="2220"/>
      <c r="K61" s="2216"/>
      <c r="L61" s="2216"/>
      <c r="M61" s="2215"/>
      <c r="N61" s="2215"/>
      <c r="O61" s="2215"/>
    </row>
    <row r="62" spans="1:17">
      <c r="A62" s="2215"/>
      <c r="B62" s="2218"/>
      <c r="C62" s="2223"/>
      <c r="D62" s="2215"/>
      <c r="E62" s="2215"/>
      <c r="F62" s="2215"/>
      <c r="G62" s="2215"/>
      <c r="H62" s="2215"/>
      <c r="I62" s="2215"/>
      <c r="J62" s="2215"/>
      <c r="K62" s="2220"/>
      <c r="L62" s="2216"/>
      <c r="M62" s="2215"/>
      <c r="N62" s="2215"/>
      <c r="O62" s="2215"/>
    </row>
    <row r="63" spans="1:17">
      <c r="A63" s="2215"/>
      <c r="B63" s="2218"/>
      <c r="C63" s="2792" t="str">
        <f>YEAR(C7)&amp;"-"&amp;MONTH(C7)&amp;"-1"</f>
        <v>2017-6-1</v>
      </c>
      <c r="D63" s="2792">
        <f>EDATE(C63,-3)</f>
        <v>42795</v>
      </c>
      <c r="E63" s="2792">
        <f t="shared" ref="E63:O63" si="18">EDATE(D63,-3)</f>
        <v>42705</v>
      </c>
      <c r="F63" s="2792">
        <f t="shared" si="18"/>
        <v>42614</v>
      </c>
      <c r="G63" s="2792">
        <f t="shared" si="18"/>
        <v>42522</v>
      </c>
      <c r="H63" s="2792">
        <f t="shared" si="18"/>
        <v>42430</v>
      </c>
      <c r="I63" s="2792">
        <f t="shared" si="18"/>
        <v>42339</v>
      </c>
      <c r="J63" s="2792">
        <f t="shared" si="18"/>
        <v>42248</v>
      </c>
      <c r="K63" s="2792">
        <f t="shared" si="18"/>
        <v>42156</v>
      </c>
      <c r="L63" s="2792">
        <f t="shared" si="18"/>
        <v>42064</v>
      </c>
      <c r="M63" s="2792">
        <f t="shared" si="18"/>
        <v>41974</v>
      </c>
      <c r="N63" s="2792">
        <f t="shared" si="18"/>
        <v>41883</v>
      </c>
      <c r="O63" s="2792">
        <f t="shared" si="18"/>
        <v>41791</v>
      </c>
    </row>
    <row r="64" spans="1:17" ht="21.75" thickBot="1">
      <c r="A64" s="1102" t="s">
        <v>427</v>
      </c>
      <c r="B64" s="1098"/>
      <c r="C64" s="1103"/>
      <c r="D64" s="1103"/>
      <c r="E64" s="1103"/>
      <c r="F64" s="1104"/>
      <c r="G64" s="1104"/>
      <c r="H64" s="1103"/>
      <c r="I64" s="2231"/>
      <c r="J64" s="2231"/>
      <c r="K64" s="2229"/>
      <c r="L64" s="2230"/>
      <c r="M64" s="2231"/>
      <c r="N64" s="2231"/>
      <c r="O64" s="2231"/>
      <c r="P64" s="702"/>
      <c r="Q64" s="703"/>
    </row>
    <row r="65" spans="1:17" s="707" customFormat="1" ht="15">
      <c r="A65" s="2527" t="s">
        <v>2652</v>
      </c>
      <c r="B65" s="2526"/>
      <c r="C65" s="2793" t="str">
        <f>YEAR(C63)&amp;"-"&amp;ROUNDUP(MONTH(C63)/3,0)</f>
        <v>2017-2</v>
      </c>
      <c r="D65" s="2793" t="str">
        <f t="shared" ref="D65:O65" si="19">YEAR(D63)&amp;"-"&amp;ROUNDUP(MONTH(D63)/3,0)</f>
        <v>2017-1</v>
      </c>
      <c r="E65" s="2793" t="str">
        <f t="shared" si="19"/>
        <v>2016-4</v>
      </c>
      <c r="F65" s="2793" t="str">
        <f t="shared" si="19"/>
        <v>2016-3</v>
      </c>
      <c r="G65" s="2793" t="str">
        <f t="shared" si="19"/>
        <v>2016-2</v>
      </c>
      <c r="H65" s="2793" t="str">
        <f t="shared" si="19"/>
        <v>2016-1</v>
      </c>
      <c r="I65" s="2793" t="str">
        <f t="shared" si="19"/>
        <v>2015-4</v>
      </c>
      <c r="J65" s="2793" t="str">
        <f t="shared" si="19"/>
        <v>2015-3</v>
      </c>
      <c r="K65" s="2793" t="str">
        <f t="shared" si="19"/>
        <v>2015-2</v>
      </c>
      <c r="L65" s="2793" t="str">
        <f t="shared" si="19"/>
        <v>2015-1</v>
      </c>
      <c r="M65" s="2793" t="str">
        <f t="shared" si="19"/>
        <v>2014-4</v>
      </c>
      <c r="N65" s="2793" t="str">
        <f t="shared" si="19"/>
        <v>2014-3</v>
      </c>
      <c r="O65" s="2793" t="str">
        <f t="shared" si="19"/>
        <v>2014-2</v>
      </c>
      <c r="P65" s="706"/>
    </row>
    <row r="66" spans="1:17" s="218" customFormat="1" ht="33.75" customHeight="1">
      <c r="A66" s="2791" t="s">
        <v>2653</v>
      </c>
      <c r="B66" s="501" t="str">
        <f>"北京市平均增长率"&amp;TEXT(基准地价修正!P24,"0.00%")</f>
        <v>北京市平均增长率1.34%</v>
      </c>
      <c r="C66" s="805">
        <v>100</v>
      </c>
      <c r="D66" s="797"/>
      <c r="E66" s="797"/>
      <c r="F66" s="797"/>
      <c r="G66" s="797"/>
      <c r="H66" s="797"/>
      <c r="I66" s="797"/>
      <c r="J66" s="797"/>
      <c r="K66" s="797"/>
      <c r="L66" s="797"/>
      <c r="M66" s="2790"/>
      <c r="N66" s="797"/>
      <c r="O66" s="2797"/>
      <c r="P66" s="703"/>
    </row>
    <row r="67" spans="1:17" s="218" customFormat="1" ht="15.75" thickBot="1">
      <c r="A67" s="714" t="s">
        <v>428</v>
      </c>
      <c r="B67" s="715"/>
      <c r="C67" s="716"/>
      <c r="D67" s="717"/>
      <c r="E67" s="717"/>
      <c r="F67" s="717"/>
      <c r="G67" s="717"/>
      <c r="H67" s="717"/>
      <c r="I67" s="717"/>
      <c r="J67" s="717"/>
      <c r="K67" s="717"/>
      <c r="L67" s="717"/>
      <c r="M67" s="718"/>
      <c r="N67" s="717"/>
      <c r="O67" s="2798"/>
      <c r="P67" s="703"/>
      <c r="Q67" s="703"/>
    </row>
    <row r="68" spans="1:17" s="218" customFormat="1" ht="15">
      <c r="A68" s="720" t="s">
        <v>412</v>
      </c>
      <c r="B68" s="709"/>
      <c r="C68" s="721" t="s">
        <v>429</v>
      </c>
      <c r="D68" s="87"/>
      <c r="E68" s="87"/>
      <c r="F68" s="87"/>
      <c r="G68" s="87"/>
      <c r="H68" s="87"/>
      <c r="I68" s="87"/>
      <c r="J68" s="87"/>
      <c r="K68" s="87"/>
      <c r="L68" s="88"/>
      <c r="M68" s="914"/>
      <c r="N68" s="2224"/>
      <c r="O68" s="2224"/>
      <c r="P68" s="725"/>
      <c r="Q68" s="703"/>
    </row>
    <row r="69" spans="1:17" s="218" customFormat="1" ht="15.75" thickBot="1">
      <c r="A69" s="720"/>
      <c r="B69" s="709"/>
      <c r="C69" s="841">
        <v>100</v>
      </c>
      <c r="D69" s="711"/>
      <c r="E69" s="711"/>
      <c r="F69" s="711"/>
      <c r="G69" s="711"/>
      <c r="H69" s="711"/>
      <c r="I69" s="711"/>
      <c r="J69" s="711"/>
      <c r="K69" s="711"/>
      <c r="L69" s="711"/>
      <c r="M69" s="713"/>
      <c r="N69" s="2224"/>
      <c r="O69" s="2224"/>
      <c r="P69" s="703"/>
      <c r="Q69" s="703"/>
    </row>
    <row r="70" spans="1:17">
      <c r="A70" s="726" t="s">
        <v>430</v>
      </c>
      <c r="B70" s="727" t="s">
        <v>431</v>
      </c>
      <c r="C70" s="69"/>
      <c r="D70" s="69"/>
      <c r="E70" s="69"/>
      <c r="F70" s="69"/>
      <c r="G70" s="69"/>
      <c r="H70" s="69"/>
      <c r="I70" s="69"/>
      <c r="J70" s="69"/>
      <c r="K70" s="70"/>
      <c r="L70" s="71"/>
      <c r="M70" s="72"/>
      <c r="N70" s="2225"/>
      <c r="O70" s="2225"/>
      <c r="P70" s="205"/>
      <c r="Q70" s="703"/>
    </row>
    <row r="71" spans="1:17" ht="15.75" thickBot="1">
      <c r="A71" s="734"/>
      <c r="B71" s="735"/>
      <c r="C71" s="736"/>
      <c r="D71" s="736"/>
      <c r="E71" s="736"/>
      <c r="F71" s="736"/>
      <c r="G71" s="736"/>
      <c r="H71" s="736"/>
      <c r="I71" s="736"/>
      <c r="J71" s="736"/>
      <c r="K71" s="736"/>
      <c r="L71" s="736"/>
      <c r="M71" s="737"/>
      <c r="N71" s="2226"/>
      <c r="O71" s="2226"/>
      <c r="P71" s="205"/>
      <c r="Q71" s="703"/>
    </row>
    <row r="72" spans="1:17" ht="27.75" thickTop="1">
      <c r="A72" s="734"/>
      <c r="B72" s="739" t="s">
        <v>416</v>
      </c>
      <c r="C72" s="740"/>
      <c r="D72" s="740"/>
      <c r="E72" s="740"/>
      <c r="F72" s="740"/>
      <c r="G72" s="740"/>
      <c r="H72" s="740"/>
      <c r="I72" s="740"/>
      <c r="J72" s="740"/>
      <c r="K72" s="741"/>
      <c r="L72" s="742"/>
      <c r="M72" s="743"/>
      <c r="N72" s="2225"/>
      <c r="O72" s="2225"/>
      <c r="P72" s="205"/>
      <c r="Q72" s="703"/>
    </row>
    <row r="73" spans="1:17" ht="15.75" thickBot="1">
      <c r="A73" s="734"/>
      <c r="B73" s="744"/>
      <c r="C73" s="745"/>
      <c r="D73" s="745"/>
      <c r="E73" s="745"/>
      <c r="F73" s="745"/>
      <c r="G73" s="745"/>
      <c r="H73" s="745"/>
      <c r="I73" s="745"/>
      <c r="J73" s="745"/>
      <c r="K73" s="745"/>
      <c r="L73" s="745"/>
      <c r="M73" s="746"/>
      <c r="N73" s="2226"/>
      <c r="O73" s="2226"/>
      <c r="P73" s="205"/>
      <c r="Q73" s="703"/>
    </row>
    <row r="74" spans="1:17" ht="15.75" thickTop="1">
      <c r="A74" s="734"/>
      <c r="B74" s="919" t="s">
        <v>87</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6"/>
      <c r="O74" s="2226"/>
      <c r="P74" s="205"/>
      <c r="Q74" s="703"/>
    </row>
    <row r="75" spans="1:17" ht="15">
      <c r="A75" s="734"/>
      <c r="B75" s="920"/>
      <c r="C75" s="750"/>
      <c r="D75" s="750"/>
      <c r="E75" s="750"/>
      <c r="F75" s="750"/>
      <c r="G75" s="750"/>
      <c r="H75" s="750"/>
      <c r="I75" s="750"/>
      <c r="J75" s="750"/>
      <c r="K75" s="751"/>
      <c r="L75" s="752"/>
      <c r="M75" s="753"/>
      <c r="N75" s="2225"/>
      <c r="O75" s="2225"/>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6"/>
      <c r="O76" s="2226"/>
      <c r="P76" s="205"/>
      <c r="Q76" s="703"/>
    </row>
    <row r="77" spans="1:17" s="670" customFormat="1" ht="15.75" thickTop="1">
      <c r="A77" s="754"/>
      <c r="B77" s="917">
        <f>B12</f>
        <v>111</v>
      </c>
      <c r="C77" s="86"/>
      <c r="D77" s="86"/>
      <c r="E77" s="86"/>
      <c r="F77" s="86"/>
      <c r="G77" s="86"/>
      <c r="H77" s="922"/>
      <c r="I77" s="922"/>
      <c r="J77" s="922"/>
      <c r="K77" s="922"/>
      <c r="L77" s="923"/>
      <c r="M77" s="924"/>
      <c r="N77" s="2227"/>
      <c r="O77" s="2227"/>
      <c r="P77" s="760"/>
      <c r="Q77" s="761"/>
    </row>
    <row r="78" spans="1:17" s="670" customFormat="1" ht="15.75" thickBot="1">
      <c r="A78" s="754"/>
      <c r="B78" s="918"/>
      <c r="C78" s="762"/>
      <c r="D78" s="736"/>
      <c r="E78" s="736"/>
      <c r="F78" s="736"/>
      <c r="G78" s="736"/>
      <c r="H78" s="736"/>
      <c r="I78" s="736"/>
      <c r="J78" s="736"/>
      <c r="K78" s="736"/>
      <c r="L78" s="736"/>
      <c r="M78" s="737"/>
      <c r="N78" s="2226"/>
      <c r="O78" s="2226"/>
      <c r="P78" s="760"/>
      <c r="Q78" s="761"/>
    </row>
    <row r="79" spans="1:17" s="670" customFormat="1" ht="15.75" thickTop="1">
      <c r="A79" s="754"/>
      <c r="B79" s="917">
        <f>B13</f>
        <v>111</v>
      </c>
      <c r="C79" s="86"/>
      <c r="D79" s="86"/>
      <c r="E79" s="86"/>
      <c r="F79" s="86"/>
      <c r="G79" s="86"/>
      <c r="H79" s="922"/>
      <c r="I79" s="922"/>
      <c r="J79" s="922"/>
      <c r="K79" s="922"/>
      <c r="L79" s="923"/>
      <c r="M79" s="924"/>
      <c r="N79" s="2227"/>
      <c r="O79" s="2227"/>
      <c r="P79" s="669"/>
      <c r="Q79" s="763"/>
    </row>
    <row r="80" spans="1:17" s="670" customFormat="1" ht="15.75" thickBot="1">
      <c r="A80" s="754"/>
      <c r="B80" s="918"/>
      <c r="C80" s="762"/>
      <c r="D80" s="762"/>
      <c r="E80" s="762"/>
      <c r="F80" s="762"/>
      <c r="G80" s="762"/>
      <c r="H80" s="764"/>
      <c r="I80" s="764"/>
      <c r="J80" s="764"/>
      <c r="K80" s="764"/>
      <c r="L80" s="764"/>
      <c r="M80" s="765"/>
      <c r="N80" s="2227"/>
      <c r="O80" s="2227"/>
      <c r="P80" s="760"/>
      <c r="Q80" s="761"/>
    </row>
    <row r="81" spans="1:17" s="670" customFormat="1" ht="15.75" thickTop="1">
      <c r="A81" s="754"/>
      <c r="B81" s="919">
        <f>B14</f>
        <v>111</v>
      </c>
      <c r="C81" s="87"/>
      <c r="D81" s="87"/>
      <c r="E81" s="87"/>
      <c r="F81" s="87"/>
      <c r="G81" s="87"/>
      <c r="H81" s="929"/>
      <c r="I81" s="929"/>
      <c r="J81" s="929"/>
      <c r="K81" s="929"/>
      <c r="L81" s="930"/>
      <c r="M81" s="931"/>
      <c r="N81" s="2227"/>
      <c r="O81" s="2227"/>
      <c r="P81" s="769"/>
      <c r="Q81" s="761"/>
    </row>
    <row r="82" spans="1:17" s="670" customFormat="1" ht="15.75" thickBot="1">
      <c r="A82" s="770"/>
      <c r="B82" s="934"/>
      <c r="C82" s="772"/>
      <c r="D82" s="772"/>
      <c r="E82" s="772"/>
      <c r="F82" s="772"/>
      <c r="G82" s="772"/>
      <c r="H82" s="773"/>
      <c r="I82" s="773"/>
      <c r="J82" s="773"/>
      <c r="K82" s="773"/>
      <c r="L82" s="773"/>
      <c r="M82" s="774"/>
      <c r="N82" s="2227"/>
      <c r="O82" s="2227"/>
      <c r="P82" s="760"/>
      <c r="Q82" s="761"/>
    </row>
    <row r="83" spans="1:17">
      <c r="A83" s="726" t="s">
        <v>418</v>
      </c>
      <c r="B83" s="183" t="s">
        <v>160</v>
      </c>
      <c r="C83" s="775" t="s">
        <v>437</v>
      </c>
      <c r="D83" s="775" t="s">
        <v>438</v>
      </c>
      <c r="E83" s="775" t="s">
        <v>439</v>
      </c>
      <c r="F83" s="775" t="s">
        <v>440</v>
      </c>
      <c r="G83" s="775" t="s">
        <v>441</v>
      </c>
      <c r="H83" s="728"/>
      <c r="I83" s="728"/>
      <c r="J83" s="728"/>
      <c r="K83" s="776"/>
      <c r="L83" s="777"/>
      <c r="M83" s="778"/>
      <c r="N83" s="2225"/>
      <c r="O83" s="2225"/>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6"/>
      <c r="O84" s="2226"/>
      <c r="P84" s="205"/>
      <c r="Q84" s="703"/>
    </row>
    <row r="85" spans="1:17" ht="15.75" thickTop="1">
      <c r="A85" s="734"/>
      <c r="B85" s="917" t="s">
        <v>86</v>
      </c>
      <c r="C85" s="780" t="s">
        <v>437</v>
      </c>
      <c r="D85" s="780" t="s">
        <v>438</v>
      </c>
      <c r="E85" s="780" t="s">
        <v>439</v>
      </c>
      <c r="F85" s="780" t="s">
        <v>440</v>
      </c>
      <c r="G85" s="780" t="s">
        <v>441</v>
      </c>
      <c r="H85" s="740"/>
      <c r="I85" s="740"/>
      <c r="J85" s="740"/>
      <c r="K85" s="741"/>
      <c r="L85" s="742"/>
      <c r="M85" s="743"/>
      <c r="N85" s="2225"/>
      <c r="O85" s="2225"/>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6"/>
      <c r="O86" s="2226"/>
      <c r="P86" s="205"/>
      <c r="Q86" s="703"/>
    </row>
    <row r="87" spans="1:17" s="218" customFormat="1" ht="27.75" thickTop="1">
      <c r="A87" s="781"/>
      <c r="B87" s="917" t="s">
        <v>105</v>
      </c>
      <c r="C87" s="775" t="s">
        <v>437</v>
      </c>
      <c r="D87" s="775" t="s">
        <v>438</v>
      </c>
      <c r="E87" s="775" t="s">
        <v>439</v>
      </c>
      <c r="F87" s="775" t="s">
        <v>440</v>
      </c>
      <c r="G87" s="775" t="s">
        <v>441</v>
      </c>
      <c r="H87" s="780"/>
      <c r="I87" s="780"/>
      <c r="J87" s="780"/>
      <c r="K87" s="780"/>
      <c r="L87" s="970"/>
      <c r="M87" s="824"/>
      <c r="N87" s="2224"/>
      <c r="O87" s="2224"/>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6"/>
      <c r="O88" s="2226"/>
      <c r="P88" s="205"/>
      <c r="Q88" s="703"/>
    </row>
    <row r="89" spans="1:17" s="218" customFormat="1" ht="27.75" thickTop="1">
      <c r="A89" s="781"/>
      <c r="B89" s="917" t="s">
        <v>155</v>
      </c>
      <c r="C89" s="775" t="s">
        <v>437</v>
      </c>
      <c r="D89" s="775" t="s">
        <v>438</v>
      </c>
      <c r="E89" s="775" t="s">
        <v>439</v>
      </c>
      <c r="F89" s="775" t="s">
        <v>440</v>
      </c>
      <c r="G89" s="775" t="s">
        <v>441</v>
      </c>
      <c r="H89" s="780"/>
      <c r="I89" s="780"/>
      <c r="J89" s="780"/>
      <c r="K89" s="780"/>
      <c r="L89" s="780"/>
      <c r="M89" s="824"/>
      <c r="N89" s="2224"/>
      <c r="O89" s="2224"/>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6"/>
      <c r="O90" s="2226"/>
      <c r="P90" s="205"/>
      <c r="Q90" s="703"/>
    </row>
    <row r="91" spans="1:17" s="670" customFormat="1" ht="15.75" thickTop="1">
      <c r="A91" s="754"/>
      <c r="B91" s="919" t="s">
        <v>2547</v>
      </c>
      <c r="C91" s="775" t="s">
        <v>437</v>
      </c>
      <c r="D91" s="775" t="s">
        <v>438</v>
      </c>
      <c r="E91" s="775" t="s">
        <v>439</v>
      </c>
      <c r="F91" s="775" t="s">
        <v>440</v>
      </c>
      <c r="G91" s="775" t="s">
        <v>441</v>
      </c>
      <c r="H91" s="802"/>
      <c r="I91" s="802"/>
      <c r="J91" s="802"/>
      <c r="K91" s="802"/>
      <c r="L91" s="803"/>
      <c r="M91" s="804"/>
      <c r="N91" s="2227"/>
      <c r="O91" s="2227"/>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7"/>
      <c r="O92" s="2227"/>
      <c r="P92" s="760"/>
      <c r="Q92" s="761"/>
    </row>
    <row r="93" spans="1:17" s="670" customFormat="1" ht="15.75" thickTop="1">
      <c r="A93" s="754"/>
      <c r="B93" s="917" t="s">
        <v>2546</v>
      </c>
      <c r="C93" s="129" t="s">
        <v>2534</v>
      </c>
      <c r="D93" s="129" t="s">
        <v>2535</v>
      </c>
      <c r="E93" s="129" t="s">
        <v>2536</v>
      </c>
      <c r="F93" s="129" t="s">
        <v>2537</v>
      </c>
      <c r="G93" s="129" t="s">
        <v>2538</v>
      </c>
      <c r="H93" s="802"/>
      <c r="I93" s="802"/>
      <c r="J93" s="802"/>
      <c r="K93" s="802"/>
      <c r="L93" s="802"/>
      <c r="M93" s="804"/>
      <c r="N93" s="2227"/>
      <c r="O93" s="2227"/>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88"/>
      <c r="N94" s="2227"/>
      <c r="O94" s="2227"/>
      <c r="P94" s="760"/>
      <c r="Q94" s="761"/>
    </row>
    <row r="95" spans="1:17" ht="15.75" thickTop="1">
      <c r="A95" s="734"/>
      <c r="B95" s="917" t="str">
        <f>B27</f>
        <v>临街状况</v>
      </c>
      <c r="C95" s="740" t="s">
        <v>519</v>
      </c>
      <c r="D95" s="740" t="s">
        <v>520</v>
      </c>
      <c r="E95" s="740" t="s">
        <v>521</v>
      </c>
      <c r="F95" s="740" t="s">
        <v>522</v>
      </c>
      <c r="G95" s="740"/>
      <c r="H95" s="740"/>
      <c r="I95" s="740"/>
      <c r="J95" s="740"/>
      <c r="K95" s="741"/>
      <c r="L95" s="742"/>
      <c r="M95" s="743"/>
      <c r="N95" s="2225"/>
      <c r="O95" s="2225"/>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6"/>
      <c r="O96" s="2226"/>
      <c r="P96" s="205"/>
      <c r="Q96" s="703"/>
    </row>
    <row r="97" spans="1:17" ht="27.75" thickTop="1">
      <c r="A97" s="734"/>
      <c r="B97" s="917" t="s">
        <v>143</v>
      </c>
      <c r="C97" s="86"/>
      <c r="D97" s="86"/>
      <c r="E97" s="86"/>
      <c r="F97" s="86"/>
      <c r="G97" s="86"/>
      <c r="H97" s="78"/>
      <c r="I97" s="78"/>
      <c r="J97" s="78"/>
      <c r="K97" s="79"/>
      <c r="L97" s="80"/>
      <c r="M97" s="81"/>
      <c r="N97" s="2225"/>
      <c r="O97" s="2225"/>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6"/>
      <c r="O98" s="2226"/>
      <c r="P98" s="205"/>
      <c r="Q98" s="703"/>
    </row>
    <row r="99" spans="1:17" ht="15.75" thickTop="1">
      <c r="A99" s="734"/>
      <c r="B99" s="917" t="s">
        <v>154</v>
      </c>
      <c r="C99" s="785"/>
      <c r="D99" s="785"/>
      <c r="E99" s="785"/>
      <c r="F99" s="785"/>
      <c r="G99" s="785"/>
      <c r="H99" s="785"/>
      <c r="I99" s="785"/>
      <c r="J99" s="785"/>
      <c r="K99" s="786"/>
      <c r="L99" s="787"/>
      <c r="M99" s="788"/>
      <c r="N99" s="2225"/>
      <c r="O99" s="2225"/>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6"/>
      <c r="O100" s="2226"/>
      <c r="P100" s="205"/>
      <c r="Q100" s="703"/>
    </row>
    <row r="101" spans="1:17" ht="15.75" thickTop="1">
      <c r="A101" s="734"/>
      <c r="B101" s="919">
        <f>B31</f>
        <v>111</v>
      </c>
      <c r="C101" s="86"/>
      <c r="D101" s="86"/>
      <c r="E101" s="86"/>
      <c r="F101" s="86"/>
      <c r="G101" s="82"/>
      <c r="H101" s="82"/>
      <c r="I101" s="82"/>
      <c r="J101" s="82"/>
      <c r="K101" s="83"/>
      <c r="L101" s="84"/>
      <c r="M101" s="85"/>
      <c r="N101" s="2225"/>
      <c r="O101" s="2225"/>
      <c r="P101" s="205"/>
      <c r="Q101" s="703"/>
    </row>
    <row r="102" spans="1:17" ht="15.75" thickBot="1">
      <c r="A102" s="734"/>
      <c r="B102" s="934"/>
      <c r="C102" s="762"/>
      <c r="D102" s="736"/>
      <c r="E102" s="736"/>
      <c r="F102" s="736"/>
      <c r="G102" s="793"/>
      <c r="H102" s="793"/>
      <c r="I102" s="793"/>
      <c r="J102" s="793"/>
      <c r="K102" s="793"/>
      <c r="L102" s="793"/>
      <c r="M102" s="794"/>
      <c r="N102" s="2226"/>
      <c r="O102" s="2226"/>
      <c r="P102" s="205"/>
      <c r="Q102" s="703"/>
    </row>
    <row r="103" spans="1:17" ht="15" thickTop="1">
      <c r="A103" s="946"/>
      <c r="B103" s="917">
        <f>B32</f>
        <v>111</v>
      </c>
      <c r="C103" s="86"/>
      <c r="D103" s="86"/>
      <c r="E103" s="86"/>
      <c r="F103" s="86"/>
      <c r="G103" s="78"/>
      <c r="H103" s="78"/>
      <c r="I103" s="78"/>
      <c r="J103" s="78"/>
      <c r="K103" s="79"/>
      <c r="L103" s="80"/>
      <c r="M103" s="81"/>
      <c r="N103" s="2225"/>
      <c r="O103" s="2225"/>
      <c r="P103" s="205"/>
      <c r="Q103" s="703"/>
    </row>
    <row r="104" spans="1:17" ht="15.75" thickBot="1">
      <c r="A104" s="734"/>
      <c r="B104" s="918"/>
      <c r="C104" s="762"/>
      <c r="D104" s="762"/>
      <c r="E104" s="762"/>
      <c r="F104" s="762"/>
      <c r="G104" s="736"/>
      <c r="H104" s="736"/>
      <c r="I104" s="736"/>
      <c r="J104" s="736"/>
      <c r="K104" s="736"/>
      <c r="L104" s="736"/>
      <c r="M104" s="737"/>
      <c r="N104" s="2226"/>
      <c r="O104" s="2226"/>
      <c r="P104" s="205"/>
      <c r="Q104" s="703"/>
    </row>
    <row r="105" spans="1:17" s="670" customFormat="1" ht="15" thickTop="1">
      <c r="A105" s="795"/>
      <c r="B105" s="937">
        <f>B33</f>
        <v>111</v>
      </c>
      <c r="C105" s="87"/>
      <c r="D105" s="87"/>
      <c r="E105" s="87"/>
      <c r="F105" s="87"/>
      <c r="G105" s="938"/>
      <c r="H105" s="938"/>
      <c r="I105" s="938"/>
      <c r="J105" s="939"/>
      <c r="K105" s="939"/>
      <c r="L105" s="940"/>
      <c r="M105" s="941"/>
      <c r="N105" s="2227"/>
      <c r="O105" s="2227"/>
      <c r="P105" s="760"/>
      <c r="Q105" s="761"/>
    </row>
    <row r="106" spans="1:17" s="670" customFormat="1" ht="15.75" thickBot="1">
      <c r="A106" s="754"/>
      <c r="B106" s="919"/>
      <c r="C106" s="772"/>
      <c r="D106" s="772"/>
      <c r="E106" s="772"/>
      <c r="F106" s="772"/>
      <c r="G106" s="948"/>
      <c r="H106" s="948"/>
      <c r="I106" s="948"/>
      <c r="J106" s="948"/>
      <c r="K106" s="948"/>
      <c r="L106" s="948"/>
      <c r="M106" s="971"/>
      <c r="N106" s="2226"/>
      <c r="O106" s="2226"/>
      <c r="P106" s="760"/>
      <c r="Q106" s="761"/>
    </row>
    <row r="107" spans="1:17">
      <c r="A107" s="726" t="s">
        <v>420</v>
      </c>
      <c r="B107" s="183" t="s">
        <v>81</v>
      </c>
      <c r="C107" s="3056" t="str">
        <f t="shared" ref="C107:L107" si="25">C108&amp;"(含)"&amp;"-"&amp;D108</f>
        <v>(含)-</v>
      </c>
      <c r="D107" s="3056" t="str">
        <f t="shared" si="25"/>
        <v>(含)-</v>
      </c>
      <c r="E107" s="3056" t="str">
        <f t="shared" si="25"/>
        <v>(含)-</v>
      </c>
      <c r="F107" s="3056" t="str">
        <f t="shared" si="25"/>
        <v>(含)-</v>
      </c>
      <c r="G107" s="3056" t="str">
        <f t="shared" si="25"/>
        <v>(含)-</v>
      </c>
      <c r="H107" s="3056" t="str">
        <f t="shared" si="25"/>
        <v>(含)-</v>
      </c>
      <c r="I107" s="3056" t="str">
        <f t="shared" si="25"/>
        <v>(含)-</v>
      </c>
      <c r="J107" s="3056" t="str">
        <f t="shared" si="25"/>
        <v>(含)-</v>
      </c>
      <c r="K107" s="3056" t="str">
        <f t="shared" si="25"/>
        <v>(含)-</v>
      </c>
      <c r="L107" s="3057" t="str">
        <f t="shared" si="25"/>
        <v>(含)-</v>
      </c>
      <c r="M107" s="3058" t="str">
        <f>M108&amp;"(含)"&amp;"-"&amp;P108</f>
        <v>(含)-</v>
      </c>
      <c r="N107" s="2225"/>
      <c r="O107" s="2225"/>
      <c r="P107" s="205"/>
      <c r="Q107" s="703"/>
    </row>
    <row r="108" spans="1:17" ht="15">
      <c r="A108" s="734"/>
      <c r="B108" s="919"/>
      <c r="C108" s="797"/>
      <c r="D108" s="797"/>
      <c r="E108" s="797"/>
      <c r="F108" s="797"/>
      <c r="G108" s="797"/>
      <c r="H108" s="797"/>
      <c r="I108" s="797"/>
      <c r="J108" s="798"/>
      <c r="K108" s="798"/>
      <c r="L108" s="799"/>
      <c r="M108" s="800"/>
      <c r="N108" s="2225"/>
      <c r="O108" s="2225"/>
      <c r="P108" s="205"/>
      <c r="Q108" s="703"/>
    </row>
    <row r="109" spans="1:17" ht="15.75" thickBot="1">
      <c r="A109" s="734"/>
      <c r="B109" s="918"/>
      <c r="C109" s="772"/>
      <c r="D109" s="793"/>
      <c r="E109" s="793"/>
      <c r="F109" s="793"/>
      <c r="G109" s="793"/>
      <c r="H109" s="793"/>
      <c r="I109" s="793"/>
      <c r="J109" s="793"/>
      <c r="K109" s="793"/>
      <c r="L109" s="793"/>
      <c r="M109" s="794"/>
      <c r="N109" s="2226"/>
      <c r="O109" s="2226"/>
      <c r="P109" s="205"/>
      <c r="Q109" s="703"/>
    </row>
    <row r="110" spans="1:17" ht="15" thickTop="1">
      <c r="A110" s="801"/>
      <c r="B110" s="917" t="s">
        <v>80</v>
      </c>
      <c r="C110" s="78"/>
      <c r="D110" s="78"/>
      <c r="E110" s="78"/>
      <c r="F110" s="78"/>
      <c r="G110" s="78"/>
      <c r="H110" s="78"/>
      <c r="I110" s="78"/>
      <c r="J110" s="78"/>
      <c r="K110" s="79"/>
      <c r="L110" s="80"/>
      <c r="M110" s="81"/>
      <c r="N110" s="2225"/>
      <c r="O110" s="2225"/>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6"/>
      <c r="O111" s="2226"/>
      <c r="P111" s="205"/>
      <c r="Q111" s="703"/>
    </row>
    <row r="112" spans="1:17" s="670" customFormat="1" ht="15" thickTop="1">
      <c r="A112" s="795"/>
      <c r="B112" s="917" t="s">
        <v>2411</v>
      </c>
      <c r="C112" s="86"/>
      <c r="D112" s="86"/>
      <c r="E112" s="86"/>
      <c r="F112" s="86"/>
      <c r="G112" s="86"/>
      <c r="H112" s="78"/>
      <c r="I112" s="78"/>
      <c r="J112" s="78"/>
      <c r="K112" s="79"/>
      <c r="L112" s="80"/>
      <c r="M112" s="81"/>
      <c r="N112" s="2227"/>
      <c r="O112" s="2227"/>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7"/>
      <c r="O113" s="2227"/>
      <c r="P113" s="760"/>
      <c r="Q113" s="761"/>
    </row>
    <row r="114" spans="1:17" ht="15" thickTop="1">
      <c r="A114" s="801"/>
      <c r="B114" s="917" t="s">
        <v>79</v>
      </c>
      <c r="C114" s="86"/>
      <c r="D114" s="86"/>
      <c r="E114" s="78"/>
      <c r="F114" s="78"/>
      <c r="G114" s="78"/>
      <c r="H114" s="78"/>
      <c r="I114" s="78"/>
      <c r="J114" s="78"/>
      <c r="K114" s="79"/>
      <c r="L114" s="80"/>
      <c r="M114" s="81"/>
      <c r="N114" s="2225"/>
      <c r="O114" s="2225"/>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6"/>
      <c r="O115" s="2226"/>
      <c r="P115" s="205"/>
      <c r="Q115" s="703"/>
    </row>
    <row r="116" spans="1:17" ht="15" thickTop="1">
      <c r="A116" s="801"/>
      <c r="B116" s="917">
        <f>B38</f>
        <v>111</v>
      </c>
      <c r="C116" s="86"/>
      <c r="D116" s="86"/>
      <c r="E116" s="86"/>
      <c r="F116" s="86"/>
      <c r="G116" s="86"/>
      <c r="H116" s="78"/>
      <c r="I116" s="78"/>
      <c r="J116" s="78"/>
      <c r="K116" s="79"/>
      <c r="L116" s="80"/>
      <c r="M116" s="81"/>
      <c r="N116" s="2225"/>
      <c r="O116" s="2225"/>
      <c r="P116" s="205"/>
      <c r="Q116" s="703"/>
    </row>
    <row r="117" spans="1:17" ht="15.75" thickBot="1">
      <c r="A117" s="734"/>
      <c r="B117" s="918"/>
      <c r="C117" s="762"/>
      <c r="D117" s="736"/>
      <c r="E117" s="736"/>
      <c r="F117" s="736"/>
      <c r="G117" s="736"/>
      <c r="H117" s="736"/>
      <c r="I117" s="736"/>
      <c r="J117" s="736"/>
      <c r="K117" s="736"/>
      <c r="L117" s="736"/>
      <c r="M117" s="737"/>
      <c r="N117" s="2226"/>
      <c r="O117" s="2226"/>
      <c r="P117" s="205"/>
      <c r="Q117" s="703"/>
    </row>
    <row r="118" spans="1:17" ht="15" thickTop="1">
      <c r="A118" s="801"/>
      <c r="B118" s="917">
        <f>B39</f>
        <v>111</v>
      </c>
      <c r="C118" s="86"/>
      <c r="D118" s="86"/>
      <c r="E118" s="86"/>
      <c r="F118" s="86"/>
      <c r="G118" s="78"/>
      <c r="H118" s="78"/>
      <c r="I118" s="78"/>
      <c r="J118" s="78"/>
      <c r="K118" s="79"/>
      <c r="L118" s="80"/>
      <c r="M118" s="81"/>
      <c r="N118" s="2225"/>
      <c r="O118" s="2225"/>
      <c r="P118" s="205"/>
      <c r="Q118" s="703"/>
    </row>
    <row r="119" spans="1:17" ht="15.75" thickBot="1">
      <c r="A119" s="734"/>
      <c r="B119" s="918"/>
      <c r="C119" s="762"/>
      <c r="D119" s="762"/>
      <c r="E119" s="762"/>
      <c r="F119" s="762"/>
      <c r="G119" s="736"/>
      <c r="H119" s="736"/>
      <c r="I119" s="736"/>
      <c r="J119" s="736"/>
      <c r="K119" s="736"/>
      <c r="L119" s="736"/>
      <c r="M119" s="737"/>
      <c r="N119" s="2226"/>
      <c r="O119" s="2226"/>
      <c r="P119" s="205"/>
      <c r="Q119" s="703"/>
    </row>
    <row r="120" spans="1:17" s="670" customFormat="1" ht="15" thickTop="1">
      <c r="A120" s="795"/>
      <c r="B120" s="917">
        <f>B40</f>
        <v>111</v>
      </c>
      <c r="C120" s="87"/>
      <c r="D120" s="87"/>
      <c r="E120" s="87"/>
      <c r="F120" s="87"/>
      <c r="G120" s="922"/>
      <c r="H120" s="922"/>
      <c r="I120" s="922"/>
      <c r="J120" s="922"/>
      <c r="K120" s="922"/>
      <c r="L120" s="923"/>
      <c r="M120" s="924"/>
      <c r="N120" s="2227"/>
      <c r="O120" s="2227"/>
      <c r="P120" s="760"/>
      <c r="Q120" s="761"/>
    </row>
    <row r="121" spans="1:17" s="670" customFormat="1" ht="15.75" thickBot="1">
      <c r="A121" s="2233"/>
      <c r="B121" s="2234"/>
      <c r="C121" s="772"/>
      <c r="D121" s="772"/>
      <c r="E121" s="772"/>
      <c r="F121" s="772"/>
      <c r="G121" s="793"/>
      <c r="H121" s="793"/>
      <c r="I121" s="793"/>
      <c r="J121" s="793"/>
      <c r="K121" s="793"/>
      <c r="L121" s="793"/>
      <c r="M121" s="794"/>
      <c r="N121" s="2227"/>
      <c r="O121" s="2227"/>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5"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1702</v>
      </c>
      <c r="B1" s="1286"/>
      <c r="C1" s="1287" t="s">
        <v>2412</v>
      </c>
      <c r="D1" s="1444">
        <f>SUM(D29:D30,D33:D39)</f>
        <v>0</v>
      </c>
      <c r="E1" s="1444"/>
      <c r="F1" s="1444"/>
      <c r="G1" s="1444"/>
      <c r="H1" s="1444"/>
      <c r="I1" s="1444"/>
      <c r="J1" s="1444"/>
      <c r="L1" s="1711" t="s">
        <v>1135</v>
      </c>
      <c r="M1" s="1927">
        <f>SUMPRODUCT((区片价!B5:B9=I2)*(区片价!C3:F3=E2)*(区片价!C5:F9))</f>
        <v>0</v>
      </c>
      <c r="N1" s="1930">
        <f>SUMPRODUCT((因素修正幅度!B5:B9=I2)*(因素修正幅度!C3:F3=E2)*(因素修正幅度!C5:F9))</f>
        <v>0</v>
      </c>
      <c r="O1" s="2235"/>
      <c r="P1" s="2235"/>
      <c r="Q1" s="2235"/>
      <c r="R1" s="2855" t="s">
        <v>2742</v>
      </c>
      <c r="S1" s="2855" t="s">
        <v>2743</v>
      </c>
      <c r="T1" s="2855" t="s">
        <v>2744</v>
      </c>
      <c r="U1" s="2855" t="s">
        <v>2745</v>
      </c>
      <c r="V1" s="2855" t="s">
        <v>2746</v>
      </c>
      <c r="W1" s="2856"/>
      <c r="X1" s="2856"/>
      <c r="Y1" s="2856"/>
      <c r="Z1" s="2856"/>
      <c r="AA1" s="2856"/>
      <c r="AB1" s="2856"/>
      <c r="AC1" s="2857"/>
      <c r="AD1" s="2858"/>
      <c r="AE1" s="2858"/>
      <c r="AF1" s="2858"/>
      <c r="AG1" s="2858"/>
      <c r="AH1" s="2858"/>
      <c r="AI1" s="2858"/>
      <c r="AJ1" s="2859"/>
    </row>
    <row r="2" spans="1:36" ht="24">
      <c r="A2" s="33" t="s">
        <v>1703</v>
      </c>
      <c r="B2" s="385" t="e">
        <f>C26</f>
        <v>#DIV/0!</v>
      </c>
      <c r="C2" s="1284" t="s">
        <v>1849</v>
      </c>
      <c r="D2" s="1449" t="s">
        <v>1899</v>
      </c>
      <c r="E2" s="1618"/>
      <c r="F2" s="1449" t="s">
        <v>1704</v>
      </c>
      <c r="G2" s="1714">
        <f>项目基本情况!F9</f>
        <v>0</v>
      </c>
      <c r="H2" s="1717" t="s">
        <v>1705</v>
      </c>
      <c r="I2" s="1714">
        <f>项目基本情况!F10</f>
        <v>0</v>
      </c>
      <c r="J2" s="1450"/>
      <c r="L2" s="1712" t="s">
        <v>1195</v>
      </c>
      <c r="M2" s="1928">
        <f>SUMPRODUCT((区片价!B10:B28=I2)*(区片价!C3:F3=E2)*(区片价!C10:F28))</f>
        <v>0</v>
      </c>
      <c r="N2" s="1931">
        <f>SUMPRODUCT((因素修正幅度!B10:B28=I2)*(因素修正幅度!C3:F3=E2)*(因素修正幅度!C10:F28))</f>
        <v>0</v>
      </c>
      <c r="O2" s="2235"/>
      <c r="P2" s="2235"/>
      <c r="Q2" s="2235"/>
      <c r="R2" s="2860">
        <v>1</v>
      </c>
      <c r="S2" s="2860" t="e">
        <f>ROUND(IF(G3&gt;1,IF(R2&lt;7,SUMPRODUCT((B93:B98=R2)*(C92:N92=G2)*(C93:N98)),SUMIF(C92:N92,G2,C100:N100)),IF(R2&lt;7,SUMPRODUCT((B102:B107=R2)*(C92:N92=G2)*(C102:N107)),SUMIF(C92:N92,G2,C109:N109))),4)</f>
        <v>#DIV/0!</v>
      </c>
      <c r="T2" s="2860" t="e">
        <f>ROUND($C$5*$C$18*$C$19*$C$20*S2*$C$24,0)</f>
        <v>#DIV/0!</v>
      </c>
      <c r="U2" s="2861"/>
      <c r="V2" s="2860" t="e">
        <f>ROUND(T2*U2/10000,0)</f>
        <v>#DIV/0!</v>
      </c>
      <c r="W2" s="2856"/>
      <c r="X2" s="2856"/>
      <c r="Y2" s="2856"/>
      <c r="Z2" s="2856"/>
      <c r="AA2" s="2856"/>
      <c r="AB2" s="2856"/>
      <c r="AC2" s="2857"/>
      <c r="AD2" s="2858"/>
      <c r="AE2" s="2858"/>
      <c r="AF2" s="2858"/>
      <c r="AG2" s="2858"/>
      <c r="AH2" s="2858"/>
      <c r="AI2" s="2858"/>
      <c r="AJ2" s="2859"/>
    </row>
    <row r="3" spans="1:36" ht="15.75">
      <c r="A3" s="34" t="s">
        <v>1706</v>
      </c>
      <c r="B3" s="385" t="e">
        <f>ROUND(B2/D1,0)</f>
        <v>#DIV/0!</v>
      </c>
      <c r="C3" s="1284" t="s">
        <v>1707</v>
      </c>
      <c r="D3" s="1449" t="s">
        <v>1046</v>
      </c>
      <c r="E3" s="1619"/>
      <c r="F3" s="1665" t="s">
        <v>1882</v>
      </c>
      <c r="G3" s="1451">
        <f>项目基本情况!C15</f>
        <v>0</v>
      </c>
      <c r="H3" s="1452" t="s">
        <v>1047</v>
      </c>
      <c r="I3" s="1620">
        <v>7</v>
      </c>
      <c r="J3" s="1450" t="s">
        <v>1048</v>
      </c>
      <c r="L3" s="1712" t="s">
        <v>1373</v>
      </c>
      <c r="M3" s="1928">
        <f>SUMPRODUCT((区片价!B29:B48=I2)*(区片价!C3:F3=E2)*(区片价!C29:F48))</f>
        <v>0</v>
      </c>
      <c r="N3" s="1931">
        <f>SUMPRODUCT((因素修正幅度!B29:B48=I2)*(因素修正幅度!C3:F3=E2)*(因素修正幅度!C29:F48))</f>
        <v>0</v>
      </c>
      <c r="O3" s="2235"/>
      <c r="P3" s="2235"/>
      <c r="Q3" s="2235"/>
      <c r="R3" s="2860">
        <v>2</v>
      </c>
      <c r="S3" s="2860" t="e">
        <f>ROUND(IF(G3&gt;1,IF(R3&lt;7,SUMPRODUCT((B93:B98=R3)*(C92:N92=G2)*(C93:N98)),SUMIF(C92:N92,G2,C100:N100)),IF(R3&lt;7,SUMPRODUCT((B102:B107=R3)*(C92:N92=G2)*(C102:N107)),SUMIF(C92:N92,G2,C109:N109))),4)</f>
        <v>#DIV/0!</v>
      </c>
      <c r="T3" s="2860" t="e">
        <f t="shared" ref="T3:T16" si="0">ROUND($C$5*$C$18*$C$19*$C$20*S3*$C$24,0)</f>
        <v>#DIV/0!</v>
      </c>
      <c r="U3" s="2861"/>
      <c r="V3" s="2860" t="e">
        <f t="shared" ref="V3:V16" si="1">ROUND(T3*U3/10000,0)</f>
        <v>#DIV/0!</v>
      </c>
      <c r="W3" s="2856"/>
      <c r="X3" s="2856"/>
      <c r="Y3" s="2856"/>
      <c r="Z3" s="2856"/>
      <c r="AA3" s="2856"/>
      <c r="AB3" s="2856"/>
      <c r="AC3" s="2857"/>
      <c r="AD3" s="2858"/>
      <c r="AE3" s="2858"/>
      <c r="AF3" s="2858"/>
      <c r="AG3" s="2858"/>
      <c r="AH3" s="2858"/>
      <c r="AI3" s="2858"/>
      <c r="AJ3" s="2859"/>
    </row>
    <row r="4" spans="1:36" ht="15">
      <c r="A4" s="3597"/>
      <c r="B4" s="3598"/>
      <c r="C4" s="3598"/>
      <c r="D4" s="3599"/>
      <c r="E4" s="3599"/>
      <c r="F4" s="3599"/>
      <c r="G4" s="3599"/>
      <c r="H4" s="3599"/>
      <c r="I4" s="3599"/>
      <c r="J4" s="3600"/>
      <c r="L4" s="1712" t="s">
        <v>1044</v>
      </c>
      <c r="M4" s="1928">
        <f>SUMPRODUCT((区片价!B49:B75=I2)*(区片价!C3:F3=E2)*(区片价!C49:F75))</f>
        <v>0</v>
      </c>
      <c r="N4" s="1931">
        <f>SUMPRODUCT((因素修正幅度!B49:B75=I2)*(因素修正幅度!C3:F3=E2)*(因素修正幅度!C49:F75))</f>
        <v>0</v>
      </c>
      <c r="O4" s="2235"/>
      <c r="P4" s="2235"/>
      <c r="Q4" s="2235"/>
      <c r="R4" s="2860">
        <v>3</v>
      </c>
      <c r="S4" s="2860" t="e">
        <f>ROUND(IF(G3&gt;1,IF(R4&lt;7,SUMPRODUCT((B93:B98=R4)*(C92:N92=G2)*(C93:N98)),SUMIF(C92:N92,G2,C100:N100)),IF(R4&lt;7,SUMPRODUCT((B102:B107=R4)*(C92:N92=G2)*(C102:N107)),SUMIF(C92:N92,G2,C109:N109))),4)</f>
        <v>#DIV/0!</v>
      </c>
      <c r="T4" s="2860" t="e">
        <f t="shared" si="0"/>
        <v>#DIV/0!</v>
      </c>
      <c r="U4" s="2861"/>
      <c r="V4" s="2860" t="e">
        <f t="shared" si="1"/>
        <v>#DIV/0!</v>
      </c>
      <c r="W4" s="2856"/>
      <c r="X4" s="2856"/>
      <c r="Y4" s="2856"/>
      <c r="Z4" s="2856"/>
      <c r="AA4" s="2856"/>
      <c r="AB4" s="2856"/>
      <c r="AC4" s="2857"/>
      <c r="AD4" s="2858"/>
      <c r="AE4" s="2858"/>
      <c r="AF4" s="2858"/>
      <c r="AG4" s="2858"/>
      <c r="AH4" s="2858"/>
      <c r="AI4" s="2858"/>
      <c r="AJ4" s="2859"/>
    </row>
    <row r="5" spans="1:36" s="1461" customFormat="1" ht="15.75" thickBot="1">
      <c r="A5" s="1453" t="s">
        <v>1708</v>
      </c>
      <c r="B5" s="1454" t="s">
        <v>1709</v>
      </c>
      <c r="C5" s="1455" t="e">
        <f>ROUND(IF(E2="商业",IF(F16="增加",C6*C7+C16,C6*C7-C16),IF(E2="住宅",IF(F16="增加",C6*C12+C16,C6*C12-C16),IF(F16="增加",C6+C16,C6-C16))),0)</f>
        <v>#DIV/0!</v>
      </c>
      <c r="D5" s="1456"/>
      <c r="E5" s="1457"/>
      <c r="F5" s="1457"/>
      <c r="G5" s="1458"/>
      <c r="H5" s="1458"/>
      <c r="I5" s="1458"/>
      <c r="J5" s="1459"/>
      <c r="K5" s="2240"/>
      <c r="L5" s="1712" t="s">
        <v>1454</v>
      </c>
      <c r="M5" s="1928">
        <f>SUMPRODUCT((区片价!B76:B109=I2)*(区片价!C3:F3=E2)*(区片价!C76:F109))</f>
        <v>0</v>
      </c>
      <c r="N5" s="1931">
        <f>SUMPRODUCT((因素修正幅度!B76:B109=I2)*(因素修正幅度!C3:F3=E2)*(因素修正幅度!C76:F109))</f>
        <v>0</v>
      </c>
      <c r="O5" s="2235"/>
      <c r="P5" s="2235"/>
      <c r="Q5" s="2235"/>
      <c r="R5" s="2860">
        <v>4</v>
      </c>
      <c r="S5" s="2860" t="e">
        <f>ROUND(IF(G3&gt;1,IF(R5&lt;7,SUMPRODUCT((B93:B98=R5)*(C92:N92=G2)*(C93:N98)),SUMIF(C92:N92,G2,C100:N100)),IF(R5&lt;7,SUMPRODUCT((B102:B107=R5)*(C92:N92=G2)*(C102:N107)),SUMIF(C92:N92,G2,C109:N109))),4)</f>
        <v>#DIV/0!</v>
      </c>
      <c r="T5" s="2860" t="e">
        <f t="shared" si="0"/>
        <v>#DIV/0!</v>
      </c>
      <c r="U5" s="2861"/>
      <c r="V5" s="2860" t="e">
        <f t="shared" si="1"/>
        <v>#DIV/0!</v>
      </c>
      <c r="W5" s="2856"/>
      <c r="X5" s="2856"/>
      <c r="Y5" s="2856"/>
      <c r="Z5" s="2856"/>
      <c r="AA5" s="2856"/>
      <c r="AB5" s="2856"/>
      <c r="AC5" s="2862"/>
      <c r="AD5" s="2863"/>
      <c r="AE5" s="2863"/>
      <c r="AF5" s="2863"/>
      <c r="AG5" s="2863"/>
      <c r="AH5" s="2863"/>
      <c r="AI5" s="2863"/>
      <c r="AJ5" s="2864"/>
    </row>
    <row r="6" spans="1:36" ht="15.75" thickBot="1">
      <c r="A6" s="1462">
        <v>1</v>
      </c>
      <c r="B6" s="1463" t="s">
        <v>1709</v>
      </c>
      <c r="C6" s="1464">
        <f>SUMIF(L1:L12,G2,M1:M12)</f>
        <v>0</v>
      </c>
      <c r="D6" s="1465" t="s">
        <v>1710</v>
      </c>
      <c r="E6" s="1466"/>
      <c r="F6" s="1466"/>
      <c r="G6" s="1467"/>
      <c r="H6" s="1467"/>
      <c r="I6" s="1467"/>
      <c r="J6" s="1468"/>
      <c r="K6" s="2241"/>
      <c r="L6" s="1712" t="s">
        <v>208</v>
      </c>
      <c r="M6" s="1928">
        <f>SUMPRODUCT((区片价!B110:B157=I2)*(区片价!C3:F3=E2)*(区片价!C110:F157))</f>
        <v>0</v>
      </c>
      <c r="N6" s="1931">
        <f>SUMPRODUCT((因素修正幅度!B110:B157=I2)*(因素修正幅度!C3:F3=E2)*(因素修正幅度!C110:F157))</f>
        <v>0</v>
      </c>
      <c r="O6" s="2235"/>
      <c r="P6" s="2235"/>
      <c r="Q6" s="2235"/>
      <c r="R6" s="2860">
        <v>5</v>
      </c>
      <c r="S6" s="2860" t="e">
        <f>ROUND(IF(G3&gt;1,IF(R6&lt;7,SUMPRODUCT((B93:B98=R6)*(C92:N92=G2)*(C93:N98)),SUMIF(C92:N92,G2,C100:N100)),IF(R6&lt;7,SUMPRODUCT((B102:B107=R6)*(C92:N92=G2)*(C102:N107)),SUMIF(C92:N92,G2,C109:N109))),4)</f>
        <v>#DIV/0!</v>
      </c>
      <c r="T6" s="2860" t="e">
        <f t="shared" si="0"/>
        <v>#DIV/0!</v>
      </c>
      <c r="U6" s="2861"/>
      <c r="V6" s="2860" t="e">
        <f t="shared" si="1"/>
        <v>#DIV/0!</v>
      </c>
      <c r="W6" s="2856"/>
      <c r="X6" s="2856"/>
      <c r="Y6" s="2856"/>
      <c r="Z6" s="2856"/>
      <c r="AA6" s="2856"/>
      <c r="AB6" s="2856"/>
      <c r="AC6" s="2862"/>
      <c r="AD6" s="2863"/>
      <c r="AE6" s="2863"/>
      <c r="AF6" s="2863"/>
      <c r="AG6" s="2863"/>
      <c r="AH6" s="2863"/>
      <c r="AI6" s="2863"/>
      <c r="AJ6" s="2864"/>
    </row>
    <row r="7" spans="1:36" ht="24">
      <c r="A7" s="3601" t="str">
        <f>IF(E2="商业",IF(C8="不临58条商业街","",2),"")</f>
        <v/>
      </c>
      <c r="B7" s="1469" t="s">
        <v>1711</v>
      </c>
      <c r="C7" s="1470" t="e">
        <f>IF(C8="不临58条商业街",1,ROUND(1+(1.6*E8+1.2*E9+0.8*E10+0.4*E11)*C9,4))</f>
        <v>#DIV/0!</v>
      </c>
      <c r="D7" s="1471" t="s">
        <v>1712</v>
      </c>
      <c r="E7" s="1621"/>
      <c r="F7" s="1472"/>
      <c r="G7" s="1473"/>
      <c r="H7" s="1473"/>
      <c r="I7" s="1473"/>
      <c r="J7" s="1474"/>
      <c r="K7" s="2241"/>
      <c r="L7" s="1712" t="s">
        <v>1457</v>
      </c>
      <c r="M7" s="1928">
        <f>SUMPRODUCT((区片价!B158:B205=I2)*(区片价!C3:F3=E2)*(区片价!C158:F205))</f>
        <v>0</v>
      </c>
      <c r="N7" s="1931">
        <f>SUMPRODUCT((因素修正幅度!B158:B205=I2)*(因素修正幅度!C3:F3=E2)*(因素修正幅度!C158:F205))</f>
        <v>0</v>
      </c>
      <c r="O7" s="2235"/>
      <c r="P7" s="2235"/>
      <c r="Q7" s="2235"/>
      <c r="R7" s="2860">
        <v>6</v>
      </c>
      <c r="S7" s="2860" t="e">
        <f>ROUND(IF(G3&gt;1,IF(R7&lt;7,SUMPRODUCT((B93:B98=R7)*(C92:N92=G2)*(C93:N98)),SUMIF(C92:N92,G2,C100:N100)),IF(R7&lt;7,SUMPRODUCT((B102:B107=R7)*(C92:N92=G2)*(C102:N107)),SUMIF(C92:N92,G2,C109:N109))),4)</f>
        <v>#DIV/0!</v>
      </c>
      <c r="T7" s="2860" t="e">
        <f t="shared" si="0"/>
        <v>#DIV/0!</v>
      </c>
      <c r="U7" s="2861"/>
      <c r="V7" s="2860" t="e">
        <f t="shared" si="1"/>
        <v>#DIV/0!</v>
      </c>
      <c r="W7" s="2865" t="s">
        <v>2747</v>
      </c>
      <c r="X7" s="2866">
        <f>G2</f>
        <v>0</v>
      </c>
      <c r="Y7" s="2866" t="s">
        <v>2748</v>
      </c>
      <c r="Z7" s="2867">
        <f>G3</f>
        <v>0</v>
      </c>
      <c r="AA7" s="2868"/>
      <c r="AB7" s="2868"/>
      <c r="AC7" s="2869"/>
      <c r="AD7" s="2870"/>
      <c r="AE7" s="2870"/>
      <c r="AF7" s="2870"/>
      <c r="AG7" s="2870"/>
      <c r="AH7" s="2870"/>
      <c r="AI7" s="2870"/>
      <c r="AJ7" s="2871"/>
    </row>
    <row r="8" spans="1:36" ht="15">
      <c r="A8" s="3602"/>
      <c r="B8" s="1452" t="s">
        <v>1713</v>
      </c>
      <c r="C8" s="1622"/>
      <c r="D8" s="1475" t="s">
        <v>1049</v>
      </c>
      <c r="E8" s="1476" t="e">
        <f>ROUND(C11/E7,4)</f>
        <v>#DIV/0!</v>
      </c>
      <c r="F8" s="1477" t="s">
        <v>1714</v>
      </c>
      <c r="G8" s="1478"/>
      <c r="H8" s="1478"/>
      <c r="I8" s="1478"/>
      <c r="J8" s="1479"/>
      <c r="L8" s="1712" t="s">
        <v>1459</v>
      </c>
      <c r="M8" s="1928">
        <f>SUMPRODUCT((区片价!B206:B244=I2)*(区片价!C3:F3=E2)*(区片价!C206:F244))</f>
        <v>0</v>
      </c>
      <c r="N8" s="1931">
        <f>SUMPRODUCT((因素修正幅度!B206:B244=I2)*(因素修正幅度!C3:F3=E2)*(因素修正幅度!C206:F244))</f>
        <v>0</v>
      </c>
      <c r="O8" s="2235"/>
      <c r="P8" s="2235"/>
      <c r="Q8" s="2235"/>
      <c r="R8" s="2860">
        <v>7</v>
      </c>
      <c r="S8" s="2861"/>
      <c r="T8" s="2860" t="e">
        <f t="shared" si="0"/>
        <v>#DIV/0!</v>
      </c>
      <c r="U8" s="2861"/>
      <c r="V8" s="2860" t="e">
        <f t="shared" si="1"/>
        <v>#DIV/0!</v>
      </c>
      <c r="W8" s="3594" t="s">
        <v>2749</v>
      </c>
      <c r="X8" s="3595"/>
      <c r="Y8" s="2872" t="s">
        <v>165</v>
      </c>
      <c r="Z8" s="2872" t="s">
        <v>166</v>
      </c>
      <c r="AA8" s="2872" t="s">
        <v>161</v>
      </c>
      <c r="AB8" s="2872" t="s">
        <v>162</v>
      </c>
      <c r="AC8" s="2872" t="s">
        <v>163</v>
      </c>
      <c r="AD8" s="2872" t="s">
        <v>164</v>
      </c>
      <c r="AE8" s="2872" t="s">
        <v>1208</v>
      </c>
      <c r="AF8" s="2872" t="s">
        <v>1087</v>
      </c>
      <c r="AG8" s="2872" t="s">
        <v>1230</v>
      </c>
      <c r="AH8" s="2872" t="s">
        <v>1089</v>
      </c>
      <c r="AI8" s="2872" t="s">
        <v>1090</v>
      </c>
      <c r="AJ8" s="2872" t="s">
        <v>1091</v>
      </c>
    </row>
    <row r="9" spans="1:36" ht="15">
      <c r="A9" s="3602"/>
      <c r="B9" s="1452" t="s">
        <v>1715</v>
      </c>
      <c r="C9" s="1480">
        <f>SUMIF(修正!C59:C119,C8,修正!E59:E119)</f>
        <v>0</v>
      </c>
      <c r="D9" s="334" t="s">
        <v>1050</v>
      </c>
      <c r="E9" s="334" t="e">
        <f>ROUND(C11/E7,4)</f>
        <v>#DIV/0!</v>
      </c>
      <c r="F9" s="1477" t="s">
        <v>1716</v>
      </c>
      <c r="G9" s="1478"/>
      <c r="H9" s="1478"/>
      <c r="I9" s="1478"/>
      <c r="J9" s="1479"/>
      <c r="L9" s="1712" t="s">
        <v>1461</v>
      </c>
      <c r="M9" s="1928">
        <f>SUMPRODUCT((区片价!B245:B289=I2)*(区片价!C3:F3=E2)*(区片价!C245:F289))</f>
        <v>0</v>
      </c>
      <c r="N9" s="1931">
        <f>SUMPRODUCT((因素修正幅度!B245:B289=I2)*(因素修正幅度!C3:F3=E2)*(因素修正幅度!C245:F289))</f>
        <v>0</v>
      </c>
      <c r="O9" s="2235"/>
      <c r="P9" s="2235"/>
      <c r="Q9" s="2235"/>
      <c r="R9" s="2860">
        <v>8</v>
      </c>
      <c r="S9" s="2861"/>
      <c r="T9" s="2860" t="e">
        <f t="shared" si="0"/>
        <v>#DIV/0!</v>
      </c>
      <c r="U9" s="2861"/>
      <c r="V9" s="2860" t="e">
        <f t="shared" si="1"/>
        <v>#DIV/0!</v>
      </c>
      <c r="W9" s="3596" t="s">
        <v>2750</v>
      </c>
      <c r="X9" s="2873" t="s">
        <v>2396</v>
      </c>
      <c r="Y9" s="2874"/>
      <c r="Z9" s="2875">
        <f>$Y$9</f>
        <v>0</v>
      </c>
      <c r="AA9" s="2875">
        <f t="shared" ref="AA9:AJ9" si="2">$Y$9</f>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6" ht="15">
      <c r="A10" s="3602"/>
      <c r="B10" s="1452" t="s">
        <v>1717</v>
      </c>
      <c r="C10" s="334">
        <f>SUMIF(修正!C59:C119,C8,修正!F59:F119)</f>
        <v>0</v>
      </c>
      <c r="D10" s="334" t="s">
        <v>1051</v>
      </c>
      <c r="E10" s="334" t="e">
        <f>ROUND(C11/E7,4)</f>
        <v>#DIV/0!</v>
      </c>
      <c r="F10" s="1477" t="s">
        <v>1718</v>
      </c>
      <c r="G10" s="1478"/>
      <c r="H10" s="1478"/>
      <c r="I10" s="1478"/>
      <c r="J10" s="1479"/>
      <c r="L10" s="1712" t="s">
        <v>1465</v>
      </c>
      <c r="M10" s="1928">
        <f>SUMPRODUCT((区片价!B290:B316=I2)*(区片价!C3:F3=E2)*(区片价!C290:F316))</f>
        <v>0</v>
      </c>
      <c r="N10" s="1931">
        <f>SUMPRODUCT((因素修正幅度!B290:B316=I2)*(因素修正幅度!C3:F3=E2)*(因素修正幅度!C290:F316))</f>
        <v>0</v>
      </c>
      <c r="O10" s="2235"/>
      <c r="P10" s="2235"/>
      <c r="Q10" s="2235"/>
      <c r="R10" s="2860">
        <v>9</v>
      </c>
      <c r="S10" s="2861"/>
      <c r="T10" s="2860" t="e">
        <f t="shared" si="0"/>
        <v>#DIV/0!</v>
      </c>
      <c r="U10" s="2861"/>
      <c r="V10" s="2860" t="e">
        <f t="shared" si="1"/>
        <v>#DIV/0!</v>
      </c>
      <c r="W10" s="3596"/>
      <c r="X10" s="2873">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6" ht="15.75" thickBot="1">
      <c r="A11" s="3602"/>
      <c r="B11" s="1481" t="s">
        <v>1719</v>
      </c>
      <c r="C11" s="1482">
        <f>C10/4</f>
        <v>0</v>
      </c>
      <c r="D11" s="1482" t="s">
        <v>1052</v>
      </c>
      <c r="E11" s="1482" t="e">
        <f>ROUND(C11/E7,4)</f>
        <v>#DIV/0!</v>
      </c>
      <c r="F11" s="1483" t="s">
        <v>1720</v>
      </c>
      <c r="G11" s="1484"/>
      <c r="H11" s="1484"/>
      <c r="I11" s="1484"/>
      <c r="J11" s="1485"/>
      <c r="L11" s="1712" t="s">
        <v>1897</v>
      </c>
      <c r="M11" s="1928">
        <f>SUMPRODUCT((区片价!B317:B337=I2)*(区片价!C3:F3=E2)*(区片价!C317:F337))</f>
        <v>0</v>
      </c>
      <c r="N11" s="1931">
        <f>SUMPRODUCT((因素修正幅度!B317:B337=I2)*(因素修正幅度!C3:F3=E2)*(因素修正幅度!C317:F337))</f>
        <v>0</v>
      </c>
      <c r="O11" s="2235"/>
      <c r="P11" s="2235"/>
      <c r="Q11" s="2235"/>
      <c r="R11" s="2860">
        <v>10</v>
      </c>
      <c r="S11" s="2861"/>
      <c r="T11" s="2860" t="e">
        <f t="shared" si="0"/>
        <v>#DIV/0!</v>
      </c>
      <c r="U11" s="2861"/>
      <c r="V11" s="2860" t="e">
        <f t="shared" si="1"/>
        <v>#DIV/0!</v>
      </c>
      <c r="W11" s="3596" t="s">
        <v>2751</v>
      </c>
      <c r="X11" s="2877" t="s">
        <v>2748</v>
      </c>
      <c r="Y11" s="2878">
        <f>$G$3</f>
        <v>0</v>
      </c>
      <c r="Z11" s="2878">
        <f t="shared" ref="Z11:AJ11" si="3">$G$3</f>
        <v>0</v>
      </c>
      <c r="AA11" s="2878">
        <f t="shared" si="3"/>
        <v>0</v>
      </c>
      <c r="AB11" s="2878">
        <f t="shared" si="3"/>
        <v>0</v>
      </c>
      <c r="AC11" s="2878">
        <f t="shared" si="3"/>
        <v>0</v>
      </c>
      <c r="AD11" s="2878">
        <f t="shared" si="3"/>
        <v>0</v>
      </c>
      <c r="AE11" s="2878">
        <f t="shared" si="3"/>
        <v>0</v>
      </c>
      <c r="AF11" s="2878">
        <f t="shared" si="3"/>
        <v>0</v>
      </c>
      <c r="AG11" s="2878">
        <f t="shared" si="3"/>
        <v>0</v>
      </c>
      <c r="AH11" s="2878">
        <f t="shared" si="3"/>
        <v>0</v>
      </c>
      <c r="AI11" s="2878">
        <f t="shared" si="3"/>
        <v>0</v>
      </c>
      <c r="AJ11" s="2878">
        <f t="shared" si="3"/>
        <v>0</v>
      </c>
    </row>
    <row r="12" spans="1:36" ht="26.25" thickBot="1">
      <c r="A12" s="3601" t="str">
        <f>IF(E2="住宅",2,"")</f>
        <v/>
      </c>
      <c r="B12" s="1486" t="s">
        <v>1721</v>
      </c>
      <c r="C12" s="1470">
        <f>ROUND(C15*D15*E15*F15*G15*H15*I15*J15,4)</f>
        <v>1.32</v>
      </c>
      <c r="D12" s="1487" t="s">
        <v>1722</v>
      </c>
      <c r="E12" s="1488"/>
      <c r="F12" s="1488"/>
      <c r="G12" s="1489"/>
      <c r="H12" s="1489"/>
      <c r="I12" s="1489"/>
      <c r="J12" s="1490"/>
      <c r="L12" s="1713" t="s">
        <v>1898</v>
      </c>
      <c r="M12" s="1929">
        <f>SUMPRODUCT((区片价!B338:B344=I2)*(区片价!C3:F3=E2)*(区片价!C338:F344))</f>
        <v>0</v>
      </c>
      <c r="N12" s="1932">
        <f>SUMPRODUCT((因素修正幅度!B338:B344=I2)*(因素修正幅度!C3:F3=E2)*(因素修正幅度!C338:F344))</f>
        <v>0</v>
      </c>
      <c r="O12" s="2235"/>
      <c r="P12" s="2235"/>
      <c r="Q12" s="2235"/>
      <c r="R12" s="2860">
        <v>11</v>
      </c>
      <c r="S12" s="2861"/>
      <c r="T12" s="2860" t="e">
        <f t="shared" si="0"/>
        <v>#DIV/0!</v>
      </c>
      <c r="U12" s="2861"/>
      <c r="V12" s="2860" t="e">
        <f t="shared" si="1"/>
        <v>#DIV/0!</v>
      </c>
      <c r="W12" s="3596"/>
      <c r="X12" s="2879" t="s">
        <v>2399</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6" ht="24">
      <c r="A13" s="3603"/>
      <c r="B13" s="1491" t="s">
        <v>1723</v>
      </c>
      <c r="C13" s="1492" t="s">
        <v>1724</v>
      </c>
      <c r="D13" s="1493" t="s">
        <v>1725</v>
      </c>
      <c r="E13" s="1493" t="s">
        <v>1726</v>
      </c>
      <c r="F13" s="30" t="s">
        <v>1053</v>
      </c>
      <c r="G13" s="1623" t="s">
        <v>1787</v>
      </c>
      <c r="H13" s="1623" t="s">
        <v>1787</v>
      </c>
      <c r="I13" s="1623" t="s">
        <v>1787</v>
      </c>
      <c r="J13" s="1624" t="s">
        <v>1787</v>
      </c>
      <c r="L13" s="2235"/>
      <c r="M13" s="2235"/>
      <c r="N13" s="2235"/>
      <c r="O13" s="2235"/>
      <c r="P13" s="2235"/>
      <c r="Q13" s="2235"/>
      <c r="R13" s="2860">
        <v>12</v>
      </c>
      <c r="S13" s="2861"/>
      <c r="T13" s="2860" t="e">
        <f t="shared" si="0"/>
        <v>#DIV/0!</v>
      </c>
      <c r="U13" s="2861"/>
      <c r="V13" s="2860" t="e">
        <f t="shared" si="1"/>
        <v>#DIV/0!</v>
      </c>
      <c r="W13" s="3596"/>
      <c r="X13" s="2879"/>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6" ht="15">
      <c r="A14" s="3603"/>
      <c r="B14" s="1494"/>
      <c r="C14" s="1625" t="s">
        <v>149</v>
      </c>
      <c r="D14" s="1293" t="s">
        <v>150</v>
      </c>
      <c r="E14" s="1293" t="s">
        <v>150</v>
      </c>
      <c r="F14" s="1626" t="s">
        <v>1054</v>
      </c>
      <c r="G14" s="1495" t="s">
        <v>1759</v>
      </c>
      <c r="H14" s="1496"/>
      <c r="I14" s="1497"/>
      <c r="J14" s="1498"/>
      <c r="L14" s="2235"/>
      <c r="M14" s="2235"/>
      <c r="N14" s="2235"/>
      <c r="O14" s="2235"/>
      <c r="P14" s="2235"/>
      <c r="Q14" s="2235"/>
      <c r="R14" s="2860">
        <v>13</v>
      </c>
      <c r="S14" s="2861"/>
      <c r="T14" s="2860" t="e">
        <f t="shared" si="0"/>
        <v>#DIV/0!</v>
      </c>
      <c r="U14" s="2861"/>
      <c r="V14" s="2860" t="e">
        <f t="shared" si="1"/>
        <v>#DIV/0!</v>
      </c>
      <c r="W14" s="2856"/>
      <c r="X14" s="2856"/>
      <c r="Y14" s="2856"/>
      <c r="Z14" s="2856"/>
      <c r="AA14" s="2856"/>
      <c r="AB14" s="2856"/>
      <c r="AC14" s="2857"/>
      <c r="AD14" s="2858"/>
      <c r="AE14" s="2858"/>
      <c r="AF14" s="2858"/>
      <c r="AG14" s="2858"/>
      <c r="AH14" s="2858"/>
      <c r="AI14" s="2858"/>
      <c r="AJ14" s="2859"/>
    </row>
    <row r="15" spans="1:36" ht="15.75" thickBot="1">
      <c r="A15" s="3604"/>
      <c r="B15" s="1499" t="s">
        <v>1727</v>
      </c>
      <c r="C15" s="367">
        <f>IF(C14="有",1.1,1)</f>
        <v>1.1000000000000001</v>
      </c>
      <c r="D15" s="367">
        <f>IF(D14="有",1.1,1)</f>
        <v>1</v>
      </c>
      <c r="E15" s="367">
        <f>IF(E14="有",1.1,1)</f>
        <v>1</v>
      </c>
      <c r="F15" s="367">
        <f>IF(F14="500米范围内",1.2,IF(F14="500-1000米",1.1,1))</f>
        <v>1.2</v>
      </c>
      <c r="G15" s="1627">
        <v>1</v>
      </c>
      <c r="H15" s="1627">
        <v>1</v>
      </c>
      <c r="I15" s="1627">
        <v>1</v>
      </c>
      <c r="J15" s="1628">
        <v>1</v>
      </c>
      <c r="L15" s="1533" t="s">
        <v>1749</v>
      </c>
      <c r="M15" s="1534" t="s">
        <v>1750</v>
      </c>
      <c r="N15" s="1534" t="s">
        <v>1751</v>
      </c>
      <c r="O15" s="1534" t="s">
        <v>888</v>
      </c>
      <c r="P15" s="1535" t="s">
        <v>1752</v>
      </c>
      <c r="Q15" s="2235"/>
      <c r="R15" s="2860">
        <v>14</v>
      </c>
      <c r="S15" s="2861"/>
      <c r="T15" s="2860" t="e">
        <f t="shared" si="0"/>
        <v>#DIV/0!</v>
      </c>
      <c r="U15" s="2861"/>
      <c r="V15" s="2860" t="e">
        <f t="shared" si="1"/>
        <v>#DIV/0!</v>
      </c>
      <c r="W15" s="2856"/>
      <c r="X15" s="2856"/>
      <c r="Y15" s="2856"/>
      <c r="Z15" s="2856"/>
      <c r="AA15" s="2856"/>
      <c r="AB15" s="2856"/>
      <c r="AC15" s="2857"/>
      <c r="AD15" s="2858"/>
      <c r="AE15" s="2858"/>
      <c r="AF15" s="2858"/>
      <c r="AG15" s="2858"/>
      <c r="AH15" s="2858"/>
      <c r="AI15" s="2858"/>
      <c r="AJ15" s="2859"/>
    </row>
    <row r="16" spans="1:36" ht="24">
      <c r="A16" s="3601" t="b">
        <f>IF(E2="办公",2,IF(E2="工业",2,IF(E2="住宅",3,IF(E2="商业",IF(C8="不临58条商业街",2,3)))))</f>
        <v>0</v>
      </c>
      <c r="B16" s="1469" t="s">
        <v>1728</v>
      </c>
      <c r="C16" s="1613" t="e">
        <f>ROUND(SUM(G17:J17)/C17,0)</f>
        <v>#DIV/0!</v>
      </c>
      <c r="D16" s="1500" t="s">
        <v>1729</v>
      </c>
      <c r="E16" s="1629"/>
      <c r="F16" s="1630"/>
      <c r="G16" s="1631"/>
      <c r="H16" s="1631"/>
      <c r="I16" s="1631"/>
      <c r="J16" s="1632"/>
      <c r="L16" s="2532" t="s">
        <v>2516</v>
      </c>
      <c r="M16" s="1480">
        <v>0.25</v>
      </c>
      <c r="N16" s="1480">
        <v>0.2</v>
      </c>
      <c r="O16" s="1480">
        <v>0.15</v>
      </c>
      <c r="P16" s="2533">
        <v>0.1</v>
      </c>
      <c r="Q16" s="2534"/>
      <c r="R16" s="2860">
        <v>15</v>
      </c>
      <c r="S16" s="2861"/>
      <c r="T16" s="2860" t="e">
        <f t="shared" si="0"/>
        <v>#DIV/0!</v>
      </c>
      <c r="U16" s="2861"/>
      <c r="V16" s="2860" t="e">
        <f t="shared" si="1"/>
        <v>#DIV/0!</v>
      </c>
      <c r="W16" s="2868"/>
      <c r="X16" s="2868"/>
      <c r="Y16" s="2868"/>
      <c r="Z16" s="2868"/>
      <c r="AA16" s="2868"/>
      <c r="AB16" s="2868"/>
      <c r="AC16" s="2869"/>
      <c r="AD16" s="2858"/>
      <c r="AE16" s="2858"/>
      <c r="AF16" s="2858"/>
      <c r="AG16" s="2858"/>
      <c r="AH16" s="2858"/>
      <c r="AI16" s="2858"/>
      <c r="AJ16" s="2859"/>
    </row>
    <row r="17" spans="1:37" ht="13.5" thickBot="1">
      <c r="A17" s="3602"/>
      <c r="B17" s="1501" t="s">
        <v>1730</v>
      </c>
      <c r="C17" s="1502">
        <f>SUMPRODUCT((修正!A2:A5=E2)*(修正!B1:M1=G2)*(修正!B2:M5))</f>
        <v>0</v>
      </c>
      <c r="D17" s="1503" t="s">
        <v>1731</v>
      </c>
      <c r="E17" s="1575" t="str">
        <f>IF(OR(G2="八级",G2="九级",G2="十级",G2="十一级",G2="十二级"),"五通一平","七通一平")</f>
        <v>七通一平</v>
      </c>
      <c r="F17" s="1504" t="s">
        <v>1732</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36" t="s">
        <v>2517</v>
      </c>
      <c r="M17" s="345">
        <f ca="1">ROUND($E$20*(1+M16),3)</f>
        <v>5.3999999999999999E-2</v>
      </c>
      <c r="N17" s="345">
        <f ca="1">ROUND($E$20*(1+N16),3)</f>
        <v>5.1999999999999998E-2</v>
      </c>
      <c r="O17" s="345">
        <f ca="1">ROUND($E$20*(1+O16),3)</f>
        <v>0.05</v>
      </c>
      <c r="P17" s="2537">
        <f ca="1">ROUND($E$20*(1+P16),3)</f>
        <v>4.8000000000000001E-2</v>
      </c>
      <c r="Q17" s="2534"/>
      <c r="R17" s="2534"/>
      <c r="S17" s="2534"/>
      <c r="T17" s="2534"/>
      <c r="U17" s="2534"/>
      <c r="V17" s="2534"/>
      <c r="W17" s="2534"/>
      <c r="X17" s="2534"/>
      <c r="Y17" s="2534"/>
      <c r="Z17" s="2535"/>
      <c r="AA17" s="2535"/>
      <c r="AB17" s="2535"/>
      <c r="AC17" s="2535"/>
      <c r="AD17" s="2535"/>
      <c r="AE17" s="2235"/>
      <c r="AF17" s="2235"/>
      <c r="AG17" s="1448"/>
      <c r="AH17" s="1448"/>
      <c r="AI17" s="1448"/>
      <c r="AJ17" s="1448"/>
    </row>
    <row r="18" spans="1:37" s="1461" customFormat="1" ht="15.75" thickBot="1">
      <c r="A18" s="1506" t="s">
        <v>1733</v>
      </c>
      <c r="B18" s="1507" t="s">
        <v>1734</v>
      </c>
      <c r="C18" s="1508">
        <f>SUMIF(修正!C18:C39,E3,修正!E18:E39)</f>
        <v>0</v>
      </c>
      <c r="D18" s="1509"/>
      <c r="E18" s="1510"/>
      <c r="F18" s="1511"/>
      <c r="G18" s="1512"/>
      <c r="H18" s="1512"/>
      <c r="I18" s="1512"/>
      <c r="J18" s="1513"/>
      <c r="K18" s="2238"/>
      <c r="O18" s="2235"/>
      <c r="P18" s="2235"/>
      <c r="Q18" s="2235"/>
      <c r="R18" s="2235"/>
      <c r="S18" s="2235"/>
      <c r="T18" s="2235"/>
      <c r="U18" s="2235"/>
      <c r="V18" s="2235"/>
      <c r="W18" s="2235"/>
      <c r="X18" s="2235"/>
      <c r="Y18" s="2235"/>
      <c r="Z18" s="2235"/>
      <c r="AA18" s="2235"/>
      <c r="AB18" s="2235"/>
      <c r="AC18" s="2235"/>
      <c r="AD18" s="2235"/>
      <c r="AE18" s="2236"/>
      <c r="AF18" s="2236"/>
      <c r="AG18" s="1447"/>
      <c r="AH18" s="1447"/>
      <c r="AI18" s="1447"/>
    </row>
    <row r="19" spans="1:37" s="1461" customFormat="1" ht="27.75" thickBot="1">
      <c r="A19" s="1506" t="s">
        <v>1735</v>
      </c>
      <c r="B19" s="1507" t="s">
        <v>1736</v>
      </c>
      <c r="C19" s="1514" t="e">
        <f>ROUND(IF(H19="按公示增长率计算",SUMPRODUCT((地价!A3:A19=YEAR(G19)&amp;"-"&amp;ROUNDUP(MONTH(G19)/3,0))*(地价!X2:AB2=E2)*(地价!X3:AB19)),IF(H19="地价指数",M20/M19,(1+I19)^O19)),4)</f>
        <v>#DIV/0!</v>
      </c>
      <c r="D19" s="1515" t="s">
        <v>1055</v>
      </c>
      <c r="E19" s="1516">
        <v>41640</v>
      </c>
      <c r="F19" s="1515" t="s">
        <v>1056</v>
      </c>
      <c r="G19" s="1517">
        <f>'数据-取费表'!B2</f>
        <v>42916</v>
      </c>
      <c r="H19" s="2778" t="s">
        <v>2803</v>
      </c>
      <c r="I19" s="1518" t="str">
        <f>IF(H19="季度增幅（自定义）",SUMIF(N21:N24,E2,O21:O24),"")</f>
        <v/>
      </c>
      <c r="J19" s="1513"/>
      <c r="K19" s="2238"/>
      <c r="L19" s="3006" t="s">
        <v>2801</v>
      </c>
      <c r="M19" s="3007">
        <f>ROUND(SUMIF(地价!B2:F2,E2,地价!B19:F19),0)</f>
        <v>0</v>
      </c>
      <c r="N19" s="2538" t="s">
        <v>2518</v>
      </c>
      <c r="O19" s="1519">
        <f>ROUNDDOWN(DATEDIF(E19,G19,"M")/3,0)</f>
        <v>13</v>
      </c>
      <c r="P19" s="2535"/>
      <c r="R19" s="2235"/>
      <c r="S19" s="2235"/>
      <c r="T19" s="2235"/>
      <c r="U19" s="2235"/>
      <c r="V19" s="2235"/>
      <c r="W19" s="2235"/>
      <c r="X19" s="2235"/>
      <c r="Y19" s="2235"/>
      <c r="Z19" s="2235"/>
      <c r="AA19" s="2235"/>
      <c r="AB19" s="2235"/>
      <c r="AC19" s="2235"/>
      <c r="AD19" s="2235"/>
      <c r="AE19" s="2238"/>
      <c r="AF19" s="2237"/>
      <c r="AG19" s="1520"/>
      <c r="AH19" s="1447"/>
      <c r="AI19" s="1460"/>
      <c r="AJ19" s="1460"/>
      <c r="AK19" s="1460"/>
    </row>
    <row r="20" spans="1:37" s="1461" customFormat="1" ht="27.75" thickBot="1">
      <c r="A20" s="1529" t="s">
        <v>1737</v>
      </c>
      <c r="B20" s="1577" t="s">
        <v>1738</v>
      </c>
      <c r="C20" s="1521" t="e">
        <f>ROUND(POWER(1+G20,J20-I20)*(POWER(1+G20,I20)-1)/(POWER(1+G20,J20)-1),4)</f>
        <v>#DIV/0!</v>
      </c>
      <c r="D20" s="1578" t="s">
        <v>1739</v>
      </c>
      <c r="E20" s="3053">
        <f ca="1">存贷款利率!D4/100</f>
        <v>4.3499999999999997E-2</v>
      </c>
      <c r="F20" s="1578" t="s">
        <v>1740</v>
      </c>
      <c r="G20" s="1579">
        <f>SUMIF(M15:P15,E2,M17:P17)</f>
        <v>0</v>
      </c>
      <c r="H20" s="1578" t="s">
        <v>1741</v>
      </c>
      <c r="I20" s="1580">
        <f>'数据-取费表'!B13</f>
        <v>64.84</v>
      </c>
      <c r="J20" s="1581">
        <f>IF(E2="住宅",70,IF(E2="商业",40,50))</f>
        <v>50</v>
      </c>
      <c r="K20" s="2238"/>
      <c r="L20" s="3008" t="s">
        <v>2802</v>
      </c>
      <c r="M20" s="3009">
        <f>ROUND(SUMPRODUCT((地价!A4:A19=YEAR(G19)&amp;"-"&amp;ROUNDUP(MONTH(G19)/3,0))*(地价!B2:F2=E2)*(地价!B4:F19)),0)</f>
        <v>0</v>
      </c>
      <c r="N20" s="2779" t="s">
        <v>2647</v>
      </c>
      <c r="O20" s="2780" t="s">
        <v>2648</v>
      </c>
      <c r="P20" s="2781" t="s">
        <v>2655</v>
      </c>
      <c r="R20" s="2235"/>
      <c r="S20" s="2235"/>
      <c r="T20" s="2235"/>
      <c r="U20" s="2235"/>
      <c r="V20" s="2235"/>
      <c r="W20" s="2235"/>
      <c r="X20" s="2235"/>
      <c r="Y20" s="2235"/>
      <c r="Z20" s="2235"/>
      <c r="AA20" s="2235"/>
      <c r="AB20" s="2235"/>
      <c r="AC20" s="2235"/>
      <c r="AD20" s="2235"/>
      <c r="AE20" s="2238"/>
      <c r="AF20" s="2238"/>
    </row>
    <row r="21" spans="1:37" s="1461" customFormat="1" ht="14.25">
      <c r="A21" s="1582" t="s">
        <v>1742</v>
      </c>
      <c r="B21" s="1633" t="s">
        <v>1068</v>
      </c>
      <c r="C21" s="1583" t="b">
        <f>IF(B21="容积率修正",IF(G3&lt;=10,D22,J22),C23)</f>
        <v>0</v>
      </c>
      <c r="D21" s="1584"/>
      <c r="E21" s="1584"/>
      <c r="F21" s="1584"/>
      <c r="G21" s="1584"/>
      <c r="H21" s="1584"/>
      <c r="I21" s="1584"/>
      <c r="J21" s="1585"/>
      <c r="K21" s="2238"/>
      <c r="N21" s="2782" t="s">
        <v>2649</v>
      </c>
      <c r="O21" s="2783"/>
      <c r="P21" s="2784">
        <f>SUMPRODUCT((地价!A3:A19=YEAR(G19)&amp;"-"&amp;ROUNDUP(MONTH(G19)/3,0))*(地价!AD2:AH2=N21)*(地价!AD3:AH19))</f>
        <v>1.5699999999999999E-2</v>
      </c>
      <c r="R21" s="2235"/>
      <c r="S21" s="2235"/>
      <c r="T21" s="2235"/>
      <c r="U21" s="2235"/>
      <c r="V21" s="2235"/>
      <c r="W21" s="2235"/>
      <c r="X21" s="2235"/>
      <c r="Y21" s="2235"/>
      <c r="Z21" s="2235"/>
      <c r="AA21" s="2235"/>
      <c r="AB21" s="2235"/>
      <c r="AC21" s="2235"/>
      <c r="AD21" s="2235"/>
      <c r="AE21" s="2238"/>
      <c r="AF21" s="2238"/>
    </row>
    <row r="22" spans="1:37" s="1461" customFormat="1" ht="14.25">
      <c r="A22" s="1614">
        <v>1</v>
      </c>
      <c r="B22" s="1523" t="s">
        <v>1743</v>
      </c>
      <c r="C22" s="1615" t="s">
        <v>1757</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1070</v>
      </c>
      <c r="J22" s="1586" t="str">
        <f>IF(G3&gt;10,D113,"——")</f>
        <v>——</v>
      </c>
      <c r="K22" s="2238"/>
      <c r="N22" s="2782" t="s">
        <v>2650</v>
      </c>
      <c r="O22" s="2783"/>
      <c r="P22" s="2784">
        <f>SUMPRODUCT((地价!A3:A19=YEAR(G19)&amp;"-"&amp;ROUNDUP(MONTH(G19)/3,0))*(地价!AD2:AH2=N22)*(地价!AD3:AH19))</f>
        <v>1.5699999999999999E-2</v>
      </c>
      <c r="R22" s="2235"/>
      <c r="S22" s="2235"/>
      <c r="T22" s="2235"/>
      <c r="U22" s="2235"/>
      <c r="V22" s="2235"/>
      <c r="W22" s="2235"/>
      <c r="X22" s="2235"/>
      <c r="Y22" s="2235"/>
      <c r="Z22" s="2235"/>
      <c r="AA22" s="2235"/>
      <c r="AB22" s="2235"/>
      <c r="AC22" s="2235"/>
      <c r="AD22" s="2235"/>
      <c r="AE22" s="2238"/>
      <c r="AF22" s="2238"/>
    </row>
    <row r="23" spans="1:37" ht="27">
      <c r="A23" s="1614">
        <v>2</v>
      </c>
      <c r="B23" s="1523" t="s">
        <v>1744</v>
      </c>
      <c r="C23" s="1524">
        <f>ROUND(IF(G3&gt;1,IF(I3&lt;7,SUMPRODUCT((B93:B98=I3)*(C92:N92=G2)*(C93:N98)),SUMIF(C92:N92,G2,C100:N100)),IF(I3&lt;7,SUMPRODUCT((B102:B107=I3)*(C92:N92=G2)*(C102:N107)),SUMIF(C92:N92,G2,C109:N109))),4)</f>
        <v>0</v>
      </c>
      <c r="D23" s="1496"/>
      <c r="E23" s="1496"/>
      <c r="F23" s="1525"/>
      <c r="G23" s="1526"/>
      <c r="H23" s="1527"/>
      <c r="I23" s="1528"/>
      <c r="J23" s="1587"/>
      <c r="N23" s="2782" t="s">
        <v>25</v>
      </c>
      <c r="O23" s="2783"/>
      <c r="P23" s="2784">
        <f>SUMPRODUCT((地价!A3:A19=YEAR(G19)&amp;"-"&amp;ROUNDUP(MONTH(G19)/3,0))*(地价!AD2:AH2=N23)*(地价!AD3:AH19))</f>
        <v>2.6599999999999999E-2</v>
      </c>
      <c r="R23" s="2235"/>
      <c r="S23" s="2235"/>
      <c r="T23" s="2235"/>
      <c r="U23" s="2235"/>
      <c r="V23" s="2235"/>
      <c r="W23" s="2235"/>
      <c r="X23" s="2235"/>
      <c r="Y23" s="2235"/>
      <c r="Z23" s="2235"/>
      <c r="AA23" s="2235"/>
      <c r="AB23" s="2235"/>
      <c r="AC23" s="2235"/>
      <c r="AD23" s="2235"/>
      <c r="AE23" s="2236"/>
      <c r="AF23" s="2236"/>
      <c r="AK23" s="1447"/>
    </row>
    <row r="24" spans="1:37" s="1461" customFormat="1" ht="15.75" thickBot="1">
      <c r="A24" s="1588" t="s">
        <v>1745</v>
      </c>
      <c r="B24" s="1589" t="s">
        <v>1746</v>
      </c>
      <c r="C24" s="1590">
        <f>SUMIF(A46:A88,E2,B46:B88)</f>
        <v>0</v>
      </c>
      <c r="D24" s="1591"/>
      <c r="E24" s="1592"/>
      <c r="F24" s="1592"/>
      <c r="G24" s="1592"/>
      <c r="H24" s="1592"/>
      <c r="I24" s="1592"/>
      <c r="J24" s="1593"/>
      <c r="K24" s="2238"/>
      <c r="N24" s="2785" t="s">
        <v>24</v>
      </c>
      <c r="O24" s="2786"/>
      <c r="P24" s="2787">
        <f>SUMPRODUCT((地价!A3:A19=YEAR(G19)&amp;"-"&amp;ROUNDUP(MONTH(G19)/3,0))*(地价!AD2:AH2=N24)*(地价!AD3:AH19))</f>
        <v>1.34E-2</v>
      </c>
      <c r="R24" s="2235"/>
      <c r="S24" s="2235"/>
      <c r="T24" s="2235"/>
      <c r="U24" s="2235"/>
      <c r="V24" s="2235"/>
      <c r="W24" s="2235"/>
      <c r="X24" s="2235"/>
      <c r="Y24" s="2235"/>
      <c r="Z24" s="2235"/>
      <c r="AA24" s="2235"/>
      <c r="AB24" s="2235"/>
      <c r="AC24" s="2235"/>
      <c r="AD24" s="2235"/>
      <c r="AE24" s="2238"/>
      <c r="AF24" s="2238"/>
    </row>
    <row r="25" spans="1:37" ht="15" thickBot="1">
      <c r="A25" s="1529" t="s">
        <v>1747</v>
      </c>
      <c r="B25" s="1530" t="s">
        <v>1748</v>
      </c>
      <c r="C25" s="1531"/>
      <c r="D25" s="1473"/>
      <c r="E25" s="1473"/>
      <c r="F25" s="1532"/>
      <c r="G25" s="1473"/>
      <c r="H25" s="1473"/>
      <c r="I25" s="1473"/>
      <c r="J25" s="1474"/>
      <c r="L25" s="2235"/>
      <c r="M25" s="2235"/>
      <c r="N25" s="2788" t="s">
        <v>2651</v>
      </c>
      <c r="O25" s="2789"/>
      <c r="P25" s="2787">
        <f>SUMPRODUCT((地价!A3:A19=YEAR(G19)&amp;"-"&amp;ROUNDUP(MONTH(G19)/3,0))*(地价!AD2:AH2=N25)*(地价!AD3:AH19))</f>
        <v>2.3900000000000001E-2</v>
      </c>
      <c r="R25" s="2235"/>
      <c r="S25" s="2235"/>
      <c r="T25" s="2235"/>
      <c r="U25" s="2235"/>
      <c r="V25" s="2235"/>
      <c r="W25" s="2235"/>
      <c r="X25" s="2235"/>
      <c r="Y25" s="2235"/>
      <c r="Z25" s="2235"/>
      <c r="AA25" s="2235"/>
      <c r="AB25" s="2235"/>
      <c r="AC25" s="2235"/>
      <c r="AD25" s="2235"/>
      <c r="AE25" s="2236"/>
      <c r="AF25" s="2236"/>
    </row>
    <row r="26" spans="1:37" ht="13.5">
      <c r="A26" s="1536"/>
      <c r="B26" s="1523" t="s">
        <v>1784</v>
      </c>
      <c r="C26" s="340" t="e">
        <f>E29+SUM(E33:E39)</f>
        <v>#DIV/0!</v>
      </c>
      <c r="D26" s="1537"/>
      <c r="E26" s="1496"/>
      <c r="F26" s="1538"/>
      <c r="G26" s="1496"/>
      <c r="H26" s="1496"/>
      <c r="I26" s="1496"/>
      <c r="J26" s="1539"/>
      <c r="L26" s="2235"/>
      <c r="M26" s="2235"/>
      <c r="N26" s="2235"/>
      <c r="O26" s="2235"/>
      <c r="P26" s="2235"/>
      <c r="Q26" s="2235"/>
      <c r="R26" s="2235"/>
      <c r="S26" s="2235"/>
      <c r="T26" s="2235"/>
      <c r="U26" s="2235"/>
      <c r="V26" s="2235"/>
      <c r="W26" s="2235"/>
      <c r="X26" s="2235"/>
      <c r="Y26" s="2235"/>
      <c r="Z26" s="2235"/>
      <c r="AA26" s="2235"/>
      <c r="AB26" s="2235"/>
      <c r="AC26" s="2235"/>
      <c r="AD26" s="2235"/>
      <c r="AE26" s="2236"/>
      <c r="AF26" s="2236"/>
    </row>
    <row r="27" spans="1:37" ht="14.25" thickBot="1">
      <c r="A27" s="1536"/>
      <c r="B27" s="1540" t="s">
        <v>1785</v>
      </c>
      <c r="C27" s="1541" t="e">
        <f>E30+SUM(I33:I39)</f>
        <v>#DIV/0!</v>
      </c>
      <c r="D27" s="1542"/>
      <c r="E27" s="1543"/>
      <c r="F27" s="1544"/>
      <c r="G27" s="1543"/>
      <c r="H27" s="1543"/>
      <c r="I27" s="1543"/>
      <c r="J27" s="1545"/>
      <c r="L27" s="2235"/>
      <c r="M27" s="2235"/>
      <c r="N27" s="2235"/>
      <c r="O27" s="2235"/>
      <c r="P27" s="2235"/>
      <c r="Q27" s="2235"/>
      <c r="R27" s="2235"/>
      <c r="S27" s="2235"/>
      <c r="T27" s="2235"/>
      <c r="U27" s="2235"/>
      <c r="V27" s="2235"/>
      <c r="W27" s="2235"/>
      <c r="X27" s="2235"/>
      <c r="Y27" s="2235"/>
      <c r="Z27" s="2235"/>
      <c r="AA27" s="2235"/>
      <c r="AB27" s="2235"/>
      <c r="AC27" s="2235"/>
      <c r="AD27" s="2235"/>
      <c r="AE27" s="2236"/>
      <c r="AF27" s="2236"/>
    </row>
    <row r="28" spans="1:37" ht="13.5">
      <c r="A28" s="1529"/>
      <c r="B28" s="1546" t="s">
        <v>1783</v>
      </c>
      <c r="C28" s="1547" t="s">
        <v>1753</v>
      </c>
      <c r="D28" s="1547" t="s">
        <v>1774</v>
      </c>
      <c r="E28" s="1548" t="s">
        <v>1775</v>
      </c>
      <c r="F28" s="1549"/>
      <c r="G28" s="1489"/>
      <c r="H28" s="1489"/>
      <c r="I28" s="1489"/>
      <c r="J28" s="1490"/>
      <c r="L28" s="2235"/>
      <c r="M28" s="2235"/>
      <c r="N28" s="2235"/>
      <c r="O28" s="2235"/>
      <c r="P28" s="2235"/>
      <c r="Q28" s="2235"/>
      <c r="R28" s="2235"/>
      <c r="S28" s="2235"/>
      <c r="T28" s="2235"/>
      <c r="U28" s="2235"/>
      <c r="V28" s="2235"/>
      <c r="W28" s="2235"/>
      <c r="X28" s="2235"/>
      <c r="Y28" s="2235"/>
      <c r="Z28" s="2235"/>
      <c r="AA28" s="2235"/>
      <c r="AB28" s="2235"/>
      <c r="AC28" s="2235"/>
      <c r="AD28" s="2235"/>
      <c r="AE28" s="2236"/>
      <c r="AF28" s="2236"/>
    </row>
    <row r="29" spans="1:37" ht="24">
      <c r="A29" s="1616"/>
      <c r="B29" s="1550" t="s">
        <v>1778</v>
      </c>
      <c r="C29" s="340" t="e">
        <f>ROUND(C5*C18*C19*C20*C21*C24,0)</f>
        <v>#DIV/0!</v>
      </c>
      <c r="D29" s="1573"/>
      <c r="E29" s="1617" t="e">
        <f>ROUND(C29*D29,0)</f>
        <v>#DIV/0!</v>
      </c>
      <c r="F29" s="1551" t="s">
        <v>1754</v>
      </c>
      <c r="G29" s="1552"/>
      <c r="H29" s="1552"/>
      <c r="I29" s="1552"/>
      <c r="J29" s="1553"/>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1448"/>
      <c r="AH29" s="1448"/>
      <c r="AI29" s="1448"/>
      <c r="AJ29" s="1448"/>
    </row>
    <row r="30" spans="1:37" ht="24.75" thickBot="1">
      <c r="A30" s="1554"/>
      <c r="B30" s="1555" t="s">
        <v>1779</v>
      </c>
      <c r="C30" s="367" t="e">
        <f>ROUND(IF(E2="工业",C29*M39,C29*M38),0)</f>
        <v>#DIV/0!</v>
      </c>
      <c r="D30" s="1574"/>
      <c r="E30" s="1617" t="e">
        <f>ROUND(C30*D30,0)</f>
        <v>#DIV/0!</v>
      </c>
      <c r="F30" s="1556" t="s">
        <v>1776</v>
      </c>
      <c r="G30" s="1557"/>
      <c r="H30" s="1557"/>
      <c r="I30" s="1557"/>
      <c r="J30" s="1558"/>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1448"/>
      <c r="AH30" s="1448"/>
      <c r="AI30" s="1448"/>
      <c r="AJ30" s="1448"/>
    </row>
    <row r="31" spans="1:37">
      <c r="A31" s="1559"/>
      <c r="B31" s="1560" t="s">
        <v>1780</v>
      </c>
      <c r="C31" s="1561" t="s">
        <v>1781</v>
      </c>
      <c r="D31" s="1489"/>
      <c r="E31" s="1561"/>
      <c r="F31" s="1561"/>
      <c r="G31" s="1487" t="s">
        <v>1782</v>
      </c>
      <c r="H31" s="1489"/>
      <c r="I31" s="1562"/>
      <c r="J31" s="1490"/>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1448"/>
      <c r="AH31" s="1448"/>
      <c r="AI31" s="1448"/>
      <c r="AJ31" s="1448"/>
    </row>
    <row r="32" spans="1:37" ht="24">
      <c r="A32" s="1616"/>
      <c r="B32" s="1563"/>
      <c r="C32" s="121" t="s">
        <v>1753</v>
      </c>
      <c r="D32" s="118" t="s">
        <v>1774</v>
      </c>
      <c r="E32" s="118" t="s">
        <v>1775</v>
      </c>
      <c r="F32" s="1564" t="s">
        <v>1756</v>
      </c>
      <c r="G32" s="1522" t="s">
        <v>1753</v>
      </c>
      <c r="H32" s="1522" t="s">
        <v>1774</v>
      </c>
      <c r="I32" s="1522" t="s">
        <v>1775</v>
      </c>
      <c r="J32" s="1565"/>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1448"/>
      <c r="AH32" s="1448"/>
      <c r="AI32" s="1448"/>
      <c r="AJ32" s="1448"/>
    </row>
    <row r="33" spans="1:37" ht="12.75">
      <c r="A33" s="1566"/>
      <c r="B33" s="1567" t="s">
        <v>1072</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35"/>
      <c r="M33" s="2235"/>
      <c r="N33" s="2235"/>
      <c r="O33" s="2235"/>
      <c r="P33" s="2235"/>
      <c r="Q33" s="2235"/>
      <c r="R33" s="2235"/>
      <c r="S33" s="2235"/>
      <c r="T33" s="2235"/>
      <c r="U33" s="2235"/>
      <c r="V33" s="2235"/>
      <c r="W33" s="2235"/>
      <c r="X33" s="2235"/>
      <c r="Y33" s="2235"/>
      <c r="Z33" s="2236"/>
      <c r="AA33" s="2236"/>
      <c r="AB33" s="2236"/>
      <c r="AC33" s="2236"/>
      <c r="AD33" s="2236"/>
      <c r="AE33" s="2236"/>
      <c r="AF33" s="2236"/>
    </row>
    <row r="34" spans="1:37" ht="12.75">
      <c r="A34" s="1566"/>
      <c r="B34" s="1492" t="s">
        <v>1073</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35"/>
      <c r="M34" s="2235"/>
      <c r="N34" s="2235"/>
      <c r="O34" s="2235"/>
      <c r="P34" s="2235"/>
      <c r="Q34" s="2235"/>
      <c r="R34" s="2235"/>
      <c r="S34" s="2235"/>
      <c r="T34" s="2235"/>
      <c r="U34" s="2235"/>
      <c r="V34" s="2235"/>
      <c r="W34" s="2235"/>
      <c r="X34" s="2235"/>
      <c r="Y34" s="2235"/>
      <c r="Z34" s="2236"/>
      <c r="AA34" s="2236"/>
      <c r="AB34" s="2236"/>
      <c r="AC34" s="2236"/>
      <c r="AD34" s="2236"/>
      <c r="AE34" s="2236"/>
      <c r="AF34" s="2236"/>
    </row>
    <row r="35" spans="1:37" ht="12.75">
      <c r="A35" s="1566"/>
      <c r="B35" s="1492" t="s">
        <v>1074</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35"/>
      <c r="M35" s="2235"/>
      <c r="N35" s="2235"/>
      <c r="O35" s="2235"/>
      <c r="P35" s="2235"/>
      <c r="Q35" s="2235"/>
      <c r="R35" s="2235"/>
      <c r="S35" s="2235"/>
      <c r="T35" s="2235"/>
      <c r="U35" s="2235"/>
      <c r="V35" s="2235"/>
      <c r="W35" s="2235"/>
      <c r="X35" s="2235"/>
      <c r="Y35" s="2235"/>
      <c r="Z35" s="2236"/>
      <c r="AA35" s="2236"/>
      <c r="AB35" s="2236"/>
      <c r="AC35" s="2236"/>
      <c r="AD35" s="2236"/>
      <c r="AE35" s="2236"/>
      <c r="AF35" s="2236"/>
    </row>
    <row r="36" spans="1:37" ht="13.5" thickBot="1">
      <c r="A36" s="1566"/>
      <c r="B36" s="1492" t="s">
        <v>1075</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39"/>
      <c r="M36" s="2239"/>
      <c r="N36" s="2235"/>
      <c r="O36" s="2235"/>
      <c r="P36" s="2235"/>
      <c r="Q36" s="2235"/>
      <c r="R36" s="2235"/>
      <c r="S36" s="2235"/>
      <c r="T36" s="2235"/>
      <c r="U36" s="2235"/>
      <c r="V36" s="2235"/>
      <c r="W36" s="2235"/>
      <c r="X36" s="2235"/>
      <c r="Y36" s="2235"/>
      <c r="Z36" s="2236"/>
      <c r="AA36" s="2236"/>
      <c r="AB36" s="2236"/>
      <c r="AC36" s="2236"/>
      <c r="AD36" s="2236"/>
      <c r="AE36" s="2236"/>
      <c r="AF36" s="2236"/>
    </row>
    <row r="37" spans="1:37" ht="12.75">
      <c r="A37" s="1566"/>
      <c r="B37" s="1492" t="s">
        <v>1076</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1777</v>
      </c>
      <c r="M37" s="1474"/>
      <c r="N37" s="2235"/>
      <c r="O37" s="2235"/>
      <c r="P37" s="2235"/>
      <c r="Q37" s="2235"/>
      <c r="R37" s="2235"/>
      <c r="S37" s="2235"/>
      <c r="T37" s="2235"/>
      <c r="U37" s="2235"/>
      <c r="V37" s="2235"/>
      <c r="W37" s="2235"/>
      <c r="X37" s="2235"/>
      <c r="Y37" s="2235"/>
      <c r="Z37" s="2236"/>
      <c r="AA37" s="2236"/>
      <c r="AB37" s="2236"/>
      <c r="AC37" s="2236"/>
      <c r="AD37" s="2236"/>
      <c r="AE37" s="2236"/>
      <c r="AF37" s="2236"/>
    </row>
    <row r="38" spans="1:37" ht="12.75">
      <c r="A38" s="1566"/>
      <c r="B38" s="1492" t="s">
        <v>1077</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1755</v>
      </c>
      <c r="M38" s="1597">
        <v>0.25</v>
      </c>
      <c r="N38" s="2235"/>
      <c r="O38" s="2235"/>
      <c r="P38" s="2235"/>
      <c r="Q38" s="2235"/>
      <c r="R38" s="2235"/>
      <c r="S38" s="2235"/>
      <c r="T38" s="2235"/>
      <c r="U38" s="2235"/>
      <c r="V38" s="2235"/>
      <c r="W38" s="2235"/>
      <c r="X38" s="2235"/>
      <c r="Y38" s="2235"/>
      <c r="Z38" s="2236"/>
      <c r="AA38" s="2236"/>
      <c r="AB38" s="2236"/>
      <c r="AC38" s="2236"/>
      <c r="AD38" s="2236"/>
      <c r="AE38" s="2236"/>
      <c r="AF38" s="2236"/>
    </row>
    <row r="39" spans="1:37" ht="13.5" thickBot="1">
      <c r="A39" s="1554"/>
      <c r="B39" s="1569" t="s">
        <v>1078</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1752</v>
      </c>
      <c r="M39" s="1599">
        <v>0.15</v>
      </c>
      <c r="N39" s="2235"/>
      <c r="O39" s="2235"/>
      <c r="P39" s="2235"/>
      <c r="Q39" s="2235"/>
      <c r="R39" s="2235"/>
      <c r="S39" s="2235"/>
      <c r="T39" s="2235"/>
      <c r="U39" s="2235"/>
      <c r="V39" s="2235"/>
      <c r="W39" s="2235"/>
      <c r="X39" s="2235"/>
      <c r="Y39" s="2235"/>
      <c r="Z39" s="2236"/>
      <c r="AA39" s="2236"/>
      <c r="AB39" s="2236"/>
      <c r="AC39" s="2236"/>
      <c r="AD39" s="2236"/>
      <c r="AE39" s="2236"/>
      <c r="AF39" s="2236"/>
    </row>
    <row r="40" spans="1:37" s="1445" customFormat="1">
      <c r="A40" s="2235"/>
      <c r="B40" s="2235"/>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5"/>
      <c r="Y40" s="2235"/>
      <c r="Z40" s="2236"/>
      <c r="AA40" s="2236"/>
      <c r="AB40" s="2236"/>
      <c r="AC40" s="2236"/>
      <c r="AD40" s="2236"/>
      <c r="AE40" s="2236"/>
      <c r="AF40" s="2236"/>
      <c r="AG40" s="1446"/>
      <c r="AH40" s="1446"/>
      <c r="AI40" s="1446"/>
      <c r="AJ40" s="1446"/>
    </row>
    <row r="41" spans="1:37" s="1445" customFormat="1">
      <c r="A41" s="2236"/>
      <c r="B41" s="2242"/>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5"/>
      <c r="Y41" s="2235"/>
      <c r="Z41" s="2236"/>
      <c r="AA41" s="2236"/>
      <c r="AB41" s="2236"/>
      <c r="AC41" s="2236"/>
      <c r="AD41" s="2236"/>
      <c r="AE41" s="2236"/>
      <c r="AF41" s="2236"/>
      <c r="AG41" s="1446"/>
      <c r="AH41" s="1446"/>
      <c r="AI41" s="1446"/>
      <c r="AJ41" s="1446"/>
    </row>
    <row r="42" spans="1:37" s="1445" customFormat="1">
      <c r="A42" s="2236"/>
      <c r="B42" s="2242"/>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6"/>
      <c r="AA42" s="2236"/>
      <c r="AB42" s="2236"/>
      <c r="AC42" s="2236"/>
      <c r="AD42" s="2236"/>
      <c r="AE42" s="2236"/>
      <c r="AF42" s="2236"/>
      <c r="AG42" s="1446"/>
      <c r="AH42" s="1446"/>
      <c r="AI42" s="1446"/>
      <c r="AJ42" s="1446"/>
    </row>
    <row r="43" spans="1:37" s="1445" customFormat="1">
      <c r="A43" s="2236"/>
      <c r="B43" s="2242"/>
      <c r="C43" s="2235"/>
      <c r="D43" s="2235"/>
      <c r="E43" s="2235"/>
      <c r="F43" s="2235"/>
      <c r="G43" s="2235"/>
      <c r="H43" s="2235"/>
      <c r="I43" s="2235"/>
      <c r="J43" s="2235"/>
      <c r="K43" s="2235"/>
      <c r="L43" s="2235"/>
      <c r="M43" s="2235"/>
      <c r="N43" s="2235"/>
      <c r="O43" s="2235"/>
      <c r="P43" s="2235"/>
      <c r="Q43" s="2235"/>
      <c r="R43" s="2235"/>
      <c r="S43" s="2235"/>
      <c r="T43" s="2235"/>
      <c r="U43" s="2235"/>
      <c r="V43" s="2235"/>
      <c r="W43" s="2235"/>
      <c r="X43" s="2235"/>
      <c r="Y43" s="2235"/>
      <c r="Z43" s="2236"/>
      <c r="AA43" s="2236"/>
      <c r="AB43" s="2236"/>
      <c r="AC43" s="2236"/>
      <c r="AD43" s="2236"/>
      <c r="AE43" s="2236"/>
      <c r="AF43" s="2236"/>
      <c r="AG43" s="1446"/>
      <c r="AH43" s="1446"/>
      <c r="AI43" s="1446"/>
      <c r="AJ43" s="1446"/>
    </row>
    <row r="44" spans="1:37" s="1445" customFormat="1">
      <c r="A44" s="2236"/>
      <c r="B44" s="2242"/>
      <c r="C44" s="2235"/>
      <c r="D44" s="2235"/>
      <c r="E44" s="2235"/>
      <c r="F44" s="2235"/>
      <c r="G44" s="2235"/>
      <c r="H44" s="2235"/>
      <c r="I44" s="2235"/>
      <c r="J44" s="2235"/>
      <c r="K44" s="2235"/>
      <c r="L44" s="2235"/>
      <c r="M44" s="2235"/>
      <c r="N44" s="2235"/>
      <c r="O44" s="2235"/>
      <c r="P44" s="2235"/>
      <c r="Q44" s="2235"/>
      <c r="R44" s="2235"/>
      <c r="S44" s="2235"/>
      <c r="T44" s="2235"/>
      <c r="U44" s="2235"/>
      <c r="V44" s="2235"/>
      <c r="W44" s="2235"/>
      <c r="X44" s="2235"/>
      <c r="Y44" s="2235"/>
      <c r="Z44" s="2236"/>
      <c r="AA44" s="2236"/>
      <c r="AB44" s="2236"/>
      <c r="AC44" s="2236"/>
      <c r="AD44" s="2236"/>
      <c r="AE44" s="2236"/>
      <c r="AF44" s="2236"/>
      <c r="AG44" s="1446"/>
      <c r="AH44" s="1446"/>
      <c r="AI44" s="1446"/>
      <c r="AJ44" s="1446"/>
    </row>
    <row r="45" spans="1:37" s="1445" customFormat="1" ht="15" thickBot="1">
      <c r="A45" s="1297" t="s">
        <v>1682</v>
      </c>
      <c r="B45" s="1298"/>
      <c r="C45" s="1024"/>
      <c r="D45" s="191"/>
      <c r="E45" s="191"/>
      <c r="F45" s="189"/>
      <c r="G45" s="1299"/>
      <c r="H45" s="189"/>
      <c r="I45" s="1299"/>
      <c r="J45" s="1299"/>
      <c r="K45" s="1299"/>
      <c r="L45" s="1299"/>
      <c r="M45" s="1299"/>
      <c r="N45" s="1444"/>
      <c r="O45" s="2235"/>
      <c r="P45" s="2235"/>
      <c r="Q45" s="2235"/>
      <c r="R45" s="2235"/>
      <c r="S45" s="2235"/>
      <c r="T45" s="2235"/>
      <c r="U45" s="2235"/>
      <c r="V45" s="2235"/>
      <c r="W45" s="2235"/>
      <c r="X45" s="2235"/>
      <c r="Y45" s="2235"/>
      <c r="Z45" s="2236"/>
      <c r="AA45" s="2236"/>
      <c r="AB45" s="2236"/>
      <c r="AC45" s="2236"/>
      <c r="AD45" s="2236"/>
      <c r="AE45" s="2236"/>
      <c r="AF45" s="2236"/>
      <c r="AG45" s="1446"/>
      <c r="AH45" s="1446"/>
      <c r="AI45" s="1446"/>
      <c r="AJ45" s="1446"/>
    </row>
    <row r="46" spans="1:37" s="1445" customFormat="1" ht="15">
      <c r="A46" s="1300" t="s">
        <v>1069</v>
      </c>
      <c r="B46" s="1301">
        <f>1+E48</f>
        <v>1</v>
      </c>
      <c r="C46" s="1302"/>
      <c r="D46" s="1303"/>
      <c r="E46" s="1304"/>
      <c r="F46" s="2412"/>
      <c r="G46" s="189"/>
      <c r="H46" s="1299"/>
      <c r="I46" s="1299"/>
      <c r="J46" s="1299"/>
      <c r="K46" s="1299"/>
      <c r="L46" s="1299"/>
      <c r="M46" s="1444"/>
      <c r="N46" s="2987"/>
      <c r="O46" s="2235"/>
      <c r="P46" s="2235"/>
      <c r="Q46" s="2235"/>
      <c r="R46" s="2235"/>
      <c r="S46" s="2235"/>
      <c r="T46" s="2235"/>
      <c r="U46" s="2235"/>
      <c r="V46" s="2235"/>
      <c r="W46" s="2235"/>
      <c r="X46" s="2235"/>
      <c r="Y46" s="2236"/>
      <c r="Z46" s="2236"/>
      <c r="AA46" s="2236"/>
      <c r="AB46" s="2236"/>
      <c r="AC46" s="2236"/>
      <c r="AD46" s="2236"/>
      <c r="AE46" s="2236"/>
      <c r="AF46" s="1446"/>
      <c r="AG46" s="1446"/>
      <c r="AH46" s="1446"/>
      <c r="AI46" s="1446"/>
    </row>
    <row r="47" spans="1:37" s="1445" customFormat="1" ht="24">
      <c r="A47" s="1306" t="s">
        <v>1683</v>
      </c>
      <c r="B47" s="1307" t="s">
        <v>1684</v>
      </c>
      <c r="C47" s="1308" t="s">
        <v>1685</v>
      </c>
      <c r="D47" s="1309" t="s">
        <v>1768</v>
      </c>
      <c r="E47" s="1310" t="s">
        <v>1770</v>
      </c>
      <c r="F47" s="1311" t="s">
        <v>2171</v>
      </c>
      <c r="G47" s="1309" t="s">
        <v>1763</v>
      </c>
      <c r="H47" s="2408" t="s">
        <v>2377</v>
      </c>
      <c r="I47" s="1309" t="s">
        <v>1769</v>
      </c>
      <c r="J47" s="805" t="s">
        <v>437</v>
      </c>
      <c r="K47" s="805" t="s">
        <v>438</v>
      </c>
      <c r="L47" s="805" t="s">
        <v>439</v>
      </c>
      <c r="M47" s="805" t="s">
        <v>440</v>
      </c>
      <c r="N47" s="805" t="s">
        <v>441</v>
      </c>
      <c r="O47" s="2235"/>
      <c r="P47" s="2235"/>
      <c r="Q47" s="2235"/>
      <c r="R47" s="2235"/>
      <c r="S47" s="2235"/>
      <c r="T47" s="2235"/>
      <c r="U47" s="2235"/>
      <c r="V47" s="2235"/>
      <c r="W47" s="2235"/>
      <c r="X47" s="2235"/>
      <c r="Y47" s="2235"/>
      <c r="Z47" s="2235"/>
      <c r="AA47" s="2236"/>
      <c r="AB47" s="2236"/>
      <c r="AC47" s="2236"/>
      <c r="AD47" s="2236"/>
      <c r="AE47" s="2236"/>
      <c r="AF47" s="2236"/>
      <c r="AG47" s="2236"/>
      <c r="AH47" s="1446"/>
      <c r="AI47" s="1446"/>
      <c r="AJ47" s="1446"/>
      <c r="AK47" s="1446"/>
    </row>
    <row r="48" spans="1:37" s="1445" customFormat="1" ht="24">
      <c r="A48" s="1306" t="s">
        <v>1686</v>
      </c>
      <c r="B48" s="1312">
        <f>估价对象房地状况!C16</f>
        <v>0</v>
      </c>
      <c r="C48" s="1293"/>
      <c r="D48" s="2409">
        <f t="shared" ref="D48:D56" si="10">SUMIF($J$47:$N$47,C48,J48:N48)</f>
        <v>0</v>
      </c>
      <c r="E48" s="1315">
        <f>ROUND(SUM(D48:D56),4)</f>
        <v>0</v>
      </c>
      <c r="F48" s="1316" t="str">
        <f>IF(E2="商业",SUMIF(L1:L12,G2,N1:N12),"——")</f>
        <v>——</v>
      </c>
      <c r="G48" s="2410"/>
      <c r="H48" s="2430" t="str">
        <f t="shared" ref="H48:H56" si="11">IFERROR(ROUNDDOWN($F$48*I48/2,4),"——")</f>
        <v>——</v>
      </c>
      <c r="I48" s="1314">
        <v>0.33</v>
      </c>
      <c r="J48" s="2411">
        <f t="shared" ref="J48:J56" si="12">K48+$G48</f>
        <v>0</v>
      </c>
      <c r="K48" s="2411">
        <f t="shared" ref="K48:K56" si="13">$L48+$G48</f>
        <v>0</v>
      </c>
      <c r="L48" s="2411">
        <v>0</v>
      </c>
      <c r="M48" s="2411">
        <f t="shared" ref="M48:N56" si="14">L48-$G48</f>
        <v>0</v>
      </c>
      <c r="N48" s="2411">
        <f t="shared" si="14"/>
        <v>0</v>
      </c>
      <c r="O48" s="2235"/>
      <c r="P48" s="2235"/>
      <c r="Q48" s="2235"/>
      <c r="R48" s="2235"/>
      <c r="S48" s="2235"/>
      <c r="T48" s="2235"/>
      <c r="U48" s="2235"/>
      <c r="V48" s="2235"/>
      <c r="W48" s="2235"/>
      <c r="X48" s="2235"/>
      <c r="Y48" s="2235"/>
      <c r="Z48" s="2235"/>
      <c r="AA48" s="2236"/>
      <c r="AB48" s="2236"/>
      <c r="AC48" s="2236"/>
      <c r="AD48" s="2236"/>
      <c r="AE48" s="2236"/>
      <c r="AF48" s="2236"/>
      <c r="AG48" s="2236"/>
      <c r="AH48" s="1446"/>
      <c r="AI48" s="1446"/>
      <c r="AJ48" s="1446"/>
      <c r="AK48" s="1446"/>
    </row>
    <row r="49" spans="1:37" s="1445" customFormat="1" ht="14.25">
      <c r="A49" s="1306" t="s">
        <v>1688</v>
      </c>
      <c r="B49" s="1317" t="str">
        <f>估价对象房地状况!C18</f>
        <v>192路 764路 778路</v>
      </c>
      <c r="C49" s="1293"/>
      <c r="D49" s="2409">
        <f t="shared" si="10"/>
        <v>0</v>
      </c>
      <c r="E49" s="1318"/>
      <c r="F49" s="1316"/>
      <c r="G49" s="2410"/>
      <c r="H49" s="2430" t="str">
        <f t="shared" si="11"/>
        <v>——</v>
      </c>
      <c r="I49" s="1314">
        <v>0.25</v>
      </c>
      <c r="J49" s="2411">
        <f t="shared" si="12"/>
        <v>0</v>
      </c>
      <c r="K49" s="2411">
        <f t="shared" si="13"/>
        <v>0</v>
      </c>
      <c r="L49" s="2411">
        <v>0</v>
      </c>
      <c r="M49" s="2411">
        <f t="shared" si="14"/>
        <v>0</v>
      </c>
      <c r="N49" s="2411">
        <f t="shared" si="14"/>
        <v>0</v>
      </c>
      <c r="O49" s="2235"/>
      <c r="P49" s="2235"/>
      <c r="Q49" s="2235"/>
      <c r="R49" s="2235"/>
      <c r="S49" s="2235"/>
      <c r="T49" s="2235"/>
      <c r="U49" s="2235"/>
      <c r="V49" s="2235"/>
      <c r="W49" s="2235"/>
      <c r="X49" s="2235"/>
      <c r="Y49" s="2235"/>
      <c r="Z49" s="2235"/>
      <c r="AA49" s="2236"/>
      <c r="AB49" s="2236"/>
      <c r="AC49" s="2236"/>
      <c r="AD49" s="2236"/>
      <c r="AE49" s="2236"/>
      <c r="AF49" s="2236"/>
      <c r="AG49" s="2236"/>
      <c r="AH49" s="1446"/>
      <c r="AI49" s="1446"/>
      <c r="AJ49" s="1446"/>
      <c r="AK49" s="1446"/>
    </row>
    <row r="50" spans="1:37" s="1445" customFormat="1" ht="24">
      <c r="A50" s="1306" t="s">
        <v>1689</v>
      </c>
      <c r="B50" s="1317">
        <f>估价对象房地状况!C19</f>
        <v>0</v>
      </c>
      <c r="C50" s="1293"/>
      <c r="D50" s="2409">
        <f t="shared" si="10"/>
        <v>0</v>
      </c>
      <c r="E50" s="1318"/>
      <c r="F50" s="1316"/>
      <c r="G50" s="2410"/>
      <c r="H50" s="2430" t="str">
        <f t="shared" si="11"/>
        <v>——</v>
      </c>
      <c r="I50" s="1314">
        <v>0.05</v>
      </c>
      <c r="J50" s="2411">
        <f t="shared" si="12"/>
        <v>0</v>
      </c>
      <c r="K50" s="2411">
        <f t="shared" si="13"/>
        <v>0</v>
      </c>
      <c r="L50" s="2411">
        <v>0</v>
      </c>
      <c r="M50" s="2411">
        <f t="shared" si="14"/>
        <v>0</v>
      </c>
      <c r="N50" s="2411">
        <f t="shared" si="14"/>
        <v>0</v>
      </c>
      <c r="O50" s="2235"/>
      <c r="P50" s="2235"/>
      <c r="Q50" s="2235"/>
      <c r="R50" s="2235"/>
      <c r="S50" s="2235"/>
      <c r="T50" s="2235"/>
      <c r="U50" s="2235"/>
      <c r="V50" s="2235"/>
      <c r="W50" s="2235"/>
      <c r="X50" s="2235"/>
      <c r="Y50" s="2235"/>
      <c r="Z50" s="2235"/>
      <c r="AA50" s="2236"/>
      <c r="AB50" s="2236"/>
      <c r="AC50" s="2236"/>
      <c r="AD50" s="2236"/>
      <c r="AE50" s="2236"/>
      <c r="AF50" s="2236"/>
      <c r="AG50" s="2236"/>
      <c r="AH50" s="1446"/>
      <c r="AI50" s="1446"/>
      <c r="AJ50" s="1446"/>
      <c r="AK50" s="1446"/>
    </row>
    <row r="51" spans="1:37" s="1445" customFormat="1" ht="36">
      <c r="A51" s="1306" t="s">
        <v>1690</v>
      </c>
      <c r="B51" s="3054" t="s">
        <v>2879</v>
      </c>
      <c r="C51" s="1293"/>
      <c r="D51" s="2409">
        <f t="shared" si="10"/>
        <v>0</v>
      </c>
      <c r="E51" s="1318"/>
      <c r="F51" s="1316"/>
      <c r="G51" s="2410"/>
      <c r="H51" s="2430" t="str">
        <f t="shared" si="11"/>
        <v>——</v>
      </c>
      <c r="I51" s="1314">
        <v>0.05</v>
      </c>
      <c r="J51" s="2411">
        <f t="shared" si="12"/>
        <v>0</v>
      </c>
      <c r="K51" s="2411">
        <f t="shared" si="13"/>
        <v>0</v>
      </c>
      <c r="L51" s="2411">
        <v>0</v>
      </c>
      <c r="M51" s="2411">
        <f t="shared" si="14"/>
        <v>0</v>
      </c>
      <c r="N51" s="2411">
        <f t="shared" si="14"/>
        <v>0</v>
      </c>
      <c r="O51" s="2235"/>
      <c r="P51" s="2235"/>
      <c r="Q51" s="2235"/>
      <c r="R51" s="2235"/>
      <c r="S51" s="2235"/>
      <c r="T51" s="2235"/>
      <c r="U51" s="2235"/>
      <c r="V51" s="2235"/>
      <c r="W51" s="2235"/>
      <c r="X51" s="2235"/>
      <c r="Y51" s="2235"/>
      <c r="Z51" s="2235"/>
      <c r="AA51" s="2236"/>
      <c r="AB51" s="2236"/>
      <c r="AC51" s="2236"/>
      <c r="AD51" s="2236"/>
      <c r="AE51" s="2236"/>
      <c r="AF51" s="2236"/>
      <c r="AG51" s="2236"/>
      <c r="AH51" s="1446"/>
      <c r="AI51" s="1446"/>
      <c r="AJ51" s="1446"/>
      <c r="AK51" s="1446"/>
    </row>
    <row r="52" spans="1:37" s="1445" customFormat="1" ht="24">
      <c r="A52" s="1306" t="s">
        <v>1691</v>
      </c>
      <c r="B52" s="1317" t="str">
        <f>估价对象房地状况!C24</f>
        <v>主干道-博园西路</v>
      </c>
      <c r="C52" s="1293"/>
      <c r="D52" s="2409">
        <f t="shared" si="10"/>
        <v>0</v>
      </c>
      <c r="E52" s="1318"/>
      <c r="F52" s="1316"/>
      <c r="G52" s="2410"/>
      <c r="H52" s="2430" t="str">
        <f t="shared" si="11"/>
        <v>——</v>
      </c>
      <c r="I52" s="1314">
        <v>0.08</v>
      </c>
      <c r="J52" s="2411">
        <f t="shared" si="12"/>
        <v>0</v>
      </c>
      <c r="K52" s="2411">
        <f t="shared" si="13"/>
        <v>0</v>
      </c>
      <c r="L52" s="2411">
        <v>0</v>
      </c>
      <c r="M52" s="2411">
        <f t="shared" si="14"/>
        <v>0</v>
      </c>
      <c r="N52" s="2411">
        <f t="shared" si="14"/>
        <v>0</v>
      </c>
      <c r="O52" s="2235"/>
      <c r="P52" s="2235"/>
      <c r="Q52" s="2235"/>
      <c r="R52" s="2235"/>
      <c r="S52" s="2235"/>
      <c r="T52" s="2235"/>
      <c r="U52" s="2235"/>
      <c r="V52" s="2235"/>
      <c r="W52" s="2235"/>
      <c r="X52" s="2235"/>
      <c r="Y52" s="2235"/>
      <c r="Z52" s="2235"/>
      <c r="AA52" s="2236"/>
      <c r="AB52" s="2236"/>
      <c r="AC52" s="2236"/>
      <c r="AD52" s="2236"/>
      <c r="AE52" s="2236"/>
      <c r="AF52" s="2236"/>
      <c r="AG52" s="2236"/>
      <c r="AH52" s="1446"/>
      <c r="AI52" s="1446"/>
      <c r="AJ52" s="1446"/>
      <c r="AK52" s="1446"/>
    </row>
    <row r="53" spans="1:37" s="1445" customFormat="1" ht="24">
      <c r="A53" s="1306" t="s">
        <v>1692</v>
      </c>
      <c r="B53" s="3055" t="s">
        <v>2880</v>
      </c>
      <c r="C53" s="1293"/>
      <c r="D53" s="2409">
        <f t="shared" si="10"/>
        <v>0</v>
      </c>
      <c r="E53" s="1318"/>
      <c r="F53" s="1316"/>
      <c r="G53" s="2410"/>
      <c r="H53" s="2430" t="str">
        <f t="shared" si="11"/>
        <v>——</v>
      </c>
      <c r="I53" s="1314">
        <v>0.03</v>
      </c>
      <c r="J53" s="2411">
        <f t="shared" si="12"/>
        <v>0</v>
      </c>
      <c r="K53" s="2411">
        <f t="shared" si="13"/>
        <v>0</v>
      </c>
      <c r="L53" s="2411">
        <v>0</v>
      </c>
      <c r="M53" s="2411">
        <f t="shared" si="14"/>
        <v>0</v>
      </c>
      <c r="N53" s="2411">
        <f t="shared" si="14"/>
        <v>0</v>
      </c>
      <c r="O53" s="2235"/>
      <c r="P53" s="2235"/>
      <c r="Q53" s="2235"/>
      <c r="R53" s="2235"/>
      <c r="S53" s="2235"/>
      <c r="T53" s="2235"/>
      <c r="U53" s="2235"/>
      <c r="V53" s="2235"/>
      <c r="W53" s="2235"/>
      <c r="X53" s="2235"/>
      <c r="Y53" s="2235"/>
      <c r="Z53" s="2235"/>
      <c r="AA53" s="2236"/>
      <c r="AB53" s="2236"/>
      <c r="AC53" s="2236"/>
      <c r="AD53" s="2236"/>
      <c r="AE53" s="2236"/>
      <c r="AF53" s="2236"/>
      <c r="AG53" s="2236"/>
      <c r="AH53" s="1446"/>
      <c r="AI53" s="1446"/>
      <c r="AJ53" s="1446"/>
      <c r="AK53" s="1446"/>
    </row>
    <row r="54" spans="1:37" s="1445" customFormat="1" ht="72">
      <c r="A54" s="1319" t="s">
        <v>1693</v>
      </c>
      <c r="B54" s="2404" t="str">
        <f>估价对象房地状况!C21</f>
        <v>余杭区良渚二小、勾庄镇中星桥小学、良渚街道社区卫生服务中心勾庄院区、中信银行(杭州良渚支行)、中信银行(杭州良渚支行)</v>
      </c>
      <c r="C54" s="1293"/>
      <c r="D54" s="2409">
        <f t="shared" si="10"/>
        <v>0</v>
      </c>
      <c r="E54" s="1318"/>
      <c r="F54" s="1316"/>
      <c r="G54" s="2410"/>
      <c r="H54" s="2430" t="str">
        <f t="shared" si="11"/>
        <v>——</v>
      </c>
      <c r="I54" s="1314">
        <v>0.05</v>
      </c>
      <c r="J54" s="2411">
        <f t="shared" si="12"/>
        <v>0</v>
      </c>
      <c r="K54" s="2411">
        <f t="shared" si="13"/>
        <v>0</v>
      </c>
      <c r="L54" s="2411">
        <v>0</v>
      </c>
      <c r="M54" s="2411">
        <f t="shared" si="14"/>
        <v>0</v>
      </c>
      <c r="N54" s="2411">
        <f t="shared" si="14"/>
        <v>0</v>
      </c>
      <c r="O54" s="2235"/>
      <c r="P54" s="2235"/>
      <c r="Q54" s="2235"/>
      <c r="R54" s="2235"/>
      <c r="S54" s="2235"/>
      <c r="T54" s="2235"/>
      <c r="U54" s="2235"/>
      <c r="V54" s="2235"/>
      <c r="W54" s="2235"/>
      <c r="X54" s="2235"/>
      <c r="Y54" s="2235"/>
      <c r="Z54" s="2235"/>
      <c r="AA54" s="2236"/>
      <c r="AB54" s="2236"/>
      <c r="AC54" s="2236"/>
      <c r="AD54" s="2236"/>
      <c r="AE54" s="2236"/>
      <c r="AF54" s="2236"/>
      <c r="AG54" s="2236"/>
      <c r="AH54" s="1446"/>
      <c r="AI54" s="1446"/>
      <c r="AJ54" s="1446"/>
      <c r="AK54" s="1446"/>
    </row>
    <row r="55" spans="1:37" s="1445" customFormat="1" ht="24">
      <c r="A55" s="1319" t="s">
        <v>1694</v>
      </c>
      <c r="B55" s="1317" t="str">
        <f>估价对象房地状况!C22</f>
        <v>六通</v>
      </c>
      <c r="C55" s="1293"/>
      <c r="D55" s="2409">
        <f t="shared" si="10"/>
        <v>0</v>
      </c>
      <c r="E55" s="1318"/>
      <c r="F55" s="1316"/>
      <c r="G55" s="2410"/>
      <c r="H55" s="2430" t="str">
        <f t="shared" si="11"/>
        <v>——</v>
      </c>
      <c r="I55" s="1314">
        <v>0.1</v>
      </c>
      <c r="J55" s="2411">
        <f t="shared" si="12"/>
        <v>0</v>
      </c>
      <c r="K55" s="2411">
        <f t="shared" si="13"/>
        <v>0</v>
      </c>
      <c r="L55" s="2411">
        <v>0</v>
      </c>
      <c r="M55" s="2411">
        <f t="shared" si="14"/>
        <v>0</v>
      </c>
      <c r="N55" s="2411">
        <f t="shared" si="14"/>
        <v>0</v>
      </c>
      <c r="O55" s="2235"/>
      <c r="P55" s="2235"/>
      <c r="Q55" s="2235"/>
      <c r="R55" s="2235"/>
      <c r="S55" s="2235"/>
      <c r="T55" s="2235"/>
      <c r="U55" s="2235"/>
      <c r="V55" s="2235"/>
      <c r="W55" s="2235"/>
      <c r="X55" s="2235"/>
      <c r="Y55" s="2235"/>
      <c r="Z55" s="2235"/>
      <c r="AA55" s="2236"/>
      <c r="AB55" s="2236"/>
      <c r="AC55" s="2236"/>
      <c r="AD55" s="2236"/>
      <c r="AE55" s="2236"/>
      <c r="AF55" s="2236"/>
      <c r="AG55" s="2236"/>
      <c r="AH55" s="1446"/>
      <c r="AI55" s="1446"/>
      <c r="AJ55" s="1446"/>
      <c r="AK55" s="1446"/>
    </row>
    <row r="56" spans="1:37" s="1445" customFormat="1" ht="24.75" thickBot="1">
      <c r="A56" s="1321" t="s">
        <v>1695</v>
      </c>
      <c r="B56" s="1322" t="str">
        <f>估价对象房地状况!C20</f>
        <v>海德公园</v>
      </c>
      <c r="C56" s="1293"/>
      <c r="D56" s="2409">
        <f t="shared" si="10"/>
        <v>0</v>
      </c>
      <c r="E56" s="1324"/>
      <c r="F56" s="1316"/>
      <c r="G56" s="2410"/>
      <c r="H56" s="2430" t="str">
        <f t="shared" si="11"/>
        <v>——</v>
      </c>
      <c r="I56" s="1323">
        <v>0.06</v>
      </c>
      <c r="J56" s="2411">
        <f t="shared" si="12"/>
        <v>0</v>
      </c>
      <c r="K56" s="2411">
        <f t="shared" si="13"/>
        <v>0</v>
      </c>
      <c r="L56" s="2411">
        <v>0</v>
      </c>
      <c r="M56" s="2411">
        <f t="shared" si="14"/>
        <v>0</v>
      </c>
      <c r="N56" s="2411">
        <f t="shared" si="14"/>
        <v>0</v>
      </c>
      <c r="O56" s="2235"/>
      <c r="P56" s="2235"/>
      <c r="Q56" s="2235"/>
      <c r="R56" s="2235"/>
      <c r="S56" s="2235"/>
      <c r="T56" s="2235"/>
      <c r="U56" s="2235"/>
      <c r="V56" s="2235"/>
      <c r="W56" s="2235"/>
      <c r="X56" s="2235"/>
      <c r="Y56" s="2235"/>
      <c r="Z56" s="2235"/>
      <c r="AA56" s="2236"/>
      <c r="AB56" s="2236"/>
      <c r="AC56" s="2236"/>
      <c r="AD56" s="2236"/>
      <c r="AE56" s="2236"/>
      <c r="AF56" s="2236"/>
      <c r="AG56" s="2236"/>
      <c r="AH56" s="1446"/>
      <c r="AI56" s="1446"/>
      <c r="AJ56" s="1446"/>
      <c r="AK56" s="1446"/>
    </row>
    <row r="57" spans="1:37" s="1445" customFormat="1" ht="15">
      <c r="A57" s="1300" t="s">
        <v>1071</v>
      </c>
      <c r="B57" s="2405">
        <f>1+E59</f>
        <v>1</v>
      </c>
      <c r="C57" s="2413"/>
      <c r="D57" s="1303"/>
      <c r="E57" s="1304"/>
      <c r="F57" s="2412"/>
      <c r="G57" s="189"/>
      <c r="H57" s="189"/>
      <c r="I57" s="189"/>
      <c r="J57" s="1299"/>
      <c r="K57" s="1299"/>
      <c r="L57" s="1299"/>
      <c r="M57" s="1299"/>
      <c r="N57" s="1299"/>
      <c r="O57" s="2235"/>
      <c r="P57" s="2235"/>
      <c r="Q57" s="2235"/>
      <c r="R57" s="2235"/>
      <c r="S57" s="2235"/>
      <c r="T57" s="2235"/>
      <c r="U57" s="2235"/>
      <c r="V57" s="2235"/>
      <c r="W57" s="2235"/>
      <c r="X57" s="2235"/>
      <c r="Y57" s="2235"/>
      <c r="Z57" s="2235"/>
      <c r="AA57" s="2236"/>
      <c r="AB57" s="2236"/>
      <c r="AC57" s="2236"/>
      <c r="AD57" s="2236"/>
      <c r="AE57" s="2236"/>
      <c r="AF57" s="2236"/>
      <c r="AG57" s="2236"/>
      <c r="AH57" s="1446"/>
      <c r="AI57" s="1446"/>
      <c r="AJ57" s="1446"/>
      <c r="AK57" s="1446"/>
    </row>
    <row r="58" spans="1:37" s="1445" customFormat="1" ht="24">
      <c r="A58" s="1306" t="s">
        <v>1683</v>
      </c>
      <c r="B58" s="1317"/>
      <c r="C58" s="1308" t="s">
        <v>1685</v>
      </c>
      <c r="D58" s="1309" t="s">
        <v>1765</v>
      </c>
      <c r="E58" s="1310" t="s">
        <v>1767</v>
      </c>
      <c r="F58" s="1311" t="s">
        <v>2171</v>
      </c>
      <c r="G58" s="1309" t="s">
        <v>1763</v>
      </c>
      <c r="H58" s="2408" t="s">
        <v>2378</v>
      </c>
      <c r="I58" s="1309" t="s">
        <v>1766</v>
      </c>
      <c r="J58" s="805" t="s">
        <v>437</v>
      </c>
      <c r="K58" s="805" t="s">
        <v>438</v>
      </c>
      <c r="L58" s="805" t="s">
        <v>439</v>
      </c>
      <c r="M58" s="805" t="s">
        <v>440</v>
      </c>
      <c r="N58" s="805" t="s">
        <v>441</v>
      </c>
      <c r="O58" s="2235"/>
      <c r="P58" s="2235"/>
      <c r="Q58" s="2235"/>
      <c r="R58" s="2235"/>
      <c r="S58" s="2235"/>
      <c r="T58" s="2235"/>
      <c r="U58" s="2235"/>
      <c r="V58" s="2235"/>
      <c r="W58" s="2235"/>
      <c r="X58" s="2235"/>
      <c r="Y58" s="2235"/>
      <c r="Z58" s="2235"/>
      <c r="AA58" s="2236"/>
      <c r="AB58" s="2236"/>
      <c r="AC58" s="2236"/>
      <c r="AD58" s="2236"/>
      <c r="AE58" s="2236"/>
      <c r="AF58" s="2236"/>
      <c r="AG58" s="2236"/>
      <c r="AH58" s="1446"/>
      <c r="AI58" s="1446"/>
      <c r="AJ58" s="1446"/>
      <c r="AK58" s="1446"/>
    </row>
    <row r="59" spans="1:37" s="1445" customFormat="1" ht="24">
      <c r="A59" s="1306" t="s">
        <v>1696</v>
      </c>
      <c r="B59" s="1312">
        <f>估价对象房地状况!C17</f>
        <v>0</v>
      </c>
      <c r="C59" s="1293"/>
      <c r="D59" s="2409">
        <f t="shared" ref="D59:D67" si="15">SUMIF($J$58:$N$58,C59,J59:N59)</f>
        <v>0</v>
      </c>
      <c r="E59" s="1315">
        <f>ROUND(SUM(D59:D67),4)</f>
        <v>0</v>
      </c>
      <c r="F59" s="1316" t="str">
        <f>IF(E2="办公",SUMIF(L1:L12,G2,N1:N12),"——")</f>
        <v>——</v>
      </c>
      <c r="G59" s="2410"/>
      <c r="H59" s="2430" t="str">
        <f t="shared" ref="H59:H67" si="16">IFERROR(ROUNDDOWN($F$59*I59/2,4),"——")</f>
        <v>——</v>
      </c>
      <c r="I59" s="1314">
        <v>0.24</v>
      </c>
      <c r="J59" s="2411">
        <f t="shared" ref="J59:J67" si="17">K59+$G59</f>
        <v>0</v>
      </c>
      <c r="K59" s="2411">
        <f t="shared" ref="K59:K67" si="18">$L59+$G59</f>
        <v>0</v>
      </c>
      <c r="L59" s="2411">
        <v>0</v>
      </c>
      <c r="M59" s="2411">
        <f t="shared" ref="M59:N67" si="19">L59-$G59</f>
        <v>0</v>
      </c>
      <c r="N59" s="2411">
        <f t="shared" si="19"/>
        <v>0</v>
      </c>
      <c r="O59" s="2235"/>
      <c r="P59" s="2235"/>
      <c r="Q59" s="2235"/>
      <c r="R59" s="2235"/>
      <c r="S59" s="2235"/>
      <c r="T59" s="2235"/>
      <c r="U59" s="2235"/>
      <c r="V59" s="2235"/>
      <c r="W59" s="2235"/>
      <c r="X59" s="2235"/>
      <c r="Y59" s="2235"/>
      <c r="Z59" s="2235"/>
      <c r="AA59" s="2236"/>
      <c r="AB59" s="2236"/>
      <c r="AC59" s="2236"/>
      <c r="AD59" s="2236"/>
      <c r="AE59" s="2236"/>
      <c r="AF59" s="2236"/>
      <c r="AG59" s="2236"/>
      <c r="AH59" s="1446"/>
      <c r="AI59" s="1446"/>
      <c r="AJ59" s="1446"/>
      <c r="AK59" s="1446"/>
    </row>
    <row r="60" spans="1:37" s="1445" customFormat="1" ht="14.25">
      <c r="A60" s="1306" t="s">
        <v>1688</v>
      </c>
      <c r="B60" s="1317" t="str">
        <f>估价对象房地状况!C18</f>
        <v>192路 764路 778路</v>
      </c>
      <c r="C60" s="1293"/>
      <c r="D60" s="2409">
        <f t="shared" si="15"/>
        <v>0</v>
      </c>
      <c r="E60" s="1318"/>
      <c r="F60" s="1316"/>
      <c r="G60" s="2410"/>
      <c r="H60" s="2430" t="str">
        <f t="shared" si="16"/>
        <v>——</v>
      </c>
      <c r="I60" s="1314">
        <v>0.3</v>
      </c>
      <c r="J60" s="2411">
        <f t="shared" si="17"/>
        <v>0</v>
      </c>
      <c r="K60" s="2411">
        <f t="shared" si="18"/>
        <v>0</v>
      </c>
      <c r="L60" s="2411">
        <v>0</v>
      </c>
      <c r="M60" s="2411">
        <f t="shared" si="19"/>
        <v>0</v>
      </c>
      <c r="N60" s="2411">
        <f t="shared" si="19"/>
        <v>0</v>
      </c>
      <c r="O60" s="2235"/>
      <c r="P60" s="2235"/>
      <c r="Q60" s="2235"/>
      <c r="R60" s="2235"/>
      <c r="S60" s="2235"/>
      <c r="T60" s="2235"/>
      <c r="U60" s="2235"/>
      <c r="V60" s="2235"/>
      <c r="W60" s="2235"/>
      <c r="X60" s="2235"/>
      <c r="Y60" s="2235"/>
      <c r="Z60" s="2235"/>
      <c r="AA60" s="2236"/>
      <c r="AB60" s="2236"/>
      <c r="AC60" s="2236"/>
      <c r="AD60" s="2236"/>
      <c r="AE60" s="2236"/>
      <c r="AF60" s="2236"/>
      <c r="AG60" s="2236"/>
      <c r="AH60" s="1446"/>
      <c r="AI60" s="1446"/>
      <c r="AJ60" s="1446"/>
      <c r="AK60" s="1446"/>
    </row>
    <row r="61" spans="1:37" s="1445" customFormat="1" ht="24">
      <c r="A61" s="1306" t="s">
        <v>1689</v>
      </c>
      <c r="B61" s="1317">
        <f>估价对象房地状况!C19</f>
        <v>0</v>
      </c>
      <c r="C61" s="1293"/>
      <c r="D61" s="2409">
        <f t="shared" si="15"/>
        <v>0</v>
      </c>
      <c r="E61" s="1318"/>
      <c r="F61" s="1316"/>
      <c r="G61" s="2410"/>
      <c r="H61" s="2430" t="str">
        <f t="shared" si="16"/>
        <v>——</v>
      </c>
      <c r="I61" s="1314">
        <v>0.08</v>
      </c>
      <c r="J61" s="2411">
        <f t="shared" si="17"/>
        <v>0</v>
      </c>
      <c r="K61" s="2411">
        <f t="shared" si="18"/>
        <v>0</v>
      </c>
      <c r="L61" s="2411">
        <v>0</v>
      </c>
      <c r="M61" s="2411">
        <f t="shared" si="19"/>
        <v>0</v>
      </c>
      <c r="N61" s="2411">
        <f t="shared" si="19"/>
        <v>0</v>
      </c>
      <c r="O61" s="2235"/>
      <c r="P61" s="2235"/>
      <c r="Q61" s="2235"/>
      <c r="R61" s="2235"/>
      <c r="S61" s="2235"/>
      <c r="T61" s="2235"/>
      <c r="U61" s="2235"/>
      <c r="V61" s="2235"/>
      <c r="W61" s="2235"/>
      <c r="X61" s="2235"/>
      <c r="Y61" s="2235"/>
      <c r="Z61" s="2235"/>
      <c r="AA61" s="2236"/>
      <c r="AB61" s="2236"/>
      <c r="AC61" s="2236"/>
      <c r="AD61" s="2236"/>
      <c r="AE61" s="2236"/>
      <c r="AF61" s="2236"/>
      <c r="AG61" s="2236"/>
      <c r="AH61" s="1446"/>
      <c r="AI61" s="1446"/>
      <c r="AJ61" s="1446"/>
      <c r="AK61" s="1446"/>
    </row>
    <row r="62" spans="1:37" s="1445" customFormat="1" ht="36">
      <c r="A62" s="1306" t="s">
        <v>1690</v>
      </c>
      <c r="B62" s="3054" t="s">
        <v>2879</v>
      </c>
      <c r="C62" s="1293"/>
      <c r="D62" s="2409">
        <f t="shared" si="15"/>
        <v>0</v>
      </c>
      <c r="E62" s="1318"/>
      <c r="F62" s="1316"/>
      <c r="G62" s="2410"/>
      <c r="H62" s="2430" t="str">
        <f t="shared" si="16"/>
        <v>——</v>
      </c>
      <c r="I62" s="1314">
        <v>0.04</v>
      </c>
      <c r="J62" s="2411">
        <f t="shared" si="17"/>
        <v>0</v>
      </c>
      <c r="K62" s="2411">
        <f t="shared" si="18"/>
        <v>0</v>
      </c>
      <c r="L62" s="2411">
        <v>0</v>
      </c>
      <c r="M62" s="2411">
        <f t="shared" si="19"/>
        <v>0</v>
      </c>
      <c r="N62" s="2411">
        <f t="shared" si="19"/>
        <v>0</v>
      </c>
      <c r="O62" s="2235"/>
      <c r="P62" s="2235"/>
      <c r="Q62" s="2235"/>
      <c r="R62" s="2235"/>
      <c r="S62" s="2235"/>
      <c r="T62" s="2235"/>
      <c r="U62" s="2235"/>
      <c r="V62" s="2235"/>
      <c r="W62" s="2235"/>
      <c r="X62" s="2235"/>
      <c r="Y62" s="2235"/>
      <c r="Z62" s="2235"/>
      <c r="AA62" s="2236"/>
      <c r="AB62" s="2236"/>
      <c r="AC62" s="2236"/>
      <c r="AD62" s="2236"/>
      <c r="AE62" s="2236"/>
      <c r="AF62" s="2236"/>
      <c r="AG62" s="2236"/>
      <c r="AH62" s="1446"/>
      <c r="AI62" s="1446"/>
      <c r="AJ62" s="1446"/>
      <c r="AK62" s="1446"/>
    </row>
    <row r="63" spans="1:37" s="1445" customFormat="1" ht="24">
      <c r="A63" s="1306" t="s">
        <v>1691</v>
      </c>
      <c r="B63" s="1317" t="str">
        <f>估价对象房地状况!C24</f>
        <v>主干道-博园西路</v>
      </c>
      <c r="C63" s="1293"/>
      <c r="D63" s="2409">
        <f t="shared" si="15"/>
        <v>0</v>
      </c>
      <c r="E63" s="1318"/>
      <c r="F63" s="1316"/>
      <c r="G63" s="2410"/>
      <c r="H63" s="2430" t="str">
        <f t="shared" si="16"/>
        <v>——</v>
      </c>
      <c r="I63" s="1314">
        <v>0.05</v>
      </c>
      <c r="J63" s="2411">
        <f t="shared" si="17"/>
        <v>0</v>
      </c>
      <c r="K63" s="2411">
        <f t="shared" si="18"/>
        <v>0</v>
      </c>
      <c r="L63" s="2411">
        <v>0</v>
      </c>
      <c r="M63" s="2411">
        <f t="shared" si="19"/>
        <v>0</v>
      </c>
      <c r="N63" s="2411">
        <f t="shared" si="19"/>
        <v>0</v>
      </c>
      <c r="O63" s="2235"/>
      <c r="P63" s="2235"/>
      <c r="Q63" s="2235"/>
      <c r="R63" s="2235"/>
      <c r="S63" s="2235"/>
      <c r="T63" s="2235"/>
      <c r="U63" s="2235"/>
      <c r="V63" s="2235"/>
      <c r="W63" s="2235"/>
      <c r="X63" s="2235"/>
      <c r="Y63" s="2235"/>
      <c r="Z63" s="2235"/>
      <c r="AA63" s="2236"/>
      <c r="AB63" s="2236"/>
      <c r="AC63" s="2236"/>
      <c r="AD63" s="2236"/>
      <c r="AE63" s="2236"/>
      <c r="AF63" s="2236"/>
      <c r="AG63" s="2236"/>
      <c r="AH63" s="1446"/>
      <c r="AI63" s="1446"/>
      <c r="AJ63" s="1446"/>
      <c r="AK63" s="1446"/>
    </row>
    <row r="64" spans="1:37" s="1445" customFormat="1" ht="24">
      <c r="A64" s="1306" t="s">
        <v>1692</v>
      </c>
      <c r="B64" s="3055" t="s">
        <v>2880</v>
      </c>
      <c r="C64" s="1293"/>
      <c r="D64" s="2409">
        <f t="shared" si="15"/>
        <v>0</v>
      </c>
      <c r="E64" s="1318"/>
      <c r="F64" s="1316"/>
      <c r="G64" s="2410"/>
      <c r="H64" s="2430" t="str">
        <f t="shared" si="16"/>
        <v>——</v>
      </c>
      <c r="I64" s="1314">
        <v>0.05</v>
      </c>
      <c r="J64" s="2411">
        <f t="shared" si="17"/>
        <v>0</v>
      </c>
      <c r="K64" s="2411">
        <f t="shared" si="18"/>
        <v>0</v>
      </c>
      <c r="L64" s="2411">
        <v>0</v>
      </c>
      <c r="M64" s="2411">
        <f t="shared" si="19"/>
        <v>0</v>
      </c>
      <c r="N64" s="2411">
        <f t="shared" si="19"/>
        <v>0</v>
      </c>
      <c r="O64" s="2235"/>
      <c r="P64" s="2235"/>
      <c r="Q64" s="2235"/>
      <c r="R64" s="2235"/>
      <c r="S64" s="2235"/>
      <c r="T64" s="2235"/>
      <c r="U64" s="2235"/>
      <c r="V64" s="2235"/>
      <c r="W64" s="2235"/>
      <c r="X64" s="2235"/>
      <c r="Y64" s="2235"/>
      <c r="Z64" s="2235"/>
      <c r="AA64" s="2236"/>
      <c r="AB64" s="2236"/>
      <c r="AC64" s="2236"/>
      <c r="AD64" s="2236"/>
      <c r="AE64" s="2236"/>
      <c r="AF64" s="2236"/>
      <c r="AG64" s="2236"/>
      <c r="AH64" s="1446"/>
      <c r="AI64" s="1446"/>
      <c r="AJ64" s="1446"/>
      <c r="AK64" s="1446"/>
    </row>
    <row r="65" spans="1:37" s="1445" customFormat="1" ht="72">
      <c r="A65" s="1306" t="s">
        <v>1693</v>
      </c>
      <c r="B65" s="2404" t="str">
        <f>估价对象房地状况!C21</f>
        <v>余杭区良渚二小、勾庄镇中星桥小学、良渚街道社区卫生服务中心勾庄院区、中信银行(杭州良渚支行)、中信银行(杭州良渚支行)</v>
      </c>
      <c r="C65" s="1293"/>
      <c r="D65" s="2409">
        <f t="shared" si="15"/>
        <v>0</v>
      </c>
      <c r="E65" s="1318"/>
      <c r="F65" s="1316"/>
      <c r="G65" s="2410"/>
      <c r="H65" s="2430" t="str">
        <f t="shared" si="16"/>
        <v>——</v>
      </c>
      <c r="I65" s="1314">
        <v>0.06</v>
      </c>
      <c r="J65" s="2411">
        <f t="shared" si="17"/>
        <v>0</v>
      </c>
      <c r="K65" s="2411">
        <f t="shared" si="18"/>
        <v>0</v>
      </c>
      <c r="L65" s="2411">
        <v>0</v>
      </c>
      <c r="M65" s="2411">
        <f t="shared" si="19"/>
        <v>0</v>
      </c>
      <c r="N65" s="2411">
        <f t="shared" si="19"/>
        <v>0</v>
      </c>
      <c r="O65" s="2235"/>
      <c r="P65" s="2235"/>
      <c r="Q65" s="2235"/>
      <c r="R65" s="2235"/>
      <c r="S65" s="2235"/>
      <c r="T65" s="2235"/>
      <c r="U65" s="2235"/>
      <c r="V65" s="2235"/>
      <c r="W65" s="2235"/>
      <c r="X65" s="2235"/>
      <c r="Y65" s="2235"/>
      <c r="Z65" s="2235"/>
      <c r="AA65" s="2236"/>
      <c r="AB65" s="2236"/>
      <c r="AC65" s="2236"/>
      <c r="AD65" s="2236"/>
      <c r="AE65" s="2236"/>
      <c r="AF65" s="2236"/>
      <c r="AG65" s="2236"/>
      <c r="AH65" s="1446"/>
      <c r="AI65" s="1446"/>
      <c r="AJ65" s="1446"/>
      <c r="AK65" s="1446"/>
    </row>
    <row r="66" spans="1:37" s="1445" customFormat="1" ht="24">
      <c r="A66" s="1306" t="s">
        <v>1694</v>
      </c>
      <c r="B66" s="2404" t="str">
        <f>估价对象房地状况!C22</f>
        <v>六通</v>
      </c>
      <c r="C66" s="1293"/>
      <c r="D66" s="2409">
        <f t="shared" si="15"/>
        <v>0</v>
      </c>
      <c r="E66" s="1318"/>
      <c r="F66" s="1316"/>
      <c r="G66" s="2410"/>
      <c r="H66" s="2430" t="str">
        <f t="shared" si="16"/>
        <v>——</v>
      </c>
      <c r="I66" s="1314">
        <v>0.12</v>
      </c>
      <c r="J66" s="2411">
        <f t="shared" si="17"/>
        <v>0</v>
      </c>
      <c r="K66" s="2411">
        <f t="shared" si="18"/>
        <v>0</v>
      </c>
      <c r="L66" s="2411">
        <v>0</v>
      </c>
      <c r="M66" s="2411">
        <f t="shared" si="19"/>
        <v>0</v>
      </c>
      <c r="N66" s="2411">
        <f t="shared" si="19"/>
        <v>0</v>
      </c>
      <c r="O66" s="2235"/>
      <c r="P66" s="2235"/>
      <c r="Q66" s="2235"/>
      <c r="R66" s="2235"/>
      <c r="S66" s="2235"/>
      <c r="T66" s="2235"/>
      <c r="U66" s="2235"/>
      <c r="V66" s="2235"/>
      <c r="W66" s="2235"/>
      <c r="X66" s="2235"/>
      <c r="Y66" s="2235"/>
      <c r="Z66" s="2235"/>
      <c r="AA66" s="2236"/>
      <c r="AB66" s="2236"/>
      <c r="AC66" s="2236"/>
      <c r="AD66" s="2236"/>
      <c r="AE66" s="2236"/>
      <c r="AF66" s="2236"/>
      <c r="AG66" s="2236"/>
      <c r="AH66" s="1446"/>
      <c r="AI66" s="1446"/>
      <c r="AJ66" s="1446"/>
      <c r="AK66" s="1446"/>
    </row>
    <row r="67" spans="1:37" s="1445" customFormat="1" ht="24.75" thickBot="1">
      <c r="A67" s="1321" t="s">
        <v>1695</v>
      </c>
      <c r="B67" s="1325" t="str">
        <f>估价对象房地状况!C20</f>
        <v>海德公园</v>
      </c>
      <c r="C67" s="1293"/>
      <c r="D67" s="2409">
        <f t="shared" si="15"/>
        <v>0</v>
      </c>
      <c r="E67" s="1324"/>
      <c r="F67" s="1316"/>
      <c r="G67" s="2410"/>
      <c r="H67" s="2430" t="str">
        <f t="shared" si="16"/>
        <v>——</v>
      </c>
      <c r="I67" s="1323">
        <v>0.06</v>
      </c>
      <c r="J67" s="2411">
        <f t="shared" si="17"/>
        <v>0</v>
      </c>
      <c r="K67" s="2411">
        <f t="shared" si="18"/>
        <v>0</v>
      </c>
      <c r="L67" s="2411">
        <v>0</v>
      </c>
      <c r="M67" s="2411">
        <f t="shared" si="19"/>
        <v>0</v>
      </c>
      <c r="N67" s="2411">
        <f t="shared" si="19"/>
        <v>0</v>
      </c>
      <c r="O67" s="2235"/>
      <c r="P67" s="2235"/>
      <c r="Q67" s="2235"/>
      <c r="R67" s="2235"/>
      <c r="S67" s="2235"/>
      <c r="T67" s="2235"/>
      <c r="U67" s="2235"/>
      <c r="V67" s="2235"/>
      <c r="W67" s="2235"/>
      <c r="X67" s="2235"/>
      <c r="Y67" s="2235"/>
      <c r="Z67" s="2235"/>
      <c r="AA67" s="2236"/>
      <c r="AB67" s="2236"/>
      <c r="AC67" s="2236"/>
      <c r="AD67" s="2236"/>
      <c r="AE67" s="2236"/>
      <c r="AF67" s="2236"/>
      <c r="AG67" s="2236"/>
      <c r="AH67" s="1446"/>
      <c r="AI67" s="1446"/>
      <c r="AJ67" s="1446"/>
      <c r="AK67" s="1446"/>
    </row>
    <row r="68" spans="1:37" s="1445" customFormat="1" ht="15">
      <c r="A68" s="1300" t="s">
        <v>1758</v>
      </c>
      <c r="B68" s="2405">
        <f>1+E70</f>
        <v>1</v>
      </c>
      <c r="C68" s="2413"/>
      <c r="D68" s="1303"/>
      <c r="E68" s="1304"/>
      <c r="F68" s="2412"/>
      <c r="G68" s="189"/>
      <c r="H68" s="189"/>
      <c r="I68" s="189"/>
      <c r="J68" s="1299"/>
      <c r="K68" s="1299"/>
      <c r="L68" s="1299"/>
      <c r="M68" s="1299"/>
      <c r="N68" s="1299"/>
      <c r="O68" s="2235"/>
      <c r="P68" s="2235"/>
      <c r="Q68" s="2235"/>
      <c r="R68" s="2235"/>
      <c r="S68" s="2235"/>
      <c r="T68" s="2235"/>
      <c r="U68" s="2235"/>
      <c r="V68" s="2235"/>
      <c r="W68" s="2235"/>
      <c r="X68" s="2235"/>
      <c r="Y68" s="2235"/>
      <c r="Z68" s="2235"/>
      <c r="AA68" s="2236"/>
      <c r="AB68" s="2236"/>
      <c r="AC68" s="2236"/>
      <c r="AD68" s="2236"/>
      <c r="AE68" s="2236"/>
      <c r="AF68" s="2236"/>
      <c r="AG68" s="2236"/>
      <c r="AH68" s="1446"/>
      <c r="AI68" s="1446"/>
      <c r="AJ68" s="1446"/>
      <c r="AK68" s="1446"/>
    </row>
    <row r="69" spans="1:37" s="1445" customFormat="1" ht="24">
      <c r="A69" s="1306" t="s">
        <v>1683</v>
      </c>
      <c r="B69" s="1317"/>
      <c r="C69" s="1308" t="s">
        <v>1685</v>
      </c>
      <c r="D69" s="1309" t="s">
        <v>1765</v>
      </c>
      <c r="E69" s="1310" t="s">
        <v>1767</v>
      </c>
      <c r="F69" s="1311" t="s">
        <v>2171</v>
      </c>
      <c r="G69" s="1309" t="s">
        <v>1763</v>
      </c>
      <c r="H69" s="2408" t="s">
        <v>2378</v>
      </c>
      <c r="I69" s="1309" t="s">
        <v>1766</v>
      </c>
      <c r="J69" s="805" t="s">
        <v>437</v>
      </c>
      <c r="K69" s="805" t="s">
        <v>438</v>
      </c>
      <c r="L69" s="805" t="s">
        <v>439</v>
      </c>
      <c r="M69" s="805" t="s">
        <v>440</v>
      </c>
      <c r="N69" s="805" t="s">
        <v>441</v>
      </c>
      <c r="O69" s="2235"/>
      <c r="P69" s="2235"/>
      <c r="Q69" s="2235"/>
      <c r="R69" s="2235"/>
      <c r="S69" s="2235"/>
      <c r="T69" s="2235"/>
      <c r="U69" s="2235"/>
      <c r="V69" s="2235"/>
      <c r="W69" s="2235"/>
      <c r="X69" s="2235"/>
      <c r="Y69" s="2235"/>
      <c r="Z69" s="2235"/>
      <c r="AA69" s="2236"/>
      <c r="AB69" s="2236"/>
      <c r="AC69" s="2236"/>
      <c r="AD69" s="2236"/>
      <c r="AE69" s="2236"/>
      <c r="AF69" s="2236"/>
      <c r="AG69" s="2236"/>
      <c r="AH69" s="1446"/>
      <c r="AI69" s="1446"/>
      <c r="AJ69" s="1446"/>
      <c r="AK69" s="1446"/>
    </row>
    <row r="70" spans="1:37" s="1445" customFormat="1" ht="24">
      <c r="A70" s="1306" t="s">
        <v>1697</v>
      </c>
      <c r="B70" s="1312" t="str">
        <f>估价对象房地状况!C15</f>
        <v>赞成赞城、逸居城</v>
      </c>
      <c r="C70" s="1293"/>
      <c r="D70" s="2409">
        <f t="shared" ref="D70:D78" si="20">SUMIF($J$69:$N$69,C70,J70:N70)</f>
        <v>0</v>
      </c>
      <c r="E70" s="1315">
        <f>ROUND(SUM(D70:D78),4)</f>
        <v>0</v>
      </c>
      <c r="F70" s="1316" t="str">
        <f>IF(E2="住宅",SUMIF(L1:L12,G2,N1:N12),"——")</f>
        <v>——</v>
      </c>
      <c r="G70" s="2410"/>
      <c r="H70" s="2430" t="str">
        <f t="shared" ref="H70:H78" si="21">IFERROR(ROUNDDOWN($F$70*I70/2,4),"——")</f>
        <v>——</v>
      </c>
      <c r="I70" s="1314">
        <v>0.14000000000000001</v>
      </c>
      <c r="J70" s="2411">
        <f t="shared" ref="J70:J78" si="22">K70+$G70</f>
        <v>0</v>
      </c>
      <c r="K70" s="2411">
        <f t="shared" ref="K70:K78" si="23">$L70+$G70</f>
        <v>0</v>
      </c>
      <c r="L70" s="2411">
        <v>0</v>
      </c>
      <c r="M70" s="2411">
        <f t="shared" ref="M70:N78" si="24">L70-$G70</f>
        <v>0</v>
      </c>
      <c r="N70" s="2411">
        <f t="shared" si="24"/>
        <v>0</v>
      </c>
      <c r="O70" s="2235"/>
      <c r="P70" s="2235"/>
      <c r="Q70" s="2235"/>
      <c r="R70" s="2235"/>
      <c r="S70" s="2235"/>
      <c r="T70" s="2235"/>
      <c r="U70" s="2235"/>
      <c r="V70" s="2235"/>
      <c r="W70" s="2235"/>
      <c r="X70" s="2235"/>
      <c r="Y70" s="2235"/>
      <c r="Z70" s="2235"/>
      <c r="AA70" s="2236"/>
      <c r="AB70" s="2236"/>
      <c r="AC70" s="2236"/>
      <c r="AD70" s="2236"/>
      <c r="AE70" s="2236"/>
      <c r="AF70" s="2236"/>
      <c r="AG70" s="2236"/>
      <c r="AH70" s="1446"/>
      <c r="AI70" s="1446"/>
      <c r="AJ70" s="1446"/>
      <c r="AK70" s="1446"/>
    </row>
    <row r="71" spans="1:37" s="1445" customFormat="1" ht="14.25">
      <c r="A71" s="1306" t="s">
        <v>1688</v>
      </c>
      <c r="B71" s="1317" t="str">
        <f>估价对象房地状况!C18</f>
        <v>192路 764路 778路</v>
      </c>
      <c r="C71" s="1293"/>
      <c r="D71" s="2409">
        <f t="shared" si="20"/>
        <v>0</v>
      </c>
      <c r="E71" s="1326"/>
      <c r="F71" s="2414"/>
      <c r="G71" s="2410"/>
      <c r="H71" s="2430" t="str">
        <f t="shared" si="21"/>
        <v>——</v>
      </c>
      <c r="I71" s="1314">
        <v>0.3</v>
      </c>
      <c r="J71" s="2411">
        <f t="shared" si="22"/>
        <v>0</v>
      </c>
      <c r="K71" s="2411">
        <f t="shared" si="23"/>
        <v>0</v>
      </c>
      <c r="L71" s="2411">
        <v>0</v>
      </c>
      <c r="M71" s="2411">
        <f t="shared" si="24"/>
        <v>0</v>
      </c>
      <c r="N71" s="2411">
        <f t="shared" si="24"/>
        <v>0</v>
      </c>
      <c r="O71" s="2235"/>
      <c r="P71" s="2235"/>
      <c r="Q71" s="2235"/>
      <c r="R71" s="2235"/>
      <c r="S71" s="2235"/>
      <c r="T71" s="2235"/>
      <c r="U71" s="2235"/>
      <c r="V71" s="2235"/>
      <c r="W71" s="2235"/>
      <c r="X71" s="2235"/>
      <c r="Y71" s="2235"/>
      <c r="Z71" s="2235"/>
      <c r="AA71" s="2236"/>
      <c r="AB71" s="2236"/>
      <c r="AC71" s="2236"/>
      <c r="AD71" s="2236"/>
      <c r="AE71" s="2236"/>
      <c r="AF71" s="2236"/>
      <c r="AG71" s="2236"/>
      <c r="AH71" s="1446"/>
      <c r="AI71" s="1446"/>
      <c r="AJ71" s="1446"/>
      <c r="AK71" s="1446"/>
    </row>
    <row r="72" spans="1:37" s="1445" customFormat="1" ht="24">
      <c r="A72" s="1306" t="s">
        <v>1689</v>
      </c>
      <c r="B72" s="1317">
        <f>估价对象房地状况!C19</f>
        <v>0</v>
      </c>
      <c r="C72" s="1293"/>
      <c r="D72" s="2409">
        <f t="shared" si="20"/>
        <v>0</v>
      </c>
      <c r="E72" s="1326"/>
      <c r="F72" s="2414"/>
      <c r="G72" s="2410"/>
      <c r="H72" s="2430" t="str">
        <f t="shared" si="21"/>
        <v>——</v>
      </c>
      <c r="I72" s="1314">
        <v>0.08</v>
      </c>
      <c r="J72" s="2411">
        <f t="shared" si="22"/>
        <v>0</v>
      </c>
      <c r="K72" s="2411">
        <f t="shared" si="23"/>
        <v>0</v>
      </c>
      <c r="L72" s="2411">
        <v>0</v>
      </c>
      <c r="M72" s="2411">
        <f t="shared" si="24"/>
        <v>0</v>
      </c>
      <c r="N72" s="2411">
        <f t="shared" si="24"/>
        <v>0</v>
      </c>
      <c r="O72" s="2235"/>
      <c r="P72" s="2235"/>
      <c r="Q72" s="2235"/>
      <c r="R72" s="2235"/>
      <c r="S72" s="2235"/>
      <c r="T72" s="2235"/>
      <c r="U72" s="2235"/>
      <c r="V72" s="2235"/>
      <c r="W72" s="2235"/>
      <c r="X72" s="2235"/>
      <c r="Y72" s="2235"/>
      <c r="Z72" s="2235"/>
      <c r="AA72" s="2236"/>
      <c r="AB72" s="2236"/>
      <c r="AC72" s="2236"/>
      <c r="AD72" s="2236"/>
      <c r="AE72" s="2236"/>
      <c r="AF72" s="2236"/>
      <c r="AG72" s="2236"/>
      <c r="AH72" s="1446"/>
      <c r="AI72" s="1446"/>
      <c r="AJ72" s="1446"/>
      <c r="AK72" s="1446"/>
    </row>
    <row r="73" spans="1:37" s="1445" customFormat="1" ht="14.25">
      <c r="A73" s="1306" t="s">
        <v>1698</v>
      </c>
      <c r="B73" s="1317" t="str">
        <f>估价对象房地状况!C24</f>
        <v>主干道-博园西路</v>
      </c>
      <c r="C73" s="1293"/>
      <c r="D73" s="2409">
        <f t="shared" si="20"/>
        <v>0</v>
      </c>
      <c r="E73" s="1326"/>
      <c r="F73" s="2414"/>
      <c r="G73" s="2410"/>
      <c r="H73" s="2430" t="str">
        <f t="shared" si="21"/>
        <v>——</v>
      </c>
      <c r="I73" s="1314">
        <v>0.04</v>
      </c>
      <c r="J73" s="2411">
        <f t="shared" si="22"/>
        <v>0</v>
      </c>
      <c r="K73" s="2411">
        <f t="shared" si="23"/>
        <v>0</v>
      </c>
      <c r="L73" s="2411">
        <v>0</v>
      </c>
      <c r="M73" s="2411">
        <f t="shared" si="24"/>
        <v>0</v>
      </c>
      <c r="N73" s="2411">
        <f t="shared" si="24"/>
        <v>0</v>
      </c>
      <c r="O73" s="2235"/>
      <c r="P73" s="2235"/>
      <c r="Q73" s="2235"/>
      <c r="R73" s="2235"/>
      <c r="S73" s="2235"/>
      <c r="T73" s="2235"/>
      <c r="U73" s="2235"/>
      <c r="V73" s="2235"/>
      <c r="W73" s="2235"/>
      <c r="X73" s="2235"/>
      <c r="Y73" s="2235"/>
      <c r="Z73" s="2235"/>
      <c r="AA73" s="2236"/>
      <c r="AB73" s="2236"/>
      <c r="AC73" s="2236"/>
      <c r="AD73" s="2236"/>
      <c r="AE73" s="2236"/>
      <c r="AF73" s="2236"/>
      <c r="AG73" s="2236"/>
      <c r="AH73" s="1446"/>
      <c r="AI73" s="1446"/>
      <c r="AJ73" s="1446"/>
      <c r="AK73" s="1446"/>
    </row>
    <row r="74" spans="1:37" s="1445" customFormat="1" ht="72">
      <c r="A74" s="1306" t="s">
        <v>1693</v>
      </c>
      <c r="B74" s="2404" t="str">
        <f>估价对象房地状况!C21</f>
        <v>余杭区良渚二小、勾庄镇中星桥小学、良渚街道社区卫生服务中心勾庄院区、中信银行(杭州良渚支行)、中信银行(杭州良渚支行)</v>
      </c>
      <c r="C74" s="1293"/>
      <c r="D74" s="2409">
        <f t="shared" si="20"/>
        <v>0</v>
      </c>
      <c r="E74" s="1326"/>
      <c r="F74" s="2414"/>
      <c r="G74" s="2410"/>
      <c r="H74" s="2430" t="str">
        <f t="shared" si="21"/>
        <v>——</v>
      </c>
      <c r="I74" s="1314">
        <v>0.08</v>
      </c>
      <c r="J74" s="2411">
        <f t="shared" si="22"/>
        <v>0</v>
      </c>
      <c r="K74" s="2411">
        <f t="shared" si="23"/>
        <v>0</v>
      </c>
      <c r="L74" s="2411">
        <v>0</v>
      </c>
      <c r="M74" s="2411">
        <f t="shared" si="24"/>
        <v>0</v>
      </c>
      <c r="N74" s="2411">
        <f t="shared" si="24"/>
        <v>0</v>
      </c>
      <c r="O74" s="2235"/>
      <c r="P74" s="2235"/>
      <c r="Q74" s="2235"/>
      <c r="R74" s="2235"/>
      <c r="S74" s="2235"/>
      <c r="T74" s="2235"/>
      <c r="U74" s="2235"/>
      <c r="V74" s="2235"/>
      <c r="W74" s="2235"/>
      <c r="X74" s="2235"/>
      <c r="Y74" s="2235"/>
      <c r="Z74" s="2235"/>
      <c r="AA74" s="2236"/>
      <c r="AB74" s="2236"/>
      <c r="AC74" s="2236"/>
      <c r="AD74" s="2236"/>
      <c r="AE74" s="2236"/>
      <c r="AF74" s="2236"/>
      <c r="AG74" s="2236"/>
      <c r="AH74" s="1446"/>
      <c r="AI74" s="1446"/>
      <c r="AJ74" s="1446"/>
      <c r="AK74" s="1446"/>
    </row>
    <row r="75" spans="1:37" s="1445" customFormat="1" ht="24">
      <c r="A75" s="1306" t="s">
        <v>1694</v>
      </c>
      <c r="B75" s="2404" t="str">
        <f>估价对象房地状况!C22</f>
        <v>六通</v>
      </c>
      <c r="C75" s="1293"/>
      <c r="D75" s="2409">
        <f t="shared" si="20"/>
        <v>0</v>
      </c>
      <c r="E75" s="1326"/>
      <c r="F75" s="2414"/>
      <c r="G75" s="2410"/>
      <c r="H75" s="2430" t="str">
        <f t="shared" si="21"/>
        <v>——</v>
      </c>
      <c r="I75" s="1314">
        <v>0.12</v>
      </c>
      <c r="J75" s="2411">
        <f t="shared" si="22"/>
        <v>0</v>
      </c>
      <c r="K75" s="2411">
        <f t="shared" si="23"/>
        <v>0</v>
      </c>
      <c r="L75" s="2411">
        <v>0</v>
      </c>
      <c r="M75" s="2411">
        <f t="shared" si="24"/>
        <v>0</v>
      </c>
      <c r="N75" s="2411">
        <f t="shared" si="24"/>
        <v>0</v>
      </c>
      <c r="O75" s="2235"/>
      <c r="P75" s="2235"/>
      <c r="Q75" s="2235"/>
      <c r="R75" s="2235"/>
      <c r="S75" s="2235"/>
      <c r="T75" s="2235"/>
      <c r="U75" s="2235"/>
      <c r="V75" s="2235"/>
      <c r="W75" s="2235"/>
      <c r="X75" s="2235"/>
      <c r="Y75" s="2235"/>
      <c r="Z75" s="2235"/>
      <c r="AA75" s="2236"/>
      <c r="AB75" s="2236"/>
      <c r="AC75" s="2236"/>
      <c r="AD75" s="2236"/>
      <c r="AE75" s="2236"/>
      <c r="AF75" s="2236"/>
      <c r="AG75" s="2236"/>
      <c r="AH75" s="1446"/>
      <c r="AI75" s="1446"/>
      <c r="AJ75" s="1446"/>
      <c r="AK75" s="1446"/>
    </row>
    <row r="76" spans="1:37" ht="24">
      <c r="A76" s="1306" t="s">
        <v>1692</v>
      </c>
      <c r="B76" s="3055" t="s">
        <v>2880</v>
      </c>
      <c r="C76" s="1293"/>
      <c r="D76" s="2409">
        <f t="shared" si="20"/>
        <v>0</v>
      </c>
      <c r="E76" s="1326"/>
      <c r="F76" s="2414"/>
      <c r="G76" s="2410"/>
      <c r="H76" s="2430" t="str">
        <f t="shared" si="21"/>
        <v>——</v>
      </c>
      <c r="I76" s="1314">
        <v>0.05</v>
      </c>
      <c r="J76" s="2411">
        <f t="shared" si="22"/>
        <v>0</v>
      </c>
      <c r="K76" s="2411">
        <f t="shared" si="23"/>
        <v>0</v>
      </c>
      <c r="L76" s="2411">
        <v>0</v>
      </c>
      <c r="M76" s="2411">
        <f t="shared" si="24"/>
        <v>0</v>
      </c>
      <c r="N76" s="2411">
        <f t="shared" si="24"/>
        <v>0</v>
      </c>
      <c r="Z76" s="1448"/>
      <c r="AA76" s="1447"/>
      <c r="AG76" s="1446"/>
      <c r="AK76" s="1447"/>
    </row>
    <row r="77" spans="1:37" ht="24">
      <c r="A77" s="1306" t="s">
        <v>1695</v>
      </c>
      <c r="B77" s="1312" t="str">
        <f>估价对象房地状况!C20</f>
        <v>海德公园</v>
      </c>
      <c r="C77" s="1293"/>
      <c r="D77" s="2409">
        <f t="shared" si="20"/>
        <v>0</v>
      </c>
      <c r="E77" s="1326"/>
      <c r="F77" s="2414"/>
      <c r="G77" s="2410"/>
      <c r="H77" s="2430" t="str">
        <f t="shared" si="21"/>
        <v>——</v>
      </c>
      <c r="I77" s="1314">
        <v>0.15</v>
      </c>
      <c r="J77" s="2411">
        <f t="shared" si="22"/>
        <v>0</v>
      </c>
      <c r="K77" s="2411">
        <f t="shared" si="23"/>
        <v>0</v>
      </c>
      <c r="L77" s="2411">
        <v>0</v>
      </c>
      <c r="M77" s="2411">
        <f t="shared" si="24"/>
        <v>0</v>
      </c>
      <c r="N77" s="2411">
        <f t="shared" si="24"/>
        <v>0</v>
      </c>
      <c r="Z77" s="1448"/>
      <c r="AA77" s="1447"/>
      <c r="AG77" s="1446"/>
      <c r="AK77" s="1447"/>
    </row>
    <row r="78" spans="1:37" ht="24.75" thickBot="1">
      <c r="A78" s="1321" t="s">
        <v>1699</v>
      </c>
      <c r="B78" s="2407"/>
      <c r="C78" s="1293"/>
      <c r="D78" s="2409">
        <f t="shared" si="20"/>
        <v>0</v>
      </c>
      <c r="E78" s="1327"/>
      <c r="F78" s="2414"/>
      <c r="G78" s="2410"/>
      <c r="H78" s="2430" t="str">
        <f t="shared" si="21"/>
        <v>——</v>
      </c>
      <c r="I78" s="1323">
        <v>0.04</v>
      </c>
      <c r="J78" s="2411">
        <f t="shared" si="22"/>
        <v>0</v>
      </c>
      <c r="K78" s="2411">
        <f t="shared" si="23"/>
        <v>0</v>
      </c>
      <c r="L78" s="2411">
        <v>0</v>
      </c>
      <c r="M78" s="2411">
        <f t="shared" si="24"/>
        <v>0</v>
      </c>
      <c r="N78" s="2411">
        <f t="shared" si="24"/>
        <v>0</v>
      </c>
      <c r="Z78" s="1448"/>
      <c r="AA78" s="1447"/>
      <c r="AG78" s="1446"/>
      <c r="AK78" s="1447"/>
    </row>
    <row r="79" spans="1:37" ht="15">
      <c r="A79" s="1300" t="s">
        <v>1109</v>
      </c>
      <c r="B79" s="2405">
        <f>1+E81</f>
        <v>1</v>
      </c>
      <c r="C79" s="2413"/>
      <c r="D79" s="1303"/>
      <c r="E79" s="1304"/>
      <c r="F79" s="2412"/>
      <c r="G79" s="189"/>
      <c r="H79" s="189"/>
      <c r="I79" s="189"/>
      <c r="J79" s="1299"/>
      <c r="K79" s="1299"/>
      <c r="L79" s="1299"/>
      <c r="M79" s="1299"/>
      <c r="N79" s="1299"/>
      <c r="Z79" s="1448"/>
      <c r="AA79" s="1447"/>
      <c r="AG79" s="1446"/>
      <c r="AK79" s="1447"/>
    </row>
    <row r="80" spans="1:37" ht="24">
      <c r="A80" s="1306" t="s">
        <v>1683</v>
      </c>
      <c r="B80" s="1317"/>
      <c r="C80" s="1308" t="s">
        <v>1685</v>
      </c>
      <c r="D80" s="1309" t="s">
        <v>1765</v>
      </c>
      <c r="E80" s="1310" t="s">
        <v>1767</v>
      </c>
      <c r="F80" s="1311" t="s">
        <v>2171</v>
      </c>
      <c r="G80" s="1309" t="s">
        <v>1763</v>
      </c>
      <c r="H80" s="2408" t="s">
        <v>2378</v>
      </c>
      <c r="I80" s="1309" t="s">
        <v>1766</v>
      </c>
      <c r="J80" s="805" t="s">
        <v>437</v>
      </c>
      <c r="K80" s="805" t="s">
        <v>438</v>
      </c>
      <c r="L80" s="805" t="s">
        <v>439</v>
      </c>
      <c r="M80" s="805" t="s">
        <v>440</v>
      </c>
      <c r="N80" s="805" t="s">
        <v>441</v>
      </c>
      <c r="Z80" s="1448"/>
      <c r="AA80" s="1447"/>
      <c r="AG80" s="1446"/>
      <c r="AK80" s="1447"/>
    </row>
    <row r="81" spans="1:37" ht="36">
      <c r="A81" s="1306" t="s">
        <v>1700</v>
      </c>
      <c r="B81" s="1317" t="str">
        <f>估价对象房地状况!G15</f>
        <v>估价对象位于XX开发区，园区建设成熟度XX，产业集聚程度XX</v>
      </c>
      <c r="C81" s="1293"/>
      <c r="D81" s="2409">
        <f t="shared" ref="D81:D88" si="25">SUMIF($J$80:$N$80,C81,J81:N81)</f>
        <v>0</v>
      </c>
      <c r="E81" s="1315">
        <f>ROUND(SUM(D81:D88),4)</f>
        <v>0</v>
      </c>
      <c r="F81" s="1316" t="str">
        <f>IF(E2="工业",SUMIF(L1:L12,G2,N1:N12),"——")</f>
        <v>——</v>
      </c>
      <c r="G81" s="2410"/>
      <c r="H81" s="2430" t="str">
        <f t="shared" ref="H81:H88" si="26">IFERROR(ROUNDDOWN($F$81*I81/2,4),"——")</f>
        <v>——</v>
      </c>
      <c r="I81" s="1314">
        <v>0.26</v>
      </c>
      <c r="J81" s="2411">
        <f t="shared" ref="J81:J88" si="27">K81+$G81</f>
        <v>0</v>
      </c>
      <c r="K81" s="2411">
        <f t="shared" ref="K81:K88" si="28">$L81+$G81</f>
        <v>0</v>
      </c>
      <c r="L81" s="2411">
        <v>0</v>
      </c>
      <c r="M81" s="2411">
        <f t="shared" ref="M81:N88" si="29">L81-$G81</f>
        <v>0</v>
      </c>
      <c r="N81" s="2411">
        <f t="shared" si="29"/>
        <v>0</v>
      </c>
      <c r="Z81" s="1448"/>
      <c r="AA81" s="1447"/>
      <c r="AG81" s="1446"/>
      <c r="AK81" s="1447"/>
    </row>
    <row r="82" spans="1:37" ht="48">
      <c r="A82" s="1306" t="s">
        <v>1688</v>
      </c>
      <c r="B82" s="1317" t="str">
        <f>估价对象房地状况!G16</f>
        <v>估价对象周边道路状况、公共交通通达情况、停车便捷程度，综合评价交通便捷度较好</v>
      </c>
      <c r="C82" s="1293"/>
      <c r="D82" s="2409">
        <f t="shared" si="25"/>
        <v>0</v>
      </c>
      <c r="E82" s="1326"/>
      <c r="F82" s="2414"/>
      <c r="G82" s="2410"/>
      <c r="H82" s="2430" t="str">
        <f t="shared" si="26"/>
        <v>——</v>
      </c>
      <c r="I82" s="1314">
        <v>0.33</v>
      </c>
      <c r="J82" s="2411">
        <f t="shared" si="27"/>
        <v>0</v>
      </c>
      <c r="K82" s="2411">
        <f t="shared" si="28"/>
        <v>0</v>
      </c>
      <c r="L82" s="2411">
        <v>0</v>
      </c>
      <c r="M82" s="2411">
        <f t="shared" si="29"/>
        <v>0</v>
      </c>
      <c r="N82" s="2411">
        <f t="shared" si="29"/>
        <v>0</v>
      </c>
      <c r="Z82" s="1448"/>
      <c r="AA82" s="1447"/>
      <c r="AG82" s="1446"/>
      <c r="AK82" s="1447"/>
    </row>
    <row r="83" spans="1:37" ht="24">
      <c r="A83" s="1306" t="s">
        <v>1689</v>
      </c>
      <c r="B83" s="1317">
        <f>估价对象房地状况!G17</f>
        <v>0</v>
      </c>
      <c r="C83" s="1293"/>
      <c r="D83" s="2409">
        <f t="shared" si="25"/>
        <v>0</v>
      </c>
      <c r="E83" s="1326"/>
      <c r="F83" s="2414"/>
      <c r="G83" s="2410"/>
      <c r="H83" s="2430" t="str">
        <f t="shared" si="26"/>
        <v>——</v>
      </c>
      <c r="I83" s="1314">
        <v>0.05</v>
      </c>
      <c r="J83" s="2411">
        <f t="shared" si="27"/>
        <v>0</v>
      </c>
      <c r="K83" s="2411">
        <f t="shared" si="28"/>
        <v>0</v>
      </c>
      <c r="L83" s="2411">
        <v>0</v>
      </c>
      <c r="M83" s="2411">
        <f t="shared" si="29"/>
        <v>0</v>
      </c>
      <c r="N83" s="2411">
        <f t="shared" si="29"/>
        <v>0</v>
      </c>
      <c r="Z83" s="1448"/>
      <c r="AA83" s="1447"/>
      <c r="AG83" s="1446"/>
      <c r="AK83" s="1447"/>
    </row>
    <row r="84" spans="1:37" ht="14.25">
      <c r="A84" s="1306" t="s">
        <v>1698</v>
      </c>
      <c r="B84" s="1317">
        <f>估价对象房地状况!G22</f>
        <v>0</v>
      </c>
      <c r="C84" s="1293"/>
      <c r="D84" s="2409">
        <f t="shared" si="25"/>
        <v>0</v>
      </c>
      <c r="E84" s="1326"/>
      <c r="F84" s="2414"/>
      <c r="G84" s="2410"/>
      <c r="H84" s="2430" t="str">
        <f t="shared" si="26"/>
        <v>——</v>
      </c>
      <c r="I84" s="1314">
        <v>0.04</v>
      </c>
      <c r="J84" s="2411">
        <f t="shared" si="27"/>
        <v>0</v>
      </c>
      <c r="K84" s="2411">
        <f t="shared" si="28"/>
        <v>0</v>
      </c>
      <c r="L84" s="2411">
        <v>0</v>
      </c>
      <c r="M84" s="2411">
        <f t="shared" si="29"/>
        <v>0</v>
      </c>
      <c r="N84" s="2411">
        <f t="shared" si="29"/>
        <v>0</v>
      </c>
      <c r="Z84" s="1448"/>
      <c r="AA84" s="1447"/>
      <c r="AG84" s="1446"/>
      <c r="AK84" s="1447"/>
    </row>
    <row r="85" spans="1:37" ht="24">
      <c r="A85" s="1306" t="s">
        <v>1693</v>
      </c>
      <c r="B85" s="2404" t="str">
        <f>估价对象房地状况!G19</f>
        <v>估价对象所在区域公共配套设施齐备情况</v>
      </c>
      <c r="C85" s="1293"/>
      <c r="D85" s="2409">
        <f t="shared" si="25"/>
        <v>0</v>
      </c>
      <c r="E85" s="1326"/>
      <c r="F85" s="2414"/>
      <c r="G85" s="2410"/>
      <c r="H85" s="2430" t="str">
        <f t="shared" si="26"/>
        <v>——</v>
      </c>
      <c r="I85" s="1314">
        <v>0.06</v>
      </c>
      <c r="J85" s="2411">
        <f t="shared" si="27"/>
        <v>0</v>
      </c>
      <c r="K85" s="2411">
        <f t="shared" si="28"/>
        <v>0</v>
      </c>
      <c r="L85" s="2411">
        <v>0</v>
      </c>
      <c r="M85" s="2411">
        <f t="shared" si="29"/>
        <v>0</v>
      </c>
      <c r="N85" s="2411">
        <f t="shared" si="29"/>
        <v>0</v>
      </c>
      <c r="Z85" s="1448"/>
      <c r="AA85" s="1447"/>
      <c r="AG85" s="1446"/>
      <c r="AK85" s="1447"/>
    </row>
    <row r="86" spans="1:37" ht="24">
      <c r="A86" s="1306" t="s">
        <v>1694</v>
      </c>
      <c r="B86" s="2404" t="str">
        <f>估价对象房地状况!G20</f>
        <v>估价对象所在区域基础设施水平</v>
      </c>
      <c r="C86" s="1293"/>
      <c r="D86" s="2409">
        <f t="shared" si="25"/>
        <v>0</v>
      </c>
      <c r="E86" s="1326"/>
      <c r="F86" s="2414"/>
      <c r="G86" s="2410"/>
      <c r="H86" s="2430" t="str">
        <f t="shared" si="26"/>
        <v>——</v>
      </c>
      <c r="I86" s="1314">
        <v>0.15</v>
      </c>
      <c r="J86" s="2411">
        <f t="shared" si="27"/>
        <v>0</v>
      </c>
      <c r="K86" s="2411">
        <f t="shared" si="28"/>
        <v>0</v>
      </c>
      <c r="L86" s="2411">
        <v>0</v>
      </c>
      <c r="M86" s="2411">
        <f t="shared" si="29"/>
        <v>0</v>
      </c>
      <c r="N86" s="2411">
        <f t="shared" si="29"/>
        <v>0</v>
      </c>
      <c r="Z86" s="1448"/>
      <c r="AA86" s="1447"/>
      <c r="AG86" s="1446"/>
      <c r="AK86" s="1447"/>
    </row>
    <row r="87" spans="1:37" ht="24">
      <c r="A87" s="1306" t="s">
        <v>1692</v>
      </c>
      <c r="B87" s="3055" t="s">
        <v>2880</v>
      </c>
      <c r="C87" s="1293"/>
      <c r="D87" s="2409">
        <f t="shared" si="25"/>
        <v>0</v>
      </c>
      <c r="E87" s="1326"/>
      <c r="F87" s="2414"/>
      <c r="G87" s="2410"/>
      <c r="H87" s="2430" t="str">
        <f t="shared" si="26"/>
        <v>——</v>
      </c>
      <c r="I87" s="1314">
        <v>0.05</v>
      </c>
      <c r="J87" s="2411">
        <f t="shared" si="27"/>
        <v>0</v>
      </c>
      <c r="K87" s="2411">
        <f t="shared" si="28"/>
        <v>0</v>
      </c>
      <c r="L87" s="2411">
        <v>0</v>
      </c>
      <c r="M87" s="2411">
        <f t="shared" si="29"/>
        <v>0</v>
      </c>
      <c r="N87" s="2411">
        <f t="shared" si="29"/>
        <v>0</v>
      </c>
      <c r="Z87" s="1448"/>
      <c r="AA87" s="1447"/>
      <c r="AG87" s="1446"/>
      <c r="AK87" s="1447"/>
    </row>
    <row r="88" spans="1:37" ht="36.75" thickBot="1">
      <c r="A88" s="1321" t="s">
        <v>1701</v>
      </c>
      <c r="B88" s="2406" t="str">
        <f>估价对象房地状况!G18</f>
        <v>该园区内是否有污染型企业，绿化情况，卫生条件，整体环境状况判断</v>
      </c>
      <c r="C88" s="2431"/>
      <c r="D88" s="2432">
        <f t="shared" si="25"/>
        <v>0</v>
      </c>
      <c r="E88" s="1327"/>
      <c r="F88" s="2414"/>
      <c r="G88" s="2410"/>
      <c r="H88" s="2430" t="str">
        <f t="shared" si="26"/>
        <v>——</v>
      </c>
      <c r="I88" s="1323">
        <v>0.06</v>
      </c>
      <c r="J88" s="2411">
        <f t="shared" si="27"/>
        <v>0</v>
      </c>
      <c r="K88" s="2411">
        <f t="shared" si="28"/>
        <v>0</v>
      </c>
      <c r="L88" s="2411">
        <v>0</v>
      </c>
      <c r="M88" s="2411">
        <f t="shared" si="29"/>
        <v>0</v>
      </c>
      <c r="N88" s="2411">
        <f t="shared" si="29"/>
        <v>0</v>
      </c>
      <c r="Z88" s="1448"/>
      <c r="AA88" s="1447"/>
      <c r="AG88" s="1446"/>
      <c r="AK88" s="1447"/>
    </row>
    <row r="90" spans="1:37">
      <c r="A90" s="3605" t="s">
        <v>2379</v>
      </c>
      <c r="B90" s="3605"/>
      <c r="C90" s="3605"/>
      <c r="D90" s="3605"/>
      <c r="E90" s="3605"/>
      <c r="F90" s="3605"/>
      <c r="G90" s="3605"/>
      <c r="H90" s="3605"/>
      <c r="I90" s="3605"/>
      <c r="J90" s="3605"/>
      <c r="K90" s="2417"/>
      <c r="L90" s="2417"/>
      <c r="M90" s="2417"/>
      <c r="N90" s="2417"/>
    </row>
    <row r="91" spans="1:37">
      <c r="A91" s="3607" t="s">
        <v>2380</v>
      </c>
      <c r="B91" s="3607" t="s">
        <v>2381</v>
      </c>
      <c r="C91" s="1407" t="s">
        <v>2382</v>
      </c>
      <c r="D91" s="1408"/>
      <c r="E91" s="1408"/>
      <c r="F91" s="1408"/>
      <c r="G91" s="1408"/>
      <c r="H91" s="1408"/>
      <c r="I91" s="1408"/>
      <c r="J91" s="1409"/>
      <c r="K91" s="1397"/>
      <c r="L91" s="1397"/>
      <c r="M91" s="1397"/>
      <c r="N91" s="1397"/>
    </row>
    <row r="92" spans="1:37">
      <c r="A92" s="3607"/>
      <c r="B92" s="3607"/>
      <c r="C92" s="2416" t="s">
        <v>2383</v>
      </c>
      <c r="D92" s="2416" t="s">
        <v>2384</v>
      </c>
      <c r="E92" s="2416" t="s">
        <v>2385</v>
      </c>
      <c r="F92" s="2416" t="s">
        <v>2386</v>
      </c>
      <c r="G92" s="2416" t="s">
        <v>2387</v>
      </c>
      <c r="H92" s="2416" t="s">
        <v>2388</v>
      </c>
      <c r="I92" s="2416" t="s">
        <v>2389</v>
      </c>
      <c r="J92" s="2416" t="s">
        <v>2390</v>
      </c>
      <c r="K92" s="2416" t="s">
        <v>2391</v>
      </c>
      <c r="L92" s="2416" t="s">
        <v>2392</v>
      </c>
      <c r="M92" s="2416" t="s">
        <v>2393</v>
      </c>
      <c r="N92" s="2416" t="s">
        <v>2394</v>
      </c>
    </row>
    <row r="93" spans="1:37">
      <c r="A93" s="3608" t="s">
        <v>2395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60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60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60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60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60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609"/>
      <c r="B99" s="1410" t="s">
        <v>2396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61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608" t="s">
        <v>2397</v>
      </c>
      <c r="B101" s="1414" t="s">
        <v>2398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60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60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60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60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60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60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609"/>
      <c r="B108" s="3611" t="s">
        <v>2399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610"/>
      <c r="B109" s="361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606" t="s">
        <v>2400</v>
      </c>
      <c r="B110" s="3606"/>
      <c r="C110" s="3606"/>
      <c r="D110" s="3606"/>
      <c r="E110" s="3606"/>
      <c r="F110" s="3606"/>
      <c r="G110" s="3606"/>
      <c r="H110" s="3606"/>
      <c r="I110" s="3606"/>
      <c r="J110" s="3606"/>
      <c r="K110" s="2415"/>
      <c r="L110" s="2415"/>
      <c r="M110" s="2415"/>
      <c r="N110" s="2415"/>
    </row>
    <row r="112" spans="1:14" ht="12.75" thickBot="1"/>
    <row r="113" spans="1:13" ht="25.5" thickBot="1">
      <c r="A113" s="1423" t="s">
        <v>2401</v>
      </c>
      <c r="B113" s="2418">
        <f>G3</f>
        <v>0</v>
      </c>
      <c r="C113" s="1424" t="s">
        <v>2402</v>
      </c>
      <c r="D113" s="1425">
        <f>SUMPRODUCT((A115:A118=F113)*(B114:M114=H113)*B115:M118)</f>
        <v>0</v>
      </c>
      <c r="E113" s="1426" t="s">
        <v>2380</v>
      </c>
      <c r="F113" s="1427">
        <f>E2</f>
        <v>0</v>
      </c>
      <c r="G113" s="1426" t="s">
        <v>2403</v>
      </c>
      <c r="H113" s="1427">
        <f>G2</f>
        <v>0</v>
      </c>
      <c r="I113" s="1426"/>
      <c r="J113" s="1418"/>
      <c r="K113" s="1418"/>
      <c r="L113" s="1418"/>
      <c r="M113" s="1418"/>
    </row>
    <row r="114" spans="1:13" ht="12.75">
      <c r="A114" s="1430"/>
      <c r="B114" s="1431" t="s">
        <v>2383</v>
      </c>
      <c r="C114" s="1431" t="s">
        <v>2384</v>
      </c>
      <c r="D114" s="1431" t="s">
        <v>2385</v>
      </c>
      <c r="E114" s="1432" t="s">
        <v>2386</v>
      </c>
      <c r="F114" s="1432" t="s">
        <v>2387</v>
      </c>
      <c r="G114" s="1432" t="s">
        <v>2388</v>
      </c>
      <c r="H114" s="1433" t="s">
        <v>2389</v>
      </c>
      <c r="I114" s="1433" t="s">
        <v>2390</v>
      </c>
      <c r="J114" s="1434" t="s">
        <v>2391</v>
      </c>
      <c r="K114" s="1434" t="s">
        <v>2392</v>
      </c>
      <c r="L114" s="1434" t="s">
        <v>2393</v>
      </c>
      <c r="M114" s="1435" t="s">
        <v>2394</v>
      </c>
    </row>
    <row r="115" spans="1:13" ht="12.75">
      <c r="A115" s="1436" t="s">
        <v>2404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2406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2407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13" t="s">
        <v>2013</v>
      </c>
      <c r="B1" s="3613"/>
    </row>
    <row r="2" spans="1:6" ht="14.25" thickBot="1">
      <c r="A2" s="1903"/>
      <c r="B2" s="1903"/>
    </row>
    <row r="3" spans="1:6" ht="14.25" thickBot="1">
      <c r="A3" s="1903"/>
      <c r="B3" s="1903"/>
      <c r="C3" s="1906" t="s">
        <v>2014</v>
      </c>
      <c r="D3" s="1906" t="s">
        <v>2015</v>
      </c>
      <c r="E3" s="1906" t="s">
        <v>2016</v>
      </c>
      <c r="F3" s="1906" t="s">
        <v>2017</v>
      </c>
    </row>
    <row r="4" spans="1:6" ht="14.25" thickBot="1">
      <c r="A4" s="1907" t="s">
        <v>2018</v>
      </c>
      <c r="B4" s="1908" t="s">
        <v>2019</v>
      </c>
      <c r="C4" s="1906"/>
      <c r="D4" s="1906"/>
      <c r="E4" s="1906"/>
      <c r="F4" s="1906"/>
    </row>
    <row r="5" spans="1:6" ht="14.25" thickBot="1">
      <c r="A5" s="1342" t="s">
        <v>2020</v>
      </c>
      <c r="B5" s="1343" t="s">
        <v>2021</v>
      </c>
      <c r="C5" s="1909">
        <v>8.8999999999999996E-2</v>
      </c>
      <c r="D5" s="1909">
        <v>7.3999999999999996E-2</v>
      </c>
      <c r="E5" s="1909">
        <v>7.4999999999999997E-2</v>
      </c>
      <c r="F5" s="1910">
        <v>0.1</v>
      </c>
    </row>
    <row r="6" spans="1:6" ht="14.25" thickBot="1">
      <c r="A6" s="1342" t="s">
        <v>1135</v>
      </c>
      <c r="B6" s="1336" t="s">
        <v>2022</v>
      </c>
      <c r="C6" s="1911">
        <v>0.1</v>
      </c>
      <c r="D6" s="1911">
        <v>9.0999999999999998E-2</v>
      </c>
      <c r="E6" s="1911">
        <v>9.0999999999999998E-2</v>
      </c>
      <c r="F6" s="1912">
        <v>0.1</v>
      </c>
    </row>
    <row r="7" spans="1:6" ht="14.25" thickBot="1">
      <c r="A7" s="1342" t="s">
        <v>1135</v>
      </c>
      <c r="B7" s="1350" t="s">
        <v>1124</v>
      </c>
      <c r="C7" s="1911">
        <v>8.5999999999999993E-2</v>
      </c>
      <c r="D7" s="1911">
        <v>9.6000000000000002E-2</v>
      </c>
      <c r="E7" s="1911">
        <v>7.5999999999999998E-2</v>
      </c>
      <c r="F7" s="1912">
        <v>0.1</v>
      </c>
    </row>
    <row r="8" spans="1:6" ht="14.25" thickBot="1">
      <c r="A8" s="1342" t="s">
        <v>1135</v>
      </c>
      <c r="B8" s="1336" t="s">
        <v>1136</v>
      </c>
      <c r="C8" s="1911">
        <v>9.9000000000000005E-2</v>
      </c>
      <c r="D8" s="1911">
        <v>9.8000000000000004E-2</v>
      </c>
      <c r="E8" s="1911">
        <v>9.8000000000000004E-2</v>
      </c>
      <c r="F8" s="1912">
        <v>0.1</v>
      </c>
    </row>
    <row r="9" spans="1:6" ht="14.25" thickBot="1">
      <c r="A9" s="1359" t="s">
        <v>1135</v>
      </c>
      <c r="B9" s="1351" t="s">
        <v>1148</v>
      </c>
      <c r="C9" s="1913">
        <v>0.05</v>
      </c>
      <c r="D9" s="1914"/>
      <c r="E9" s="1914"/>
      <c r="F9" s="1915"/>
    </row>
    <row r="10" spans="1:6" ht="14.25" thickBot="1">
      <c r="A10" s="1342" t="s">
        <v>1195</v>
      </c>
      <c r="B10" s="1343" t="s">
        <v>2023</v>
      </c>
      <c r="C10" s="1909">
        <v>8.8999999999999996E-2</v>
      </c>
      <c r="D10" s="1909">
        <v>7.2999999999999995E-2</v>
      </c>
      <c r="E10" s="1909">
        <v>8.2000000000000003E-2</v>
      </c>
      <c r="F10" s="1910">
        <v>0.1</v>
      </c>
    </row>
    <row r="11" spans="1:6" ht="14.25" thickBot="1">
      <c r="A11" s="1342" t="s">
        <v>1195</v>
      </c>
      <c r="B11" s="1350" t="s">
        <v>1111</v>
      </c>
      <c r="C11" s="1911">
        <v>8.8999999999999996E-2</v>
      </c>
      <c r="D11" s="1911">
        <v>7.2999999999999995E-2</v>
      </c>
      <c r="E11" s="1911">
        <v>8.2000000000000003E-2</v>
      </c>
      <c r="F11" s="1912">
        <v>0.1</v>
      </c>
    </row>
    <row r="12" spans="1:6" ht="14.25" thickBot="1">
      <c r="A12" s="1342" t="s">
        <v>1195</v>
      </c>
      <c r="B12" s="1350" t="s">
        <v>1045</v>
      </c>
      <c r="C12" s="1911">
        <v>6.0999999999999999E-2</v>
      </c>
      <c r="D12" s="1911">
        <v>7.0999999999999994E-2</v>
      </c>
      <c r="E12" s="1911">
        <v>9.6000000000000002E-2</v>
      </c>
      <c r="F12" s="1912">
        <v>0.1</v>
      </c>
    </row>
    <row r="13" spans="1:6" ht="14.25" thickBot="1">
      <c r="A13" s="1342" t="s">
        <v>1195</v>
      </c>
      <c r="B13" s="1350" t="s">
        <v>1137</v>
      </c>
      <c r="C13" s="1911">
        <v>6.9000000000000006E-2</v>
      </c>
      <c r="D13" s="1911">
        <v>6.5000000000000002E-2</v>
      </c>
      <c r="E13" s="1911">
        <v>6.6000000000000003E-2</v>
      </c>
      <c r="F13" s="1912">
        <v>0.1</v>
      </c>
    </row>
    <row r="14" spans="1:6" ht="14.25" thickBot="1">
      <c r="A14" s="1342" t="s">
        <v>1195</v>
      </c>
      <c r="B14" s="1350" t="s">
        <v>1149</v>
      </c>
      <c r="C14" s="1911">
        <v>0.1</v>
      </c>
      <c r="D14" s="1911">
        <v>6.5000000000000002E-2</v>
      </c>
      <c r="E14" s="1911">
        <v>7.0000000000000007E-2</v>
      </c>
      <c r="F14" s="1912">
        <v>0.1</v>
      </c>
    </row>
    <row r="15" spans="1:6" ht="14.25" thickBot="1">
      <c r="A15" s="1342" t="s">
        <v>1195</v>
      </c>
      <c r="B15" s="1350" t="s">
        <v>1161</v>
      </c>
      <c r="C15" s="1911">
        <v>9.8000000000000004E-2</v>
      </c>
      <c r="D15" s="1911">
        <v>8.8999999999999996E-2</v>
      </c>
      <c r="E15" s="1911">
        <v>8.8999999999999996E-2</v>
      </c>
      <c r="F15" s="1912">
        <v>0.1</v>
      </c>
    </row>
    <row r="16" spans="1:6" ht="14.25" thickBot="1">
      <c r="A16" s="1342" t="s">
        <v>1195</v>
      </c>
      <c r="B16" s="1350" t="s">
        <v>1173</v>
      </c>
      <c r="C16" s="1911">
        <v>7.0000000000000007E-2</v>
      </c>
      <c r="D16" s="1911">
        <v>9.2999999999999999E-2</v>
      </c>
      <c r="E16" s="1911">
        <v>9.6000000000000002E-2</v>
      </c>
      <c r="F16" s="1912">
        <v>0.1</v>
      </c>
    </row>
    <row r="17" spans="1:6" ht="14.25" thickBot="1">
      <c r="A17" s="1342" t="s">
        <v>1195</v>
      </c>
      <c r="B17" s="1350" t="s">
        <v>1185</v>
      </c>
      <c r="C17" s="1911">
        <v>9.5000000000000001E-2</v>
      </c>
      <c r="D17" s="1911">
        <v>0.1</v>
      </c>
      <c r="E17" s="1911">
        <v>0.1</v>
      </c>
      <c r="F17" s="1916"/>
    </row>
    <row r="18" spans="1:6" ht="14.25" thickBot="1">
      <c r="A18" s="1342" t="s">
        <v>1195</v>
      </c>
      <c r="B18" s="1350" t="s">
        <v>1198</v>
      </c>
      <c r="C18" s="1911">
        <v>7.3999999999999996E-2</v>
      </c>
      <c r="D18" s="1911">
        <v>9.9000000000000005E-2</v>
      </c>
      <c r="E18" s="1911">
        <v>0.1</v>
      </c>
      <c r="F18" s="1916"/>
    </row>
    <row r="19" spans="1:6" ht="14.25" thickBot="1">
      <c r="A19" s="1342" t="s">
        <v>1195</v>
      </c>
      <c r="B19" s="1350" t="s">
        <v>1209</v>
      </c>
      <c r="C19" s="1911">
        <v>9.9000000000000005E-2</v>
      </c>
      <c r="D19" s="1911">
        <v>7.5999999999999998E-2</v>
      </c>
      <c r="E19" s="1911">
        <v>8.6999999999999994E-2</v>
      </c>
      <c r="F19" s="1916"/>
    </row>
    <row r="20" spans="1:6" ht="14.25" thickBot="1">
      <c r="A20" s="1342" t="s">
        <v>1195</v>
      </c>
      <c r="B20" s="1350" t="s">
        <v>1220</v>
      </c>
      <c r="C20" s="1911">
        <v>9.8000000000000004E-2</v>
      </c>
      <c r="D20" s="1911">
        <v>8.5000000000000006E-2</v>
      </c>
      <c r="E20" s="1911">
        <v>8.2000000000000003E-2</v>
      </c>
      <c r="F20" s="1916"/>
    </row>
    <row r="21" spans="1:6" ht="14.25" thickBot="1">
      <c r="A21" s="1342" t="s">
        <v>1195</v>
      </c>
      <c r="B21" s="1350" t="s">
        <v>1231</v>
      </c>
      <c r="C21" s="1911">
        <v>6.6000000000000003E-2</v>
      </c>
      <c r="D21" s="1911">
        <v>6.4000000000000001E-2</v>
      </c>
      <c r="E21" s="1911">
        <v>6.5000000000000002E-2</v>
      </c>
      <c r="F21" s="1916"/>
    </row>
    <row r="22" spans="1:6" ht="14.25" thickBot="1">
      <c r="A22" s="1342" t="s">
        <v>1195</v>
      </c>
      <c r="B22" s="1350" t="s">
        <v>2024</v>
      </c>
      <c r="C22" s="1911">
        <v>0.08</v>
      </c>
      <c r="D22" s="1911">
        <v>9.8000000000000004E-2</v>
      </c>
      <c r="E22" s="1911">
        <v>9.8000000000000004E-2</v>
      </c>
      <c r="F22" s="1916"/>
    </row>
    <row r="23" spans="1:6" ht="14.25" thickBot="1">
      <c r="A23" s="1342" t="s">
        <v>1195</v>
      </c>
      <c r="B23" s="1350" t="s">
        <v>1253</v>
      </c>
      <c r="C23" s="1911">
        <v>9.9000000000000005E-2</v>
      </c>
      <c r="D23" s="1911">
        <v>9.8000000000000004E-2</v>
      </c>
      <c r="E23" s="1911">
        <v>9.0999999999999998E-2</v>
      </c>
      <c r="F23" s="1916"/>
    </row>
    <row r="24" spans="1:6" ht="14.25" thickBot="1">
      <c r="A24" s="1342" t="s">
        <v>1195</v>
      </c>
      <c r="B24" s="1350" t="s">
        <v>1264</v>
      </c>
      <c r="C24" s="1911">
        <v>8.8999999999999996E-2</v>
      </c>
      <c r="D24" s="1911">
        <v>9.7000000000000003E-2</v>
      </c>
      <c r="E24" s="1911">
        <v>7.0000000000000007E-2</v>
      </c>
      <c r="F24" s="1916"/>
    </row>
    <row r="25" spans="1:6" ht="14.25" thickBot="1">
      <c r="A25" s="1342" t="s">
        <v>1195</v>
      </c>
      <c r="B25" s="1350" t="s">
        <v>1274</v>
      </c>
      <c r="C25" s="1911">
        <v>8.8999999999999996E-2</v>
      </c>
      <c r="D25" s="1911">
        <v>0.1</v>
      </c>
      <c r="E25" s="1911">
        <v>8.1000000000000003E-2</v>
      </c>
      <c r="F25" s="1916"/>
    </row>
    <row r="26" spans="1:6" ht="14.25" thickBot="1">
      <c r="A26" s="1342" t="s">
        <v>1195</v>
      </c>
      <c r="B26" s="1350" t="s">
        <v>1284</v>
      </c>
      <c r="C26" s="1917"/>
      <c r="D26" s="1911">
        <v>9.6000000000000002E-2</v>
      </c>
      <c r="E26" s="1911">
        <v>9.2999999999999999E-2</v>
      </c>
      <c r="F26" s="1916"/>
    </row>
    <row r="27" spans="1:6" ht="14.25" thickBot="1">
      <c r="A27" s="1342" t="s">
        <v>1195</v>
      </c>
      <c r="B27" s="1350" t="s">
        <v>1294</v>
      </c>
      <c r="C27" s="1917"/>
      <c r="D27" s="1911">
        <v>7.5999999999999998E-2</v>
      </c>
      <c r="E27" s="1911">
        <v>9.1999999999999998E-2</v>
      </c>
      <c r="F27" s="1916"/>
    </row>
    <row r="28" spans="1:6" ht="14.25" thickBot="1">
      <c r="A28" s="1359" t="s">
        <v>1195</v>
      </c>
      <c r="B28" s="1351" t="s">
        <v>1304</v>
      </c>
      <c r="C28" s="1914"/>
      <c r="D28" s="1913">
        <v>7.5999999999999998E-2</v>
      </c>
      <c r="E28" s="1913">
        <v>9.1999999999999998E-2</v>
      </c>
      <c r="F28" s="1915"/>
    </row>
    <row r="29" spans="1:6" ht="14.25" thickBot="1">
      <c r="A29" s="1342" t="s">
        <v>1373</v>
      </c>
      <c r="B29" s="1343" t="s">
        <v>2025</v>
      </c>
      <c r="C29" s="1909">
        <v>6.4000000000000001E-2</v>
      </c>
      <c r="D29" s="1909">
        <v>6.5000000000000002E-2</v>
      </c>
      <c r="E29" s="1909">
        <v>6.9000000000000006E-2</v>
      </c>
      <c r="F29" s="1910">
        <v>0.1</v>
      </c>
    </row>
    <row r="30" spans="1:6" ht="14.25" thickBot="1">
      <c r="A30" s="1342" t="s">
        <v>1373</v>
      </c>
      <c r="B30" s="1350" t="s">
        <v>1112</v>
      </c>
      <c r="C30" s="1911">
        <v>6.4000000000000001E-2</v>
      </c>
      <c r="D30" s="1911">
        <v>9.9000000000000005E-2</v>
      </c>
      <c r="E30" s="1911">
        <v>0.1</v>
      </c>
      <c r="F30" s="1912">
        <v>0.1</v>
      </c>
    </row>
    <row r="31" spans="1:6" ht="14.25" thickBot="1">
      <c r="A31" s="1342" t="s">
        <v>1373</v>
      </c>
      <c r="B31" s="1350" t="s">
        <v>1125</v>
      </c>
      <c r="C31" s="1911">
        <v>0.1</v>
      </c>
      <c r="D31" s="1911">
        <v>9.5000000000000001E-2</v>
      </c>
      <c r="E31" s="1911">
        <v>8.8999999999999996E-2</v>
      </c>
      <c r="F31" s="1912">
        <v>0.1</v>
      </c>
    </row>
    <row r="32" spans="1:6" ht="14.25" thickBot="1">
      <c r="A32" s="1342" t="s">
        <v>1373</v>
      </c>
      <c r="B32" s="1350" t="s">
        <v>1138</v>
      </c>
      <c r="C32" s="1911">
        <v>0.05</v>
      </c>
      <c r="D32" s="1911">
        <v>0.05</v>
      </c>
      <c r="E32" s="1911">
        <v>8.7999999999999995E-2</v>
      </c>
      <c r="F32" s="1912">
        <v>0.1</v>
      </c>
    </row>
    <row r="33" spans="1:6" ht="14.25" thickBot="1">
      <c r="A33" s="1342" t="s">
        <v>1373</v>
      </c>
      <c r="B33" s="1350" t="s">
        <v>1150</v>
      </c>
      <c r="C33" s="1911">
        <v>7.4999999999999997E-2</v>
      </c>
      <c r="D33" s="1911">
        <v>9.4E-2</v>
      </c>
      <c r="E33" s="1911">
        <v>9.7000000000000003E-2</v>
      </c>
      <c r="F33" s="1912">
        <v>0.1</v>
      </c>
    </row>
    <row r="34" spans="1:6" ht="14.25" thickBot="1">
      <c r="A34" s="1342" t="s">
        <v>1373</v>
      </c>
      <c r="B34" s="1350" t="s">
        <v>1162</v>
      </c>
      <c r="C34" s="1911">
        <v>9.8000000000000004E-2</v>
      </c>
      <c r="D34" s="1911">
        <v>8.5999999999999993E-2</v>
      </c>
      <c r="E34" s="1911">
        <v>9.7000000000000003E-2</v>
      </c>
      <c r="F34" s="1912">
        <v>0.1</v>
      </c>
    </row>
    <row r="35" spans="1:6" ht="14.25" thickBot="1">
      <c r="A35" s="1342" t="s">
        <v>1373</v>
      </c>
      <c r="B35" s="1350" t="s">
        <v>1174</v>
      </c>
      <c r="C35" s="1911">
        <v>5.8999999999999997E-2</v>
      </c>
      <c r="D35" s="1911">
        <v>6.5000000000000002E-2</v>
      </c>
      <c r="E35" s="1911">
        <v>7.0000000000000007E-2</v>
      </c>
      <c r="F35" s="1912">
        <v>0.1</v>
      </c>
    </row>
    <row r="36" spans="1:6" ht="14.25" thickBot="1">
      <c r="A36" s="1342" t="s">
        <v>1373</v>
      </c>
      <c r="B36" s="1350" t="s">
        <v>1186</v>
      </c>
      <c r="C36" s="1911">
        <v>6.3E-2</v>
      </c>
      <c r="D36" s="1911">
        <v>0.1</v>
      </c>
      <c r="E36" s="1911">
        <v>0.1</v>
      </c>
      <c r="F36" s="1912">
        <v>0.1</v>
      </c>
    </row>
    <row r="37" spans="1:6" ht="14.25" thickBot="1">
      <c r="A37" s="1342" t="s">
        <v>1373</v>
      </c>
      <c r="B37" s="1350" t="s">
        <v>1199</v>
      </c>
      <c r="C37" s="1911">
        <v>7.3999999999999996E-2</v>
      </c>
      <c r="D37" s="1911">
        <v>0.1</v>
      </c>
      <c r="E37" s="1911">
        <v>0.1</v>
      </c>
      <c r="F37" s="1912">
        <v>0.1</v>
      </c>
    </row>
    <row r="38" spans="1:6" ht="14.25" thickBot="1">
      <c r="A38" s="1342" t="s">
        <v>1373</v>
      </c>
      <c r="B38" s="1350" t="s">
        <v>1210</v>
      </c>
      <c r="C38" s="1911">
        <v>0.1</v>
      </c>
      <c r="D38" s="1911">
        <v>9.6000000000000002E-2</v>
      </c>
      <c r="E38" s="1911">
        <v>9.6000000000000002E-2</v>
      </c>
      <c r="F38" s="1916"/>
    </row>
    <row r="39" spans="1:6" ht="14.25" thickBot="1">
      <c r="A39" s="1342" t="s">
        <v>1373</v>
      </c>
      <c r="B39" s="1350" t="s">
        <v>1221</v>
      </c>
      <c r="C39" s="1911">
        <v>0.1</v>
      </c>
      <c r="D39" s="1911">
        <v>9.6000000000000002E-2</v>
      </c>
      <c r="E39" s="1911">
        <v>9.6000000000000002E-2</v>
      </c>
      <c r="F39" s="1916"/>
    </row>
    <row r="40" spans="1:6" ht="14.25" thickBot="1">
      <c r="A40" s="1342" t="s">
        <v>1373</v>
      </c>
      <c r="B40" s="1350" t="s">
        <v>1232</v>
      </c>
      <c r="C40" s="1911">
        <v>9.6000000000000002E-2</v>
      </c>
      <c r="D40" s="1911">
        <v>0.1</v>
      </c>
      <c r="E40" s="1911">
        <v>9.9000000000000005E-2</v>
      </c>
      <c r="F40" s="1916"/>
    </row>
    <row r="41" spans="1:6" ht="14.25" thickBot="1">
      <c r="A41" s="1342" t="s">
        <v>1373</v>
      </c>
      <c r="B41" s="1350" t="s">
        <v>1243</v>
      </c>
      <c r="C41" s="1911">
        <v>9.6000000000000002E-2</v>
      </c>
      <c r="D41" s="1911">
        <v>9.8000000000000004E-2</v>
      </c>
      <c r="E41" s="1911">
        <v>9.8000000000000004E-2</v>
      </c>
      <c r="F41" s="1916"/>
    </row>
    <row r="42" spans="1:6" ht="14.25" thickBot="1">
      <c r="A42" s="1342" t="s">
        <v>1373</v>
      </c>
      <c r="B42" s="1350" t="s">
        <v>1254</v>
      </c>
      <c r="C42" s="1911">
        <v>0.1</v>
      </c>
      <c r="D42" s="1911">
        <v>8.7999999999999995E-2</v>
      </c>
      <c r="E42" s="1911">
        <v>0.1</v>
      </c>
      <c r="F42" s="1916"/>
    </row>
    <row r="43" spans="1:6" ht="14.25" thickBot="1">
      <c r="A43" s="1342" t="s">
        <v>1373</v>
      </c>
      <c r="B43" s="1350" t="s">
        <v>1265</v>
      </c>
      <c r="C43" s="1911">
        <v>9.8000000000000004E-2</v>
      </c>
      <c r="D43" s="1911">
        <v>9.7000000000000003E-2</v>
      </c>
      <c r="E43" s="1911">
        <v>9.6000000000000002E-2</v>
      </c>
      <c r="F43" s="1916"/>
    </row>
    <row r="44" spans="1:6" ht="14.25" thickBot="1">
      <c r="A44" s="1342" t="s">
        <v>1373</v>
      </c>
      <c r="B44" s="1350" t="s">
        <v>1275</v>
      </c>
      <c r="C44" s="1911">
        <v>8.5999999999999993E-2</v>
      </c>
      <c r="D44" s="1911">
        <v>7.9000000000000001E-2</v>
      </c>
      <c r="E44" s="1911">
        <v>7.0999999999999994E-2</v>
      </c>
      <c r="F44" s="1916"/>
    </row>
    <row r="45" spans="1:6" ht="14.25" thickBot="1">
      <c r="A45" s="1342" t="s">
        <v>1373</v>
      </c>
      <c r="B45" s="1350" t="s">
        <v>1285</v>
      </c>
      <c r="C45" s="1911">
        <v>9.8000000000000004E-2</v>
      </c>
      <c r="D45" s="1911">
        <v>9.6000000000000002E-2</v>
      </c>
      <c r="E45" s="1911">
        <v>9.6000000000000002E-2</v>
      </c>
      <c r="F45" s="1916"/>
    </row>
    <row r="46" spans="1:6" ht="14.25" thickBot="1">
      <c r="A46" s="1342" t="s">
        <v>1373</v>
      </c>
      <c r="B46" s="1350" t="s">
        <v>1295</v>
      </c>
      <c r="C46" s="1911">
        <v>8.5999999999999993E-2</v>
      </c>
      <c r="D46" s="1911">
        <v>9.8000000000000004E-2</v>
      </c>
      <c r="E46" s="1911">
        <v>8.7999999999999995E-2</v>
      </c>
      <c r="F46" s="1916"/>
    </row>
    <row r="47" spans="1:6" ht="14.25" thickBot="1">
      <c r="A47" s="1342" t="s">
        <v>1373</v>
      </c>
      <c r="B47" s="1350" t="s">
        <v>1305</v>
      </c>
      <c r="C47" s="1911">
        <v>9.6000000000000002E-2</v>
      </c>
      <c r="D47" s="1917"/>
      <c r="E47" s="1911">
        <v>6.9000000000000006E-2</v>
      </c>
      <c r="F47" s="1916"/>
    </row>
    <row r="48" spans="1:6" ht="14.25" thickBot="1">
      <c r="A48" s="1359" t="s">
        <v>1373</v>
      </c>
      <c r="B48" s="1351" t="s">
        <v>1314</v>
      </c>
      <c r="C48" s="1913">
        <v>9.8000000000000004E-2</v>
      </c>
      <c r="D48" s="1914"/>
      <c r="E48" s="1913">
        <v>9.5000000000000001E-2</v>
      </c>
      <c r="F48" s="1915"/>
    </row>
    <row r="49" spans="1:6" ht="14.25" thickBot="1">
      <c r="A49" s="1342" t="s">
        <v>1044</v>
      </c>
      <c r="B49" s="1343" t="s">
        <v>2026</v>
      </c>
      <c r="C49" s="1909">
        <v>9.7000000000000003E-2</v>
      </c>
      <c r="D49" s="1909">
        <v>9.5000000000000001E-2</v>
      </c>
      <c r="E49" s="1909">
        <v>9.7000000000000003E-2</v>
      </c>
      <c r="F49" s="1910">
        <v>0.1</v>
      </c>
    </row>
    <row r="50" spans="1:6" ht="14.25" thickBot="1">
      <c r="A50" s="1342" t="s">
        <v>1044</v>
      </c>
      <c r="B50" s="1336" t="s">
        <v>1113</v>
      </c>
      <c r="C50" s="1911">
        <v>7.4999999999999997E-2</v>
      </c>
      <c r="D50" s="1911">
        <v>9.5000000000000001E-2</v>
      </c>
      <c r="E50" s="1911">
        <v>0.1</v>
      </c>
      <c r="F50" s="1912">
        <v>0.1</v>
      </c>
    </row>
    <row r="51" spans="1:6" ht="14.25" thickBot="1">
      <c r="A51" s="1342" t="s">
        <v>1044</v>
      </c>
      <c r="B51" s="1336" t="s">
        <v>1126</v>
      </c>
      <c r="C51" s="1911">
        <v>9.8000000000000004E-2</v>
      </c>
      <c r="D51" s="1911">
        <v>8.8999999999999996E-2</v>
      </c>
      <c r="E51" s="1911">
        <v>0.1</v>
      </c>
      <c r="F51" s="1912">
        <v>0.1</v>
      </c>
    </row>
    <row r="52" spans="1:6" ht="14.25" thickBot="1">
      <c r="A52" s="1342" t="s">
        <v>1044</v>
      </c>
      <c r="B52" s="1336" t="s">
        <v>1139</v>
      </c>
      <c r="C52" s="1911">
        <v>9.8000000000000004E-2</v>
      </c>
      <c r="D52" s="1911">
        <v>9.7000000000000003E-2</v>
      </c>
      <c r="E52" s="1911">
        <v>8.1000000000000003E-2</v>
      </c>
      <c r="F52" s="1912">
        <v>0.1</v>
      </c>
    </row>
    <row r="53" spans="1:6" ht="14.25" thickBot="1">
      <c r="A53" s="1342" t="s">
        <v>1044</v>
      </c>
      <c r="B53" s="1336" t="s">
        <v>1151</v>
      </c>
      <c r="C53" s="1911">
        <v>9.7000000000000003E-2</v>
      </c>
      <c r="D53" s="1911">
        <v>7.5999999999999998E-2</v>
      </c>
      <c r="E53" s="1911">
        <v>7.0999999999999994E-2</v>
      </c>
      <c r="F53" s="1912">
        <v>0.1</v>
      </c>
    </row>
    <row r="54" spans="1:6" ht="14.25" thickBot="1">
      <c r="A54" s="1342" t="s">
        <v>1044</v>
      </c>
      <c r="B54" s="1336" t="s">
        <v>1163</v>
      </c>
      <c r="C54" s="1911">
        <v>7.5999999999999998E-2</v>
      </c>
      <c r="D54" s="1911">
        <v>0.1</v>
      </c>
      <c r="E54" s="1911">
        <v>9.9000000000000005E-2</v>
      </c>
      <c r="F54" s="1912">
        <v>0.1</v>
      </c>
    </row>
    <row r="55" spans="1:6" ht="14.25" thickBot="1">
      <c r="A55" s="1342" t="s">
        <v>1044</v>
      </c>
      <c r="B55" s="1336" t="s">
        <v>1175</v>
      </c>
      <c r="C55" s="1911">
        <v>0.1</v>
      </c>
      <c r="D55" s="1911">
        <v>0.1</v>
      </c>
      <c r="E55" s="1911">
        <v>9.6000000000000002E-2</v>
      </c>
      <c r="F55" s="1912">
        <v>0.1</v>
      </c>
    </row>
    <row r="56" spans="1:6" ht="14.25" thickBot="1">
      <c r="A56" s="1342" t="s">
        <v>1044</v>
      </c>
      <c r="B56" s="1336" t="s">
        <v>1187</v>
      </c>
      <c r="C56" s="1911">
        <v>0.1</v>
      </c>
      <c r="D56" s="1911">
        <v>9.6000000000000002E-2</v>
      </c>
      <c r="E56" s="1911">
        <v>5.1999999999999998E-2</v>
      </c>
      <c r="F56" s="1912">
        <v>0.1</v>
      </c>
    </row>
    <row r="57" spans="1:6" ht="14.25" thickBot="1">
      <c r="A57" s="1342" t="s">
        <v>1044</v>
      </c>
      <c r="B57" s="1336" t="s">
        <v>1200</v>
      </c>
      <c r="C57" s="1911">
        <v>9.7000000000000003E-2</v>
      </c>
      <c r="D57" s="1911">
        <v>9.6000000000000002E-2</v>
      </c>
      <c r="E57" s="1911">
        <v>9.6000000000000002E-2</v>
      </c>
      <c r="F57" s="1912">
        <v>0.1</v>
      </c>
    </row>
    <row r="58" spans="1:6" ht="14.25" thickBot="1">
      <c r="A58" s="1342" t="s">
        <v>1044</v>
      </c>
      <c r="B58" s="1336" t="s">
        <v>1211</v>
      </c>
      <c r="C58" s="1911">
        <v>9.6000000000000002E-2</v>
      </c>
      <c r="D58" s="1911">
        <v>9.9000000000000005E-2</v>
      </c>
      <c r="E58" s="1911">
        <v>9.6000000000000002E-2</v>
      </c>
      <c r="F58" s="1912">
        <v>0.1</v>
      </c>
    </row>
    <row r="59" spans="1:6" ht="14.25" thickBot="1">
      <c r="A59" s="1342" t="s">
        <v>1044</v>
      </c>
      <c r="B59" s="1336" t="s">
        <v>1222</v>
      </c>
      <c r="C59" s="1911">
        <v>7.1999999999999995E-2</v>
      </c>
      <c r="D59" s="1911">
        <v>9.6000000000000002E-2</v>
      </c>
      <c r="E59" s="1911">
        <v>7.0999999999999994E-2</v>
      </c>
      <c r="F59" s="1912">
        <v>0.1</v>
      </c>
    </row>
    <row r="60" spans="1:6" ht="14.25" thickBot="1">
      <c r="A60" s="1342" t="s">
        <v>1044</v>
      </c>
      <c r="B60" s="1336" t="s">
        <v>1233</v>
      </c>
      <c r="C60" s="1911">
        <v>9.6000000000000002E-2</v>
      </c>
      <c r="D60" s="1911">
        <v>8.8999999999999996E-2</v>
      </c>
      <c r="E60" s="1911">
        <v>9.6000000000000002E-2</v>
      </c>
      <c r="F60" s="1912">
        <v>0.1</v>
      </c>
    </row>
    <row r="61" spans="1:6" ht="14.25" thickBot="1">
      <c r="A61" s="1342" t="s">
        <v>1044</v>
      </c>
      <c r="B61" s="1336" t="s">
        <v>1244</v>
      </c>
      <c r="C61" s="1911">
        <v>8.8999999999999996E-2</v>
      </c>
      <c r="D61" s="1911">
        <v>9.8000000000000004E-2</v>
      </c>
      <c r="E61" s="1911">
        <v>8.7999999999999995E-2</v>
      </c>
      <c r="F61" s="1916"/>
    </row>
    <row r="62" spans="1:6" ht="14.25" thickBot="1">
      <c r="A62" s="1342" t="s">
        <v>1044</v>
      </c>
      <c r="B62" s="1336" t="s">
        <v>1255</v>
      </c>
      <c r="C62" s="1911">
        <v>9.8000000000000004E-2</v>
      </c>
      <c r="D62" s="1911">
        <v>9.2999999999999999E-2</v>
      </c>
      <c r="E62" s="1911">
        <v>9.7000000000000003E-2</v>
      </c>
      <c r="F62" s="1916"/>
    </row>
    <row r="63" spans="1:6" ht="14.25" thickBot="1">
      <c r="A63" s="1342" t="s">
        <v>1044</v>
      </c>
      <c r="B63" s="1336" t="s">
        <v>1266</v>
      </c>
      <c r="C63" s="1911">
        <v>9.6000000000000002E-2</v>
      </c>
      <c r="D63" s="1911">
        <v>9.8000000000000004E-2</v>
      </c>
      <c r="E63" s="1911">
        <v>0.09</v>
      </c>
      <c r="F63" s="1916"/>
    </row>
    <row r="64" spans="1:6" ht="14.25" thickBot="1">
      <c r="A64" s="1342" t="s">
        <v>1044</v>
      </c>
      <c r="B64" s="1336" t="s">
        <v>1276</v>
      </c>
      <c r="C64" s="1911">
        <v>9.9000000000000005E-2</v>
      </c>
      <c r="D64" s="1911">
        <v>9.7000000000000003E-2</v>
      </c>
      <c r="E64" s="1911">
        <v>9.9000000000000005E-2</v>
      </c>
      <c r="F64" s="1916"/>
    </row>
    <row r="65" spans="1:6" ht="14.25" thickBot="1">
      <c r="A65" s="1342" t="s">
        <v>1044</v>
      </c>
      <c r="B65" s="1336" t="s">
        <v>1286</v>
      </c>
      <c r="C65" s="1911">
        <v>9.8000000000000004E-2</v>
      </c>
      <c r="D65" s="1911">
        <v>9.6000000000000002E-2</v>
      </c>
      <c r="E65" s="1911">
        <v>9.6000000000000002E-2</v>
      </c>
      <c r="F65" s="1916"/>
    </row>
    <row r="66" spans="1:6" ht="14.25" thickBot="1">
      <c r="A66" s="1342" t="s">
        <v>1044</v>
      </c>
      <c r="B66" s="1336" t="s">
        <v>1296</v>
      </c>
      <c r="C66" s="1911">
        <v>9.6000000000000002E-2</v>
      </c>
      <c r="D66" s="1911">
        <v>9.1999999999999998E-2</v>
      </c>
      <c r="E66" s="1911">
        <v>9.6000000000000002E-2</v>
      </c>
      <c r="F66" s="1916"/>
    </row>
    <row r="67" spans="1:6" ht="14.25" thickBot="1">
      <c r="A67" s="1342" t="s">
        <v>1044</v>
      </c>
      <c r="B67" s="1336" t="s">
        <v>1306</v>
      </c>
      <c r="C67" s="1911">
        <v>9.4E-2</v>
      </c>
      <c r="D67" s="1911">
        <v>0.1</v>
      </c>
      <c r="E67" s="1911">
        <v>8.7999999999999995E-2</v>
      </c>
      <c r="F67" s="1916"/>
    </row>
    <row r="68" spans="1:6" ht="14.25" thickBot="1">
      <c r="A68" s="1342" t="s">
        <v>1044</v>
      </c>
      <c r="B68" s="1336" t="s">
        <v>1315</v>
      </c>
      <c r="C68" s="1911">
        <v>0.1</v>
      </c>
      <c r="D68" s="1911">
        <v>8.7999999999999995E-2</v>
      </c>
      <c r="E68" s="1911">
        <v>9.7000000000000003E-2</v>
      </c>
      <c r="F68" s="1916"/>
    </row>
    <row r="69" spans="1:6" ht="14.25" thickBot="1">
      <c r="A69" s="1342" t="s">
        <v>1044</v>
      </c>
      <c r="B69" s="1336" t="s">
        <v>1324</v>
      </c>
      <c r="C69" s="1911">
        <v>6.4000000000000001E-2</v>
      </c>
      <c r="D69" s="1911">
        <v>0.1</v>
      </c>
      <c r="E69" s="1911">
        <v>0.1</v>
      </c>
      <c r="F69" s="1916"/>
    </row>
    <row r="70" spans="1:6" ht="14.25" thickBot="1">
      <c r="A70" s="1342" t="s">
        <v>1044</v>
      </c>
      <c r="B70" s="1336" t="s">
        <v>1332</v>
      </c>
      <c r="C70" s="1911">
        <v>9.0999999999999998E-2</v>
      </c>
      <c r="D70" s="1917"/>
      <c r="E70" s="1917"/>
      <c r="F70" s="1916"/>
    </row>
    <row r="71" spans="1:6" ht="14.25" thickBot="1">
      <c r="A71" s="1342" t="s">
        <v>1044</v>
      </c>
      <c r="B71" s="1336" t="s">
        <v>1339</v>
      </c>
      <c r="C71" s="1911">
        <v>0.1</v>
      </c>
      <c r="D71" s="1917"/>
      <c r="E71" s="1917"/>
      <c r="F71" s="1916"/>
    </row>
    <row r="72" spans="1:6" ht="14.25" thickBot="1">
      <c r="A72" s="1342" t="s">
        <v>1044</v>
      </c>
      <c r="B72" s="1336" t="s">
        <v>2027</v>
      </c>
      <c r="C72" s="1917"/>
      <c r="D72" s="1917"/>
      <c r="E72" s="1917"/>
      <c r="F72" s="1912">
        <v>0.05</v>
      </c>
    </row>
    <row r="73" spans="1:6" ht="14.25" thickBot="1">
      <c r="A73" s="1342" t="s">
        <v>1044</v>
      </c>
      <c r="B73" s="1336" t="s">
        <v>2028</v>
      </c>
      <c r="C73" s="1917"/>
      <c r="D73" s="1917"/>
      <c r="E73" s="1917"/>
      <c r="F73" s="1912">
        <v>0.05</v>
      </c>
    </row>
    <row r="74" spans="1:6" ht="14.25" thickBot="1">
      <c r="A74" s="1342" t="s">
        <v>1044</v>
      </c>
      <c r="B74" s="1336" t="s">
        <v>2029</v>
      </c>
      <c r="C74" s="1917"/>
      <c r="D74" s="1917"/>
      <c r="E74" s="1917"/>
      <c r="F74" s="1912">
        <v>0.05</v>
      </c>
    </row>
    <row r="75" spans="1:6" ht="14.25" thickBot="1">
      <c r="A75" s="1359" t="s">
        <v>1044</v>
      </c>
      <c r="B75" s="1352" t="s">
        <v>2030</v>
      </c>
      <c r="C75" s="1914"/>
      <c r="D75" s="1914"/>
      <c r="E75" s="1914"/>
      <c r="F75" s="1918">
        <v>0.05</v>
      </c>
    </row>
    <row r="76" spans="1:6" ht="14.25" thickBot="1">
      <c r="A76" s="1342" t="s">
        <v>1454</v>
      </c>
      <c r="B76" s="1343" t="s">
        <v>2031</v>
      </c>
      <c r="C76" s="1909">
        <v>0.1</v>
      </c>
      <c r="D76" s="1909">
        <v>0.1</v>
      </c>
      <c r="E76" s="1909">
        <v>0.1</v>
      </c>
      <c r="F76" s="1910">
        <v>0.1</v>
      </c>
    </row>
    <row r="77" spans="1:6" ht="14.25" thickBot="1">
      <c r="A77" s="1342" t="s">
        <v>1454</v>
      </c>
      <c r="B77" s="1336" t="s">
        <v>1114</v>
      </c>
      <c r="C77" s="1911">
        <v>8.7999999999999995E-2</v>
      </c>
      <c r="D77" s="1911">
        <v>8.6999999999999994E-2</v>
      </c>
      <c r="E77" s="1911">
        <v>7.9000000000000001E-2</v>
      </c>
      <c r="F77" s="1912">
        <v>0.1</v>
      </c>
    </row>
    <row r="78" spans="1:6" ht="14.25" thickBot="1">
      <c r="A78" s="1342" t="s">
        <v>1454</v>
      </c>
      <c r="B78" s="1336" t="s">
        <v>1127</v>
      </c>
      <c r="C78" s="1911">
        <v>8.6999999999999994E-2</v>
      </c>
      <c r="D78" s="1911">
        <v>8.4000000000000005E-2</v>
      </c>
      <c r="E78" s="1911">
        <v>9.6000000000000002E-2</v>
      </c>
      <c r="F78" s="1912">
        <v>0.1</v>
      </c>
    </row>
    <row r="79" spans="1:6" ht="14.25" thickBot="1">
      <c r="A79" s="1342" t="s">
        <v>1454</v>
      </c>
      <c r="B79" s="1336" t="s">
        <v>1140</v>
      </c>
      <c r="C79" s="1911">
        <v>9.8000000000000004E-2</v>
      </c>
      <c r="D79" s="1911">
        <v>9.8000000000000004E-2</v>
      </c>
      <c r="E79" s="1911">
        <v>9.0999999999999998E-2</v>
      </c>
      <c r="F79" s="1912">
        <v>0.1</v>
      </c>
    </row>
    <row r="80" spans="1:6" ht="14.25" thickBot="1">
      <c r="A80" s="1342" t="s">
        <v>1454</v>
      </c>
      <c r="B80" s="1336" t="s">
        <v>1152</v>
      </c>
      <c r="C80" s="1911">
        <v>9.6000000000000002E-2</v>
      </c>
      <c r="D80" s="1911">
        <v>9.6000000000000002E-2</v>
      </c>
      <c r="E80" s="1911">
        <v>0.1</v>
      </c>
      <c r="F80" s="1912">
        <v>0.1</v>
      </c>
    </row>
    <row r="81" spans="1:6" ht="14.25" thickBot="1">
      <c r="A81" s="1342" t="s">
        <v>1454</v>
      </c>
      <c r="B81" s="1336" t="s">
        <v>1164</v>
      </c>
      <c r="C81" s="1911">
        <v>9.9000000000000005E-2</v>
      </c>
      <c r="D81" s="1911">
        <v>9.9000000000000005E-2</v>
      </c>
      <c r="E81" s="1911">
        <v>9.8000000000000004E-2</v>
      </c>
      <c r="F81" s="1912">
        <v>0.1</v>
      </c>
    </row>
    <row r="82" spans="1:6" ht="14.25" thickBot="1">
      <c r="A82" s="1342" t="s">
        <v>1454</v>
      </c>
      <c r="B82" s="1336" t="s">
        <v>1176</v>
      </c>
      <c r="C82" s="1911">
        <v>9.9000000000000005E-2</v>
      </c>
      <c r="D82" s="1911">
        <v>9.9000000000000005E-2</v>
      </c>
      <c r="E82" s="1911">
        <v>9.7000000000000003E-2</v>
      </c>
      <c r="F82" s="1912">
        <v>0.1</v>
      </c>
    </row>
    <row r="83" spans="1:6" ht="14.25" thickBot="1">
      <c r="A83" s="1342" t="s">
        <v>1454</v>
      </c>
      <c r="B83" s="1336" t="s">
        <v>1188</v>
      </c>
      <c r="C83" s="1911">
        <v>9.8000000000000004E-2</v>
      </c>
      <c r="D83" s="1911">
        <v>9.8000000000000004E-2</v>
      </c>
      <c r="E83" s="1911">
        <v>9.8000000000000004E-2</v>
      </c>
      <c r="F83" s="1912">
        <v>0.1</v>
      </c>
    </row>
    <row r="84" spans="1:6" ht="14.25" thickBot="1">
      <c r="A84" s="1342" t="s">
        <v>1454</v>
      </c>
      <c r="B84" s="1336" t="s">
        <v>1201</v>
      </c>
      <c r="C84" s="1911">
        <v>9.9000000000000005E-2</v>
      </c>
      <c r="D84" s="1911">
        <v>9.9000000000000005E-2</v>
      </c>
      <c r="E84" s="1911">
        <v>9.9000000000000005E-2</v>
      </c>
      <c r="F84" s="1912">
        <v>0.1</v>
      </c>
    </row>
    <row r="85" spans="1:6" ht="14.25" thickBot="1">
      <c r="A85" s="1342" t="s">
        <v>1454</v>
      </c>
      <c r="B85" s="1336" t="s">
        <v>1212</v>
      </c>
      <c r="C85" s="1911">
        <v>9.9000000000000005E-2</v>
      </c>
      <c r="D85" s="1911">
        <v>9.9000000000000005E-2</v>
      </c>
      <c r="E85" s="1911">
        <v>9.9000000000000005E-2</v>
      </c>
      <c r="F85" s="1912">
        <v>0.1</v>
      </c>
    </row>
    <row r="86" spans="1:6" ht="14.25" thickBot="1">
      <c r="A86" s="1342" t="s">
        <v>1454</v>
      </c>
      <c r="B86" s="1336" t="s">
        <v>1223</v>
      </c>
      <c r="C86" s="1911">
        <v>0.1</v>
      </c>
      <c r="D86" s="1911">
        <v>0.1</v>
      </c>
      <c r="E86" s="1911">
        <v>7.6999999999999999E-2</v>
      </c>
      <c r="F86" s="1912">
        <v>0.1</v>
      </c>
    </row>
    <row r="87" spans="1:6" ht="14.25" thickBot="1">
      <c r="A87" s="1342" t="s">
        <v>1454</v>
      </c>
      <c r="B87" s="1336" t="s">
        <v>1234</v>
      </c>
      <c r="C87" s="1911">
        <v>0.1</v>
      </c>
      <c r="D87" s="1911">
        <v>0.1</v>
      </c>
      <c r="E87" s="1911">
        <v>9.8000000000000004E-2</v>
      </c>
      <c r="F87" s="1916"/>
    </row>
    <row r="88" spans="1:6" ht="14.25" thickBot="1">
      <c r="A88" s="1342" t="s">
        <v>1454</v>
      </c>
      <c r="B88" s="1336" t="s">
        <v>1245</v>
      </c>
      <c r="C88" s="1911">
        <v>9.1999999999999998E-2</v>
      </c>
      <c r="D88" s="1911">
        <v>8.5000000000000006E-2</v>
      </c>
      <c r="E88" s="1911">
        <v>9.6000000000000002E-2</v>
      </c>
      <c r="F88" s="1916"/>
    </row>
    <row r="89" spans="1:6" ht="14.25" thickBot="1">
      <c r="A89" s="1342" t="s">
        <v>1454</v>
      </c>
      <c r="B89" s="1336" t="s">
        <v>1256</v>
      </c>
      <c r="C89" s="1911">
        <v>0.1</v>
      </c>
      <c r="D89" s="1911">
        <v>0.1</v>
      </c>
      <c r="E89" s="1911">
        <v>9.7000000000000003E-2</v>
      </c>
      <c r="F89" s="1916"/>
    </row>
    <row r="90" spans="1:6" ht="14.25" thickBot="1">
      <c r="A90" s="1342" t="s">
        <v>1454</v>
      </c>
      <c r="B90" s="1336" t="s">
        <v>1267</v>
      </c>
      <c r="C90" s="1911">
        <v>9.8000000000000004E-2</v>
      </c>
      <c r="D90" s="1911">
        <v>9.8000000000000004E-2</v>
      </c>
      <c r="E90" s="1911">
        <v>8.7999999999999995E-2</v>
      </c>
      <c r="F90" s="1916"/>
    </row>
    <row r="91" spans="1:6" ht="14.25" thickBot="1">
      <c r="A91" s="1342" t="s">
        <v>1454</v>
      </c>
      <c r="B91" s="1336" t="s">
        <v>1277</v>
      </c>
      <c r="C91" s="1911">
        <v>9.9000000000000005E-2</v>
      </c>
      <c r="D91" s="1911">
        <v>9.9000000000000005E-2</v>
      </c>
      <c r="E91" s="1911">
        <v>9.0999999999999998E-2</v>
      </c>
      <c r="F91" s="1916"/>
    </row>
    <row r="92" spans="1:6" ht="14.25" thickBot="1">
      <c r="A92" s="1342" t="s">
        <v>1454</v>
      </c>
      <c r="B92" s="1336" t="s">
        <v>1287</v>
      </c>
      <c r="C92" s="1911">
        <v>9.6000000000000002E-2</v>
      </c>
      <c r="D92" s="1911">
        <v>9.6000000000000002E-2</v>
      </c>
      <c r="E92" s="1911">
        <v>7.2999999999999995E-2</v>
      </c>
      <c r="F92" s="1916"/>
    </row>
    <row r="93" spans="1:6" ht="14.25" thickBot="1">
      <c r="A93" s="1342" t="s">
        <v>1454</v>
      </c>
      <c r="B93" s="1336" t="s">
        <v>1297</v>
      </c>
      <c r="C93" s="1911">
        <v>9.6000000000000002E-2</v>
      </c>
      <c r="D93" s="1911">
        <v>9.6000000000000002E-2</v>
      </c>
      <c r="E93" s="1911">
        <v>9.9000000000000005E-2</v>
      </c>
      <c r="F93" s="1916"/>
    </row>
    <row r="94" spans="1:6" ht="14.25" thickBot="1">
      <c r="A94" s="1342" t="s">
        <v>1454</v>
      </c>
      <c r="B94" s="1336" t="s">
        <v>1307</v>
      </c>
      <c r="C94" s="1911">
        <v>7.5999999999999998E-2</v>
      </c>
      <c r="D94" s="1911">
        <v>7.3999999999999996E-2</v>
      </c>
      <c r="E94" s="1911">
        <v>9.7000000000000003E-2</v>
      </c>
      <c r="F94" s="1916"/>
    </row>
    <row r="95" spans="1:6" ht="14.25" thickBot="1">
      <c r="A95" s="1342" t="s">
        <v>1454</v>
      </c>
      <c r="B95" s="1336" t="s">
        <v>1316</v>
      </c>
      <c r="C95" s="1911">
        <v>9.9000000000000005E-2</v>
      </c>
      <c r="D95" s="1911">
        <v>9.4E-2</v>
      </c>
      <c r="E95" s="1911">
        <v>9.6000000000000002E-2</v>
      </c>
      <c r="F95" s="1916"/>
    </row>
    <row r="96" spans="1:6" ht="14.25" thickBot="1">
      <c r="A96" s="1342" t="s">
        <v>1454</v>
      </c>
      <c r="B96" s="1336" t="s">
        <v>1325</v>
      </c>
      <c r="C96" s="1911">
        <v>9.9000000000000005E-2</v>
      </c>
      <c r="D96" s="1911">
        <v>9.9000000000000005E-2</v>
      </c>
      <c r="E96" s="1911">
        <v>9.9000000000000005E-2</v>
      </c>
      <c r="F96" s="1916"/>
    </row>
    <row r="97" spans="1:6" ht="14.25" thickBot="1">
      <c r="A97" s="1342" t="s">
        <v>1454</v>
      </c>
      <c r="B97" s="1336" t="s">
        <v>1333</v>
      </c>
      <c r="C97" s="1911">
        <v>9.8000000000000004E-2</v>
      </c>
      <c r="D97" s="1911">
        <v>9.8000000000000004E-2</v>
      </c>
      <c r="E97" s="1911">
        <v>9.7000000000000003E-2</v>
      </c>
      <c r="F97" s="1916"/>
    </row>
    <row r="98" spans="1:6" ht="14.25" thickBot="1">
      <c r="A98" s="1342" t="s">
        <v>1454</v>
      </c>
      <c r="B98" s="1336" t="s">
        <v>1340</v>
      </c>
      <c r="C98" s="1911">
        <v>0.1</v>
      </c>
      <c r="D98" s="1911">
        <v>0.1</v>
      </c>
      <c r="E98" s="1911">
        <v>9.7000000000000003E-2</v>
      </c>
      <c r="F98" s="1916"/>
    </row>
    <row r="99" spans="1:6" ht="14.25" thickBot="1">
      <c r="A99" s="1342" t="s">
        <v>1454</v>
      </c>
      <c r="B99" s="1336" t="s">
        <v>1347</v>
      </c>
      <c r="C99" s="1911">
        <v>0.1</v>
      </c>
      <c r="D99" s="1911">
        <v>0.1</v>
      </c>
      <c r="E99" s="1917"/>
      <c r="F99" s="1916"/>
    </row>
    <row r="100" spans="1:6" ht="14.25" thickBot="1">
      <c r="A100" s="1342" t="s">
        <v>1454</v>
      </c>
      <c r="B100" s="1336" t="s">
        <v>1354</v>
      </c>
      <c r="C100" s="1911">
        <v>0.09</v>
      </c>
      <c r="D100" s="1911">
        <v>8.8999999999999996E-2</v>
      </c>
      <c r="E100" s="1917"/>
      <c r="F100" s="1916"/>
    </row>
    <row r="101" spans="1:6" ht="14.25" thickBot="1">
      <c r="A101" s="1342" t="s">
        <v>1454</v>
      </c>
      <c r="B101" s="1336" t="s">
        <v>1361</v>
      </c>
      <c r="C101" s="1911">
        <v>9.8000000000000004E-2</v>
      </c>
      <c r="D101" s="1911">
        <v>9.7000000000000003E-2</v>
      </c>
      <c r="E101" s="1917"/>
      <c r="F101" s="1916"/>
    </row>
    <row r="102" spans="1:6" ht="14.25" thickBot="1">
      <c r="A102" s="1342" t="s">
        <v>1454</v>
      </c>
      <c r="B102" s="1336" t="s">
        <v>2032</v>
      </c>
      <c r="C102" s="1917"/>
      <c r="D102" s="1917"/>
      <c r="E102" s="1917"/>
      <c r="F102" s="1912">
        <v>0.05</v>
      </c>
    </row>
    <row r="103" spans="1:6" ht="24.75" thickBot="1">
      <c r="A103" s="1342" t="s">
        <v>1454</v>
      </c>
      <c r="B103" s="1336" t="s">
        <v>2033</v>
      </c>
      <c r="C103" s="1917"/>
      <c r="D103" s="1917"/>
      <c r="E103" s="1917"/>
      <c r="F103" s="1912">
        <v>0.05</v>
      </c>
    </row>
    <row r="104" spans="1:6" ht="14.25" thickBot="1">
      <c r="A104" s="1342" t="s">
        <v>1454</v>
      </c>
      <c r="B104" s="1336" t="s">
        <v>2034</v>
      </c>
      <c r="C104" s="1917"/>
      <c r="D104" s="1917"/>
      <c r="E104" s="1917"/>
      <c r="F104" s="1912">
        <v>0.05</v>
      </c>
    </row>
    <row r="105" spans="1:6" ht="14.25" thickBot="1">
      <c r="A105" s="1342" t="s">
        <v>1454</v>
      </c>
      <c r="B105" s="1336" t="s">
        <v>2035</v>
      </c>
      <c r="C105" s="1917"/>
      <c r="D105" s="1917"/>
      <c r="E105" s="1917"/>
      <c r="F105" s="1912">
        <v>0.05</v>
      </c>
    </row>
    <row r="106" spans="1:6" ht="14.25" thickBot="1">
      <c r="A106" s="1342" t="s">
        <v>1454</v>
      </c>
      <c r="B106" s="1336" t="s">
        <v>2036</v>
      </c>
      <c r="C106" s="1917"/>
      <c r="D106" s="1917"/>
      <c r="E106" s="1917"/>
      <c r="F106" s="1912">
        <v>0.05</v>
      </c>
    </row>
    <row r="107" spans="1:6" ht="24.75" thickBot="1">
      <c r="A107" s="1342" t="s">
        <v>1454</v>
      </c>
      <c r="B107" s="1336" t="s">
        <v>2037</v>
      </c>
      <c r="C107" s="1917"/>
      <c r="D107" s="1917"/>
      <c r="E107" s="1917"/>
      <c r="F107" s="1912">
        <v>0.05</v>
      </c>
    </row>
    <row r="108" spans="1:6" ht="24.75" thickBot="1">
      <c r="A108" s="1342" t="s">
        <v>1454</v>
      </c>
      <c r="B108" s="1336" t="s">
        <v>2038</v>
      </c>
      <c r="C108" s="1917"/>
      <c r="D108" s="1917"/>
      <c r="E108" s="1917"/>
      <c r="F108" s="1912">
        <v>0.05</v>
      </c>
    </row>
    <row r="109" spans="1:6" ht="24.75" thickBot="1">
      <c r="A109" s="1359" t="s">
        <v>1454</v>
      </c>
      <c r="B109" s="1352" t="s">
        <v>2039</v>
      </c>
      <c r="C109" s="1914"/>
      <c r="D109" s="1914"/>
      <c r="E109" s="1914"/>
      <c r="F109" s="1918">
        <v>0.05</v>
      </c>
    </row>
    <row r="110" spans="1:6" ht="14.25" thickBot="1">
      <c r="A110" s="1342" t="s">
        <v>208</v>
      </c>
      <c r="B110" s="1343" t="s">
        <v>2040</v>
      </c>
      <c r="C110" s="1909">
        <v>0.129</v>
      </c>
      <c r="D110" s="1909">
        <v>0.129</v>
      </c>
      <c r="E110" s="1909">
        <v>0.126</v>
      </c>
      <c r="F110" s="1910">
        <v>0.13</v>
      </c>
    </row>
    <row r="111" spans="1:6" ht="14.25" thickBot="1">
      <c r="A111" s="1342" t="s">
        <v>208</v>
      </c>
      <c r="B111" s="1336" t="s">
        <v>1115</v>
      </c>
      <c r="C111" s="1911">
        <v>0.11</v>
      </c>
      <c r="D111" s="1911">
        <v>0.11</v>
      </c>
      <c r="E111" s="1911">
        <v>9.9000000000000005E-2</v>
      </c>
      <c r="F111" s="1912">
        <v>0.128</v>
      </c>
    </row>
    <row r="112" spans="1:6" ht="14.25" thickBot="1">
      <c r="A112" s="1342" t="s">
        <v>208</v>
      </c>
      <c r="B112" s="1336" t="s">
        <v>1128</v>
      </c>
      <c r="C112" s="1911">
        <v>0.125</v>
      </c>
      <c r="D112" s="1911">
        <v>0.125</v>
      </c>
      <c r="E112" s="1911">
        <v>0.12</v>
      </c>
      <c r="F112" s="1912">
        <v>0.125</v>
      </c>
    </row>
    <row r="113" spans="1:6" ht="14.25" thickBot="1">
      <c r="A113" s="1342" t="s">
        <v>208</v>
      </c>
      <c r="B113" s="1336" t="s">
        <v>1141</v>
      </c>
      <c r="C113" s="1911">
        <v>0.13</v>
      </c>
      <c r="D113" s="1911">
        <v>0.13</v>
      </c>
      <c r="E113" s="1911">
        <v>0.13</v>
      </c>
      <c r="F113" s="1912">
        <v>0.13</v>
      </c>
    </row>
    <row r="114" spans="1:6" ht="14.25" thickBot="1">
      <c r="A114" s="1342" t="s">
        <v>208</v>
      </c>
      <c r="B114" s="1336" t="s">
        <v>1153</v>
      </c>
      <c r="C114" s="1911">
        <v>0.123</v>
      </c>
      <c r="D114" s="1911">
        <v>0.123</v>
      </c>
      <c r="E114" s="1911">
        <v>0.12</v>
      </c>
      <c r="F114" s="1912">
        <v>0.13</v>
      </c>
    </row>
    <row r="115" spans="1:6" ht="14.25" thickBot="1">
      <c r="A115" s="1342" t="s">
        <v>208</v>
      </c>
      <c r="B115" s="1336" t="s">
        <v>1165</v>
      </c>
      <c r="C115" s="1911">
        <v>0.125</v>
      </c>
      <c r="D115" s="1911">
        <v>0.125</v>
      </c>
      <c r="E115" s="1911">
        <v>0.11700000000000001</v>
      </c>
      <c r="F115" s="1912">
        <v>0.13</v>
      </c>
    </row>
    <row r="116" spans="1:6" ht="14.25" thickBot="1">
      <c r="A116" s="1342" t="s">
        <v>208</v>
      </c>
      <c r="B116" s="1336" t="s">
        <v>1177</v>
      </c>
      <c r="C116" s="1911">
        <v>0.11700000000000001</v>
      </c>
      <c r="D116" s="1911">
        <v>0.11700000000000001</v>
      </c>
      <c r="E116" s="1911">
        <v>8.7999999999999995E-2</v>
      </c>
      <c r="F116" s="1912">
        <v>0.13</v>
      </c>
    </row>
    <row r="117" spans="1:6" ht="14.25" thickBot="1">
      <c r="A117" s="1342" t="s">
        <v>208</v>
      </c>
      <c r="B117" s="1336" t="s">
        <v>1189</v>
      </c>
      <c r="C117" s="1911">
        <v>0.13</v>
      </c>
      <c r="D117" s="1911">
        <v>0.13</v>
      </c>
      <c r="E117" s="1911">
        <v>0.129</v>
      </c>
      <c r="F117" s="1912">
        <v>0.13</v>
      </c>
    </row>
    <row r="118" spans="1:6" ht="14.25" thickBot="1">
      <c r="A118" s="1342" t="s">
        <v>208</v>
      </c>
      <c r="B118" s="1336" t="s">
        <v>1202</v>
      </c>
      <c r="C118" s="1911">
        <v>0.123</v>
      </c>
      <c r="D118" s="1911">
        <v>0.123</v>
      </c>
      <c r="E118" s="1911">
        <v>0.11600000000000001</v>
      </c>
      <c r="F118" s="1912">
        <v>0.13</v>
      </c>
    </row>
    <row r="119" spans="1:6" ht="14.25" thickBot="1">
      <c r="A119" s="1342" t="s">
        <v>208</v>
      </c>
      <c r="B119" s="1336" t="s">
        <v>1213</v>
      </c>
      <c r="C119" s="1911">
        <v>0.127</v>
      </c>
      <c r="D119" s="1911">
        <v>0.127</v>
      </c>
      <c r="E119" s="1911">
        <v>0.124</v>
      </c>
      <c r="F119" s="1912">
        <v>0.13</v>
      </c>
    </row>
    <row r="120" spans="1:6" ht="14.25" thickBot="1">
      <c r="A120" s="1342" t="s">
        <v>208</v>
      </c>
      <c r="B120" s="1336" t="s">
        <v>1224</v>
      </c>
      <c r="C120" s="1911">
        <v>0.125</v>
      </c>
      <c r="D120" s="1911">
        <v>0.125</v>
      </c>
      <c r="E120" s="1911">
        <v>0.122</v>
      </c>
      <c r="F120" s="1912">
        <v>0.13</v>
      </c>
    </row>
    <row r="121" spans="1:6" ht="14.25" thickBot="1">
      <c r="A121" s="1342" t="s">
        <v>208</v>
      </c>
      <c r="B121" s="1336" t="s">
        <v>1235</v>
      </c>
      <c r="C121" s="1911">
        <v>0.13</v>
      </c>
      <c r="D121" s="1911">
        <v>0.13</v>
      </c>
      <c r="E121" s="1911">
        <v>0.13</v>
      </c>
      <c r="F121" s="1912">
        <v>0.13</v>
      </c>
    </row>
    <row r="122" spans="1:6" ht="14.25" thickBot="1">
      <c r="A122" s="1342" t="s">
        <v>208</v>
      </c>
      <c r="B122" s="1336" t="s">
        <v>1246</v>
      </c>
      <c r="C122" s="1911">
        <v>0.13</v>
      </c>
      <c r="D122" s="1911">
        <v>0.13</v>
      </c>
      <c r="E122" s="1911">
        <v>0.125</v>
      </c>
      <c r="F122" s="1912">
        <v>0.13</v>
      </c>
    </row>
    <row r="123" spans="1:6" ht="14.25" thickBot="1">
      <c r="A123" s="1342" t="s">
        <v>208</v>
      </c>
      <c r="B123" s="1336" t="s">
        <v>1257</v>
      </c>
      <c r="C123" s="1911">
        <v>0.129</v>
      </c>
      <c r="D123" s="1911">
        <v>0.129</v>
      </c>
      <c r="E123" s="1911">
        <v>0.123</v>
      </c>
      <c r="F123" s="1912">
        <v>0.13</v>
      </c>
    </row>
    <row r="124" spans="1:6" ht="14.25" thickBot="1">
      <c r="A124" s="1342" t="s">
        <v>208</v>
      </c>
      <c r="B124" s="1336" t="s">
        <v>1268</v>
      </c>
      <c r="C124" s="1911">
        <v>0.10199999999999999</v>
      </c>
      <c r="D124" s="1911">
        <v>0.10100000000000001</v>
      </c>
      <c r="E124" s="1911">
        <v>0.08</v>
      </c>
      <c r="F124" s="1916"/>
    </row>
    <row r="125" spans="1:6" ht="14.25" thickBot="1">
      <c r="A125" s="1342" t="s">
        <v>208</v>
      </c>
      <c r="B125" s="1336" t="s">
        <v>1278</v>
      </c>
      <c r="C125" s="1911">
        <v>0.13</v>
      </c>
      <c r="D125" s="1911">
        <v>0.13</v>
      </c>
      <c r="E125" s="1911">
        <v>0.129</v>
      </c>
      <c r="F125" s="1916"/>
    </row>
    <row r="126" spans="1:6" ht="14.25" thickBot="1">
      <c r="A126" s="1342" t="s">
        <v>208</v>
      </c>
      <c r="B126" s="1336" t="s">
        <v>1288</v>
      </c>
      <c r="C126" s="1911">
        <v>0.13</v>
      </c>
      <c r="D126" s="1911">
        <v>0.13</v>
      </c>
      <c r="E126" s="1911">
        <v>0.126</v>
      </c>
      <c r="F126" s="1916"/>
    </row>
    <row r="127" spans="1:6" ht="14.25" thickBot="1">
      <c r="A127" s="1342" t="s">
        <v>208</v>
      </c>
      <c r="B127" s="1336" t="s">
        <v>1298</v>
      </c>
      <c r="C127" s="1911">
        <v>0.125</v>
      </c>
      <c r="D127" s="1911">
        <v>0.125</v>
      </c>
      <c r="E127" s="1911">
        <v>0.121</v>
      </c>
      <c r="F127" s="1916"/>
    </row>
    <row r="128" spans="1:6" ht="14.25" thickBot="1">
      <c r="A128" s="1342" t="s">
        <v>208</v>
      </c>
      <c r="B128" s="1336" t="s">
        <v>1308</v>
      </c>
      <c r="C128" s="1911">
        <v>0.12</v>
      </c>
      <c r="D128" s="1911">
        <v>0.12</v>
      </c>
      <c r="E128" s="1911">
        <v>0.105</v>
      </c>
      <c r="F128" s="1916"/>
    </row>
    <row r="129" spans="1:6" ht="14.25" thickBot="1">
      <c r="A129" s="1342" t="s">
        <v>208</v>
      </c>
      <c r="B129" s="1336" t="s">
        <v>1317</v>
      </c>
      <c r="C129" s="1911">
        <v>0.13</v>
      </c>
      <c r="D129" s="1911">
        <v>0.13</v>
      </c>
      <c r="E129" s="1911">
        <v>0.126</v>
      </c>
      <c r="F129" s="1916"/>
    </row>
    <row r="130" spans="1:6" ht="14.25" thickBot="1">
      <c r="A130" s="1342" t="s">
        <v>208</v>
      </c>
      <c r="B130" s="1336" t="s">
        <v>1326</v>
      </c>
      <c r="C130" s="1911">
        <v>0.125</v>
      </c>
      <c r="D130" s="1911">
        <v>0.125</v>
      </c>
      <c r="E130" s="1911">
        <v>0.122</v>
      </c>
      <c r="F130" s="1916"/>
    </row>
    <row r="131" spans="1:6" ht="14.25" thickBot="1">
      <c r="A131" s="1342" t="s">
        <v>208</v>
      </c>
      <c r="B131" s="1336" t="s">
        <v>1334</v>
      </c>
      <c r="C131" s="1911">
        <v>0.127</v>
      </c>
      <c r="D131" s="1911">
        <v>0.126</v>
      </c>
      <c r="E131" s="1911">
        <v>0.123</v>
      </c>
      <c r="F131" s="1916"/>
    </row>
    <row r="132" spans="1:6" ht="14.25" thickBot="1">
      <c r="A132" s="1342" t="s">
        <v>208</v>
      </c>
      <c r="B132" s="1336" t="s">
        <v>1341</v>
      </c>
      <c r="C132" s="1911">
        <v>9.0999999999999998E-2</v>
      </c>
      <c r="D132" s="1911">
        <v>0.121</v>
      </c>
      <c r="E132" s="1911">
        <v>9.9000000000000005E-2</v>
      </c>
      <c r="F132" s="1916"/>
    </row>
    <row r="133" spans="1:6" ht="14.25" thickBot="1">
      <c r="A133" s="1342" t="s">
        <v>208</v>
      </c>
      <c r="B133" s="1336" t="s">
        <v>1348</v>
      </c>
      <c r="C133" s="1911">
        <v>0.13</v>
      </c>
      <c r="D133" s="1911">
        <v>0.13</v>
      </c>
      <c r="E133" s="1911">
        <v>0.129</v>
      </c>
      <c r="F133" s="1916"/>
    </row>
    <row r="134" spans="1:6" ht="14.25" thickBot="1">
      <c r="A134" s="1342" t="s">
        <v>208</v>
      </c>
      <c r="B134" s="1336" t="s">
        <v>2041</v>
      </c>
      <c r="C134" s="1911">
        <v>6.8000000000000005E-2</v>
      </c>
      <c r="D134" s="1911">
        <v>6.5000000000000002E-2</v>
      </c>
      <c r="E134" s="1911">
        <v>6.5000000000000002E-2</v>
      </c>
      <c r="F134" s="1912">
        <v>0.13</v>
      </c>
    </row>
    <row r="135" spans="1:6" ht="14.25" thickBot="1">
      <c r="A135" s="1342" t="s">
        <v>208</v>
      </c>
      <c r="B135" s="1336" t="s">
        <v>1362</v>
      </c>
      <c r="C135" s="1911">
        <v>0.123</v>
      </c>
      <c r="D135" s="1911">
        <v>0.123</v>
      </c>
      <c r="E135" s="1911">
        <v>0.11</v>
      </c>
      <c r="F135" s="1916"/>
    </row>
    <row r="136" spans="1:6" ht="14.25" thickBot="1">
      <c r="A136" s="1342" t="s">
        <v>208</v>
      </c>
      <c r="B136" s="1336" t="s">
        <v>1369</v>
      </c>
      <c r="C136" s="1911">
        <v>0.13</v>
      </c>
      <c r="D136" s="1911">
        <v>0.13</v>
      </c>
      <c r="E136" s="1911">
        <v>0.125</v>
      </c>
      <c r="F136" s="1916"/>
    </row>
    <row r="137" spans="1:6" ht="14.25" thickBot="1">
      <c r="A137" s="1342" t="s">
        <v>208</v>
      </c>
      <c r="B137" s="1336" t="s">
        <v>1376</v>
      </c>
      <c r="C137" s="1911">
        <v>0.121</v>
      </c>
      <c r="D137" s="1911">
        <v>0.122</v>
      </c>
      <c r="E137" s="1911">
        <v>0.115</v>
      </c>
      <c r="F137" s="1916"/>
    </row>
    <row r="138" spans="1:6" ht="14.25" thickBot="1">
      <c r="A138" s="1342" t="s">
        <v>208</v>
      </c>
      <c r="B138" s="1336" t="s">
        <v>2042</v>
      </c>
      <c r="C138" s="1911">
        <v>0.105</v>
      </c>
      <c r="D138" s="1911">
        <v>0.125</v>
      </c>
      <c r="E138" s="1911">
        <v>0.112</v>
      </c>
      <c r="F138" s="1916"/>
    </row>
    <row r="139" spans="1:6" ht="14.25" thickBot="1">
      <c r="A139" s="1342" t="s">
        <v>208</v>
      </c>
      <c r="B139" s="1336" t="s">
        <v>2043</v>
      </c>
      <c r="C139" s="1911">
        <v>0.127</v>
      </c>
      <c r="D139" s="1911">
        <v>0.127</v>
      </c>
      <c r="E139" s="1911">
        <v>0.122</v>
      </c>
      <c r="F139" s="1912">
        <v>0.13</v>
      </c>
    </row>
    <row r="140" spans="1:6" ht="14.25" thickBot="1">
      <c r="A140" s="1342" t="s">
        <v>208</v>
      </c>
      <c r="B140" s="1336" t="s">
        <v>2044</v>
      </c>
      <c r="C140" s="1911">
        <v>0.125</v>
      </c>
      <c r="D140" s="1911">
        <v>0.125</v>
      </c>
      <c r="E140" s="1911">
        <v>0.11899999999999999</v>
      </c>
      <c r="F140" s="1912">
        <v>0.13</v>
      </c>
    </row>
    <row r="141" spans="1:6" ht="14.25" thickBot="1">
      <c r="A141" s="1342" t="s">
        <v>208</v>
      </c>
      <c r="B141" s="1336" t="s">
        <v>1395</v>
      </c>
      <c r="C141" s="1911">
        <v>0.125</v>
      </c>
      <c r="D141" s="1911">
        <v>0.125</v>
      </c>
      <c r="E141" s="1911">
        <v>0.11700000000000001</v>
      </c>
      <c r="F141" s="1916"/>
    </row>
    <row r="142" spans="1:6" ht="14.25" thickBot="1">
      <c r="A142" s="1342" t="s">
        <v>208</v>
      </c>
      <c r="B142" s="1336" t="s">
        <v>1400</v>
      </c>
      <c r="C142" s="1911">
        <v>0.125</v>
      </c>
      <c r="D142" s="1911">
        <v>0.125</v>
      </c>
      <c r="E142" s="1911">
        <v>0.115</v>
      </c>
      <c r="F142" s="1916"/>
    </row>
    <row r="143" spans="1:6" ht="14.25" thickBot="1">
      <c r="A143" s="1342" t="s">
        <v>208</v>
      </c>
      <c r="B143" s="1336" t="s">
        <v>1405</v>
      </c>
      <c r="C143" s="1911">
        <v>0.121</v>
      </c>
      <c r="D143" s="1911">
        <v>0.121</v>
      </c>
      <c r="E143" s="1911">
        <v>0.108</v>
      </c>
      <c r="F143" s="1916"/>
    </row>
    <row r="144" spans="1:6" ht="14.25" thickBot="1">
      <c r="A144" s="1342" t="s">
        <v>208</v>
      </c>
      <c r="B144" s="1919" t="s">
        <v>2045</v>
      </c>
      <c r="C144" s="1920">
        <v>0.126</v>
      </c>
      <c r="D144" s="1920">
        <v>0.126</v>
      </c>
      <c r="E144" s="1920">
        <v>0.121</v>
      </c>
      <c r="F144" s="1916"/>
    </row>
    <row r="145" spans="1:6" ht="14.25" thickBot="1">
      <c r="A145" s="1359" t="s">
        <v>208</v>
      </c>
      <c r="B145" s="1921" t="s">
        <v>2046</v>
      </c>
      <c r="C145" s="1922"/>
      <c r="D145" s="1922"/>
      <c r="E145" s="1922"/>
      <c r="F145" s="1923">
        <v>0.05</v>
      </c>
    </row>
    <row r="146" spans="1:6" ht="24.75" thickBot="1">
      <c r="A146" s="1924" t="s">
        <v>208</v>
      </c>
      <c r="B146" s="1350" t="s">
        <v>2047</v>
      </c>
      <c r="C146" s="1917"/>
      <c r="D146" s="1917"/>
      <c r="E146" s="1917"/>
      <c r="F146" s="1925">
        <v>0.05</v>
      </c>
    </row>
    <row r="147" spans="1:6" ht="24.75" thickBot="1">
      <c r="A147" s="1342" t="s">
        <v>208</v>
      </c>
      <c r="B147" s="1336" t="s">
        <v>2048</v>
      </c>
      <c r="C147" s="1917"/>
      <c r="D147" s="1917"/>
      <c r="E147" s="1917"/>
      <c r="F147" s="1912">
        <v>0.05</v>
      </c>
    </row>
    <row r="148" spans="1:6" ht="24.75" thickBot="1">
      <c r="A148" s="1342" t="s">
        <v>208</v>
      </c>
      <c r="B148" s="1336" t="s">
        <v>2049</v>
      </c>
      <c r="C148" s="1917"/>
      <c r="D148" s="1917"/>
      <c r="E148" s="1917"/>
      <c r="F148" s="1912">
        <v>0.05</v>
      </c>
    </row>
    <row r="149" spans="1:6" ht="24.75" thickBot="1">
      <c r="A149" s="1342" t="s">
        <v>208</v>
      </c>
      <c r="B149" s="1336" t="s">
        <v>2050</v>
      </c>
      <c r="C149" s="1917"/>
      <c r="D149" s="1917"/>
      <c r="E149" s="1917"/>
      <c r="F149" s="1912">
        <v>0.05</v>
      </c>
    </row>
    <row r="150" spans="1:6" ht="24.75" thickBot="1">
      <c r="A150" s="1342" t="s">
        <v>208</v>
      </c>
      <c r="B150" s="1336" t="s">
        <v>2051</v>
      </c>
      <c r="C150" s="1917"/>
      <c r="D150" s="1917"/>
      <c r="E150" s="1917"/>
      <c r="F150" s="1912">
        <v>0.05</v>
      </c>
    </row>
    <row r="151" spans="1:6" ht="24.75" thickBot="1">
      <c r="A151" s="1342" t="s">
        <v>208</v>
      </c>
      <c r="B151" s="1336" t="s">
        <v>2052</v>
      </c>
      <c r="C151" s="1917"/>
      <c r="D151" s="1917"/>
      <c r="E151" s="1917"/>
      <c r="F151" s="1912">
        <v>0.05</v>
      </c>
    </row>
    <row r="152" spans="1:6" ht="24.75" thickBot="1">
      <c r="A152" s="1342" t="s">
        <v>208</v>
      </c>
      <c r="B152" s="1336" t="s">
        <v>1438</v>
      </c>
      <c r="C152" s="1917"/>
      <c r="D152" s="1917"/>
      <c r="E152" s="1917"/>
      <c r="F152" s="1912">
        <v>0.05</v>
      </c>
    </row>
    <row r="153" spans="1:6" ht="14.25" thickBot="1">
      <c r="A153" s="1342" t="s">
        <v>208</v>
      </c>
      <c r="B153" s="1336" t="s">
        <v>2053</v>
      </c>
      <c r="C153" s="1917"/>
      <c r="D153" s="1917"/>
      <c r="E153" s="1917"/>
      <c r="F153" s="1912">
        <v>0.05</v>
      </c>
    </row>
    <row r="154" spans="1:6" ht="14.25" thickBot="1">
      <c r="A154" s="1342" t="s">
        <v>208</v>
      </c>
      <c r="B154" s="1336" t="s">
        <v>2054</v>
      </c>
      <c r="C154" s="1917"/>
      <c r="D154" s="1917"/>
      <c r="E154" s="1917"/>
      <c r="F154" s="1912">
        <v>0.05</v>
      </c>
    </row>
    <row r="155" spans="1:6" ht="24.75" thickBot="1">
      <c r="A155" s="1342" t="s">
        <v>208</v>
      </c>
      <c r="B155" s="1336" t="s">
        <v>2055</v>
      </c>
      <c r="C155" s="1917"/>
      <c r="D155" s="1917"/>
      <c r="E155" s="1917"/>
      <c r="F155" s="1912">
        <v>0.05</v>
      </c>
    </row>
    <row r="156" spans="1:6" ht="24.75" thickBot="1">
      <c r="A156" s="1342" t="s">
        <v>208</v>
      </c>
      <c r="B156" s="1336" t="s">
        <v>2056</v>
      </c>
      <c r="C156" s="1917"/>
      <c r="D156" s="1917"/>
      <c r="E156" s="1917"/>
      <c r="F156" s="1912">
        <v>0.05</v>
      </c>
    </row>
    <row r="157" spans="1:6" ht="14.25" thickBot="1">
      <c r="A157" s="1359" t="s">
        <v>208</v>
      </c>
      <c r="B157" s="1352" t="s">
        <v>2057</v>
      </c>
      <c r="C157" s="1914"/>
      <c r="D157" s="1914"/>
      <c r="E157" s="1914"/>
      <c r="F157" s="1918">
        <v>0.05</v>
      </c>
    </row>
    <row r="158" spans="1:6" ht="14.25" thickBot="1">
      <c r="A158" s="1342" t="s">
        <v>1457</v>
      </c>
      <c r="B158" s="1343" t="s">
        <v>2058</v>
      </c>
      <c r="C158" s="1909">
        <v>0.13</v>
      </c>
      <c r="D158" s="1909">
        <v>0.13</v>
      </c>
      <c r="E158" s="1909">
        <v>0.13</v>
      </c>
      <c r="F158" s="1910">
        <v>0.13</v>
      </c>
    </row>
    <row r="159" spans="1:6" ht="14.25" thickBot="1">
      <c r="A159" s="1342" t="s">
        <v>1457</v>
      </c>
      <c r="B159" s="1336" t="s">
        <v>1116</v>
      </c>
      <c r="C159" s="1911">
        <v>0.13</v>
      </c>
      <c r="D159" s="1911">
        <v>0.13</v>
      </c>
      <c r="E159" s="1911">
        <v>0.13</v>
      </c>
      <c r="F159" s="1912">
        <v>0.13</v>
      </c>
    </row>
    <row r="160" spans="1:6" ht="14.25" thickBot="1">
      <c r="A160" s="1342" t="s">
        <v>1457</v>
      </c>
      <c r="B160" s="1336" t="s">
        <v>1129</v>
      </c>
      <c r="C160" s="1911">
        <v>0.13</v>
      </c>
      <c r="D160" s="1911">
        <v>0.13</v>
      </c>
      <c r="E160" s="1911">
        <v>0.129</v>
      </c>
      <c r="F160" s="1912">
        <v>0.13</v>
      </c>
    </row>
    <row r="161" spans="1:6" ht="14.25" thickBot="1">
      <c r="A161" s="1342" t="s">
        <v>1457</v>
      </c>
      <c r="B161" s="1336" t="s">
        <v>1142</v>
      </c>
      <c r="C161" s="1911">
        <v>0.128</v>
      </c>
      <c r="D161" s="1911">
        <v>0.128</v>
      </c>
      <c r="E161" s="1911">
        <v>0.125</v>
      </c>
      <c r="F161" s="1912">
        <v>0.13</v>
      </c>
    </row>
    <row r="162" spans="1:6" ht="14.25" thickBot="1">
      <c r="A162" s="1342" t="s">
        <v>1457</v>
      </c>
      <c r="B162" s="1336" t="s">
        <v>1154</v>
      </c>
      <c r="C162" s="1911">
        <v>0.122</v>
      </c>
      <c r="D162" s="1911">
        <v>0.122</v>
      </c>
      <c r="E162" s="1911">
        <v>0.126</v>
      </c>
      <c r="F162" s="1912">
        <v>0.122</v>
      </c>
    </row>
    <row r="163" spans="1:6" ht="14.25" thickBot="1">
      <c r="A163" s="1342" t="s">
        <v>1457</v>
      </c>
      <c r="B163" s="1336" t="s">
        <v>1166</v>
      </c>
      <c r="C163" s="1911">
        <v>0.13</v>
      </c>
      <c r="D163" s="1911">
        <v>0.13</v>
      </c>
      <c r="E163" s="1911">
        <v>0.125</v>
      </c>
      <c r="F163" s="1912">
        <v>0.13</v>
      </c>
    </row>
    <row r="164" spans="1:6" ht="14.25" thickBot="1">
      <c r="A164" s="1342" t="s">
        <v>1457</v>
      </c>
      <c r="B164" s="1336" t="s">
        <v>1178</v>
      </c>
      <c r="C164" s="1911">
        <v>0.13</v>
      </c>
      <c r="D164" s="1911">
        <v>0.13</v>
      </c>
      <c r="E164" s="1911">
        <v>0.13</v>
      </c>
      <c r="F164" s="1912">
        <v>0.13</v>
      </c>
    </row>
    <row r="165" spans="1:6" ht="14.25" thickBot="1">
      <c r="A165" s="1342" t="s">
        <v>1457</v>
      </c>
      <c r="B165" s="1336" t="s">
        <v>1190</v>
      </c>
      <c r="C165" s="1911">
        <v>0.13</v>
      </c>
      <c r="D165" s="1911">
        <v>0.13</v>
      </c>
      <c r="E165" s="1911">
        <v>0.124</v>
      </c>
      <c r="F165" s="1912">
        <v>0.13</v>
      </c>
    </row>
    <row r="166" spans="1:6" ht="14.25" thickBot="1">
      <c r="A166" s="1342" t="s">
        <v>1457</v>
      </c>
      <c r="B166" s="1336" t="s">
        <v>1203</v>
      </c>
      <c r="C166" s="1911">
        <v>0.13</v>
      </c>
      <c r="D166" s="1911">
        <v>0.13</v>
      </c>
      <c r="E166" s="1911">
        <v>0.13</v>
      </c>
      <c r="F166" s="1912">
        <v>0.13</v>
      </c>
    </row>
    <row r="167" spans="1:6" ht="14.25" thickBot="1">
      <c r="A167" s="1342" t="s">
        <v>1457</v>
      </c>
      <c r="B167" s="1336" t="s">
        <v>1214</v>
      </c>
      <c r="C167" s="1911">
        <v>0.125</v>
      </c>
      <c r="D167" s="1911">
        <v>0.125</v>
      </c>
      <c r="E167" s="1911">
        <v>0.121</v>
      </c>
      <c r="F167" s="1916"/>
    </row>
    <row r="168" spans="1:6" ht="14.25" thickBot="1">
      <c r="A168" s="1342" t="s">
        <v>1457</v>
      </c>
      <c r="B168" s="1336" t="s">
        <v>1225</v>
      </c>
      <c r="C168" s="1911">
        <v>0.13</v>
      </c>
      <c r="D168" s="1911">
        <v>0.13</v>
      </c>
      <c r="E168" s="1911">
        <v>0.126</v>
      </c>
      <c r="F168" s="1916"/>
    </row>
    <row r="169" spans="1:6" ht="14.25" thickBot="1">
      <c r="A169" s="1342" t="s">
        <v>1457</v>
      </c>
      <c r="B169" s="1336" t="s">
        <v>1236</v>
      </c>
      <c r="C169" s="1911">
        <v>0.128</v>
      </c>
      <c r="D169" s="1911">
        <v>0.129</v>
      </c>
      <c r="E169" s="1911">
        <v>0.13</v>
      </c>
      <c r="F169" s="1916"/>
    </row>
    <row r="170" spans="1:6" ht="14.25" thickBot="1">
      <c r="A170" s="1342" t="s">
        <v>1457</v>
      </c>
      <c r="B170" s="1336" t="s">
        <v>1247</v>
      </c>
      <c r="C170" s="1911">
        <v>0.14099999999999999</v>
      </c>
      <c r="D170" s="1911">
        <v>0.13</v>
      </c>
      <c r="E170" s="1911">
        <v>0.125</v>
      </c>
      <c r="F170" s="1916"/>
    </row>
    <row r="171" spans="1:6" ht="14.25" thickBot="1">
      <c r="A171" s="1342" t="s">
        <v>1457</v>
      </c>
      <c r="B171" s="1336" t="s">
        <v>2059</v>
      </c>
      <c r="C171" s="1911">
        <v>0.127</v>
      </c>
      <c r="D171" s="1911">
        <v>0.126</v>
      </c>
      <c r="E171" s="1911">
        <v>0.126</v>
      </c>
      <c r="F171" s="1912">
        <v>0.11799999999999999</v>
      </c>
    </row>
    <row r="172" spans="1:6" ht="14.25" thickBot="1">
      <c r="A172" s="1342" t="s">
        <v>1457</v>
      </c>
      <c r="B172" s="1336" t="s">
        <v>2060</v>
      </c>
      <c r="C172" s="1911">
        <v>0.13</v>
      </c>
      <c r="D172" s="1911">
        <v>0.13</v>
      </c>
      <c r="E172" s="1911">
        <v>0.13</v>
      </c>
      <c r="F172" s="1916"/>
    </row>
    <row r="173" spans="1:6" ht="14.25" thickBot="1">
      <c r="A173" s="1342" t="s">
        <v>1457</v>
      </c>
      <c r="B173" s="1336" t="s">
        <v>1279</v>
      </c>
      <c r="C173" s="1911">
        <v>0.13</v>
      </c>
      <c r="D173" s="1911">
        <v>0.13</v>
      </c>
      <c r="E173" s="1911">
        <v>0.13</v>
      </c>
      <c r="F173" s="1916"/>
    </row>
    <row r="174" spans="1:6" ht="14.25" thickBot="1">
      <c r="A174" s="1342" t="s">
        <v>1457</v>
      </c>
      <c r="B174" s="1336" t="s">
        <v>2061</v>
      </c>
      <c r="C174" s="1911">
        <v>0.13</v>
      </c>
      <c r="D174" s="1911">
        <v>0.13</v>
      </c>
      <c r="E174" s="1911">
        <v>0.13</v>
      </c>
      <c r="F174" s="1912">
        <v>0.13</v>
      </c>
    </row>
    <row r="175" spans="1:6" ht="14.25" thickBot="1">
      <c r="A175" s="1342" t="s">
        <v>1457</v>
      </c>
      <c r="B175" s="1336" t="s">
        <v>2062</v>
      </c>
      <c r="C175" s="1911">
        <v>0.13</v>
      </c>
      <c r="D175" s="1911">
        <v>0.13</v>
      </c>
      <c r="E175" s="1911">
        <v>0.13</v>
      </c>
      <c r="F175" s="1912">
        <v>0.13</v>
      </c>
    </row>
    <row r="176" spans="1:6" ht="14.25" thickBot="1">
      <c r="A176" s="1342" t="s">
        <v>1457</v>
      </c>
      <c r="B176" s="1336" t="s">
        <v>1309</v>
      </c>
      <c r="C176" s="1911">
        <v>0.13</v>
      </c>
      <c r="D176" s="1911">
        <v>0.13</v>
      </c>
      <c r="E176" s="1911">
        <v>0.13</v>
      </c>
      <c r="F176" s="1912">
        <v>0.13</v>
      </c>
    </row>
    <row r="177" spans="1:6" ht="14.25" thickBot="1">
      <c r="A177" s="1342" t="s">
        <v>1457</v>
      </c>
      <c r="B177" s="1336" t="s">
        <v>2063</v>
      </c>
      <c r="C177" s="1911">
        <v>0.13</v>
      </c>
      <c r="D177" s="1911">
        <v>0.13</v>
      </c>
      <c r="E177" s="1911">
        <v>0.13</v>
      </c>
      <c r="F177" s="1912">
        <v>0.13</v>
      </c>
    </row>
    <row r="178" spans="1:6" ht="14.25" thickBot="1">
      <c r="A178" s="1342" t="s">
        <v>1457</v>
      </c>
      <c r="B178" s="1336" t="s">
        <v>1327</v>
      </c>
      <c r="C178" s="1911">
        <v>0.13</v>
      </c>
      <c r="D178" s="1911">
        <v>0.13</v>
      </c>
      <c r="E178" s="1911">
        <v>0.13</v>
      </c>
      <c r="F178" s="1912">
        <v>0.127</v>
      </c>
    </row>
    <row r="179" spans="1:6" ht="14.25" thickBot="1">
      <c r="A179" s="1342" t="s">
        <v>1457</v>
      </c>
      <c r="B179" s="1336" t="s">
        <v>1335</v>
      </c>
      <c r="C179" s="1911">
        <v>0.13</v>
      </c>
      <c r="D179" s="1911">
        <v>0.13</v>
      </c>
      <c r="E179" s="1911">
        <v>0.13</v>
      </c>
      <c r="F179" s="1916"/>
    </row>
    <row r="180" spans="1:6" ht="14.25" thickBot="1">
      <c r="A180" s="1342" t="s">
        <v>1457</v>
      </c>
      <c r="B180" s="1336" t="s">
        <v>2064</v>
      </c>
      <c r="C180" s="1911">
        <v>0.13</v>
      </c>
      <c r="D180" s="1911">
        <v>0.13</v>
      </c>
      <c r="E180" s="1911">
        <v>0.125</v>
      </c>
      <c r="F180" s="1912">
        <v>0.13</v>
      </c>
    </row>
    <row r="181" spans="1:6" ht="14.25" thickBot="1">
      <c r="A181" s="1342" t="s">
        <v>1457</v>
      </c>
      <c r="B181" s="1336" t="s">
        <v>1349</v>
      </c>
      <c r="C181" s="1911">
        <v>0.122</v>
      </c>
      <c r="D181" s="1911">
        <v>0.123</v>
      </c>
      <c r="E181" s="1911">
        <v>0.126</v>
      </c>
      <c r="F181" s="1912">
        <v>0.121</v>
      </c>
    </row>
    <row r="182" spans="1:6" ht="14.25" thickBot="1">
      <c r="A182" s="1342" t="s">
        <v>1457</v>
      </c>
      <c r="B182" s="1336" t="s">
        <v>1356</v>
      </c>
      <c r="C182" s="1911">
        <v>0.125</v>
      </c>
      <c r="D182" s="1911">
        <v>0.125</v>
      </c>
      <c r="E182" s="1911">
        <v>0.11700000000000001</v>
      </c>
      <c r="F182" s="1912">
        <v>0.13</v>
      </c>
    </row>
    <row r="183" spans="1:6" ht="14.25" thickBot="1">
      <c r="A183" s="1342" t="s">
        <v>1457</v>
      </c>
      <c r="B183" s="1336" t="s">
        <v>1363</v>
      </c>
      <c r="C183" s="1911">
        <v>0.127</v>
      </c>
      <c r="D183" s="1911">
        <v>0.127</v>
      </c>
      <c r="E183" s="1911">
        <v>0.128</v>
      </c>
      <c r="F183" s="1916"/>
    </row>
    <row r="184" spans="1:6" ht="14.25" thickBot="1">
      <c r="A184" s="1342" t="s">
        <v>1457</v>
      </c>
      <c r="B184" s="1336" t="s">
        <v>1370</v>
      </c>
      <c r="C184" s="1911">
        <v>0.125</v>
      </c>
      <c r="D184" s="1911">
        <v>0.125</v>
      </c>
      <c r="E184" s="1911">
        <v>0.127</v>
      </c>
      <c r="F184" s="1916"/>
    </row>
    <row r="185" spans="1:6" ht="14.25" thickBot="1">
      <c r="A185" s="1342" t="s">
        <v>1457</v>
      </c>
      <c r="B185" s="1336" t="s">
        <v>2065</v>
      </c>
      <c r="C185" s="1911">
        <v>0.127</v>
      </c>
      <c r="D185" s="1911">
        <v>0.127</v>
      </c>
      <c r="E185" s="1911">
        <v>0.128</v>
      </c>
      <c r="F185" s="1912">
        <v>0.13</v>
      </c>
    </row>
    <row r="186" spans="1:6" ht="24.75" thickBot="1">
      <c r="A186" s="1342" t="s">
        <v>1457</v>
      </c>
      <c r="B186" s="1336" t="s">
        <v>2066</v>
      </c>
      <c r="C186" s="1917"/>
      <c r="D186" s="1917"/>
      <c r="E186" s="1917"/>
      <c r="F186" s="1912">
        <v>0.05</v>
      </c>
    </row>
    <row r="187" spans="1:6" ht="14.25" thickBot="1">
      <c r="A187" s="1342" t="s">
        <v>1457</v>
      </c>
      <c r="B187" s="1336" t="s">
        <v>2067</v>
      </c>
      <c r="C187" s="1917"/>
      <c r="D187" s="1917"/>
      <c r="E187" s="1917"/>
      <c r="F187" s="1912">
        <v>0.05</v>
      </c>
    </row>
    <row r="188" spans="1:6" ht="14.25" thickBot="1">
      <c r="A188" s="1342" t="s">
        <v>1457</v>
      </c>
      <c r="B188" s="1336" t="s">
        <v>2068</v>
      </c>
      <c r="C188" s="1917"/>
      <c r="D188" s="1917"/>
      <c r="E188" s="1917"/>
      <c r="F188" s="1912">
        <v>0.05</v>
      </c>
    </row>
    <row r="189" spans="1:6" ht="24.75" thickBot="1">
      <c r="A189" s="1342" t="s">
        <v>1457</v>
      </c>
      <c r="B189" s="1336" t="s">
        <v>2069</v>
      </c>
      <c r="C189" s="1917"/>
      <c r="D189" s="1917"/>
      <c r="E189" s="1917"/>
      <c r="F189" s="1912">
        <v>0.05</v>
      </c>
    </row>
    <row r="190" spans="1:6" ht="24.75" thickBot="1">
      <c r="A190" s="1342" t="s">
        <v>1457</v>
      </c>
      <c r="B190" s="1336" t="s">
        <v>2070</v>
      </c>
      <c r="C190" s="1917"/>
      <c r="D190" s="1917"/>
      <c r="E190" s="1917"/>
      <c r="F190" s="1912">
        <v>0.05</v>
      </c>
    </row>
    <row r="191" spans="1:6" ht="24.75" thickBot="1">
      <c r="A191" s="1342" t="s">
        <v>1457</v>
      </c>
      <c r="B191" s="1336" t="s">
        <v>2071</v>
      </c>
      <c r="C191" s="1917"/>
      <c r="D191" s="1917"/>
      <c r="E191" s="1917"/>
      <c r="F191" s="1912">
        <v>0.05</v>
      </c>
    </row>
    <row r="192" spans="1:6" ht="24.75" thickBot="1">
      <c r="A192" s="1342" t="s">
        <v>1457</v>
      </c>
      <c r="B192" s="1336" t="s">
        <v>2072</v>
      </c>
      <c r="C192" s="1917"/>
      <c r="D192" s="1917"/>
      <c r="E192" s="1917"/>
      <c r="F192" s="1912">
        <v>0.05</v>
      </c>
    </row>
    <row r="193" spans="1:6" ht="24.75" thickBot="1">
      <c r="A193" s="1342" t="s">
        <v>1457</v>
      </c>
      <c r="B193" s="1336" t="s">
        <v>2073</v>
      </c>
      <c r="C193" s="1917"/>
      <c r="D193" s="1917"/>
      <c r="E193" s="1917"/>
      <c r="F193" s="1912">
        <v>0.05</v>
      </c>
    </row>
    <row r="194" spans="1:6" ht="24.75" thickBot="1">
      <c r="A194" s="1342" t="s">
        <v>1457</v>
      </c>
      <c r="B194" s="1336" t="s">
        <v>2074</v>
      </c>
      <c r="C194" s="1917"/>
      <c r="D194" s="1917"/>
      <c r="E194" s="1917"/>
      <c r="F194" s="1912">
        <v>0.05</v>
      </c>
    </row>
    <row r="195" spans="1:6" ht="14.25" thickBot="1">
      <c r="A195" s="1342" t="s">
        <v>1457</v>
      </c>
      <c r="B195" s="1336" t="s">
        <v>2075</v>
      </c>
      <c r="C195" s="1917"/>
      <c r="D195" s="1917"/>
      <c r="E195" s="1917"/>
      <c r="F195" s="1912">
        <v>0.05</v>
      </c>
    </row>
    <row r="196" spans="1:6" ht="24.75" thickBot="1">
      <c r="A196" s="1342" t="s">
        <v>1457</v>
      </c>
      <c r="B196" s="1336" t="s">
        <v>2076</v>
      </c>
      <c r="C196" s="1917"/>
      <c r="D196" s="1917"/>
      <c r="E196" s="1917"/>
      <c r="F196" s="1912">
        <v>0.05</v>
      </c>
    </row>
    <row r="197" spans="1:6" ht="24.75" thickBot="1">
      <c r="A197" s="1342" t="s">
        <v>1457</v>
      </c>
      <c r="B197" s="1336" t="s">
        <v>2077</v>
      </c>
      <c r="C197" s="1917"/>
      <c r="D197" s="1917"/>
      <c r="E197" s="1917"/>
      <c r="F197" s="1912">
        <v>0.05</v>
      </c>
    </row>
    <row r="198" spans="1:6" ht="24.75" thickBot="1">
      <c r="A198" s="1342" t="s">
        <v>1457</v>
      </c>
      <c r="B198" s="1336" t="s">
        <v>2078</v>
      </c>
      <c r="C198" s="1917"/>
      <c r="D198" s="1917"/>
      <c r="E198" s="1917"/>
      <c r="F198" s="1912">
        <v>0.05</v>
      </c>
    </row>
    <row r="199" spans="1:6" ht="24.75" thickBot="1">
      <c r="A199" s="1342" t="s">
        <v>1457</v>
      </c>
      <c r="B199" s="1336" t="s">
        <v>2079</v>
      </c>
      <c r="C199" s="1917"/>
      <c r="D199" s="1917"/>
      <c r="E199" s="1917"/>
      <c r="F199" s="1912">
        <v>0.05</v>
      </c>
    </row>
    <row r="200" spans="1:6" ht="24.75" thickBot="1">
      <c r="A200" s="1342" t="s">
        <v>1457</v>
      </c>
      <c r="B200" s="1336" t="s">
        <v>2080</v>
      </c>
      <c r="C200" s="1917"/>
      <c r="D200" s="1917"/>
      <c r="E200" s="1917"/>
      <c r="F200" s="1912">
        <v>0.05</v>
      </c>
    </row>
    <row r="201" spans="1:6" ht="24.75" thickBot="1">
      <c r="A201" s="1342" t="s">
        <v>1457</v>
      </c>
      <c r="B201" s="1336" t="s">
        <v>2081</v>
      </c>
      <c r="C201" s="1917"/>
      <c r="D201" s="1917"/>
      <c r="E201" s="1917"/>
      <c r="F201" s="1912">
        <v>0.05</v>
      </c>
    </row>
    <row r="202" spans="1:6" ht="24.75" thickBot="1">
      <c r="A202" s="1342" t="s">
        <v>1457</v>
      </c>
      <c r="B202" s="1336" t="s">
        <v>2082</v>
      </c>
      <c r="C202" s="1917"/>
      <c r="D202" s="1917"/>
      <c r="E202" s="1917"/>
      <c r="F202" s="1912">
        <v>0.05</v>
      </c>
    </row>
    <row r="203" spans="1:6" ht="24.75" thickBot="1">
      <c r="A203" s="1342" t="s">
        <v>1457</v>
      </c>
      <c r="B203" s="1336" t="s">
        <v>2083</v>
      </c>
      <c r="C203" s="1917"/>
      <c r="D203" s="1917"/>
      <c r="E203" s="1917"/>
      <c r="F203" s="1912">
        <v>0.05</v>
      </c>
    </row>
    <row r="204" spans="1:6" ht="14.25" thickBot="1">
      <c r="A204" s="1342" t="s">
        <v>1457</v>
      </c>
      <c r="B204" s="1336" t="s">
        <v>2084</v>
      </c>
      <c r="C204" s="1917"/>
      <c r="D204" s="1917"/>
      <c r="E204" s="1917"/>
      <c r="F204" s="1912">
        <v>0.05</v>
      </c>
    </row>
    <row r="205" spans="1:6" ht="14.25" thickBot="1">
      <c r="A205" s="1359" t="s">
        <v>1457</v>
      </c>
      <c r="B205" s="1352" t="s">
        <v>2085</v>
      </c>
      <c r="C205" s="1914"/>
      <c r="D205" s="1914"/>
      <c r="E205" s="1914"/>
      <c r="F205" s="1918">
        <v>0.05</v>
      </c>
    </row>
    <row r="206" spans="1:6" ht="14.25" thickBot="1">
      <c r="A206" s="1342" t="s">
        <v>1459</v>
      </c>
      <c r="B206" s="1343" t="s">
        <v>2086</v>
      </c>
      <c r="C206" s="1909">
        <v>0.15</v>
      </c>
      <c r="D206" s="1909">
        <v>0.15</v>
      </c>
      <c r="E206" s="1909">
        <v>0.15</v>
      </c>
      <c r="F206" s="1910">
        <v>0.15</v>
      </c>
    </row>
    <row r="207" spans="1:6" ht="14.25" thickBot="1">
      <c r="A207" s="1342" t="s">
        <v>1459</v>
      </c>
      <c r="B207" s="1336" t="s">
        <v>1117</v>
      </c>
      <c r="C207" s="1911">
        <v>0.15</v>
      </c>
      <c r="D207" s="1911">
        <v>0.15</v>
      </c>
      <c r="E207" s="1911">
        <v>0.15</v>
      </c>
      <c r="F207" s="1912">
        <v>0.14399999999999999</v>
      </c>
    </row>
    <row r="208" spans="1:6" ht="14.25" thickBot="1">
      <c r="A208" s="1342" t="s">
        <v>1459</v>
      </c>
      <c r="B208" s="1336" t="s">
        <v>1130</v>
      </c>
      <c r="C208" s="1911">
        <v>0.15</v>
      </c>
      <c r="D208" s="1911">
        <v>0.15</v>
      </c>
      <c r="E208" s="1911">
        <v>0.15</v>
      </c>
      <c r="F208" s="1912">
        <v>0.15</v>
      </c>
    </row>
    <row r="209" spans="1:6" ht="14.25" thickBot="1">
      <c r="A209" s="1342" t="s">
        <v>1459</v>
      </c>
      <c r="B209" s="1336" t="s">
        <v>1143</v>
      </c>
      <c r="C209" s="1911">
        <v>0.13700000000000001</v>
      </c>
      <c r="D209" s="1911">
        <v>0.13700000000000001</v>
      </c>
      <c r="E209" s="1911">
        <v>0.14000000000000001</v>
      </c>
      <c r="F209" s="1912">
        <v>0.11700000000000001</v>
      </c>
    </row>
    <row r="210" spans="1:6" ht="14.25" thickBot="1">
      <c r="A210" s="1342" t="s">
        <v>1459</v>
      </c>
      <c r="B210" s="1336" t="s">
        <v>2087</v>
      </c>
      <c r="C210" s="1911">
        <v>0.15</v>
      </c>
      <c r="D210" s="1911">
        <v>0.15</v>
      </c>
      <c r="E210" s="1911">
        <v>0.15</v>
      </c>
      <c r="F210" s="1912">
        <v>0.13800000000000001</v>
      </c>
    </row>
    <row r="211" spans="1:6" ht="14.25" thickBot="1">
      <c r="A211" s="1342" t="s">
        <v>1459</v>
      </c>
      <c r="B211" s="1336" t="s">
        <v>2088</v>
      </c>
      <c r="C211" s="1911">
        <v>0.13700000000000001</v>
      </c>
      <c r="D211" s="1911">
        <v>0.13500000000000001</v>
      </c>
      <c r="E211" s="1911">
        <v>0.13600000000000001</v>
      </c>
      <c r="F211" s="1912">
        <v>0.1</v>
      </c>
    </row>
    <row r="212" spans="1:6" ht="14.25" thickBot="1">
      <c r="A212" s="1342" t="s">
        <v>1459</v>
      </c>
      <c r="B212" s="1336" t="s">
        <v>2089</v>
      </c>
      <c r="C212" s="1911">
        <v>0.15</v>
      </c>
      <c r="D212" s="1911">
        <v>0.15</v>
      </c>
      <c r="E212" s="1911">
        <v>0.14799999999999999</v>
      </c>
      <c r="F212" s="1912">
        <v>0.13600000000000001</v>
      </c>
    </row>
    <row r="213" spans="1:6" ht="14.25" thickBot="1">
      <c r="A213" s="1342" t="s">
        <v>1459</v>
      </c>
      <c r="B213" s="1336" t="s">
        <v>1191</v>
      </c>
      <c r="C213" s="1911">
        <v>0.15</v>
      </c>
      <c r="D213" s="1911">
        <v>0.15</v>
      </c>
      <c r="E213" s="1911">
        <v>0.15</v>
      </c>
      <c r="F213" s="1912">
        <v>0.13800000000000001</v>
      </c>
    </row>
    <row r="214" spans="1:6" ht="14.25" thickBot="1">
      <c r="A214" s="1342" t="s">
        <v>1459</v>
      </c>
      <c r="B214" s="1336" t="s">
        <v>1204</v>
      </c>
      <c r="C214" s="1911">
        <v>9.0999999999999998E-2</v>
      </c>
      <c r="D214" s="1911">
        <v>0.09</v>
      </c>
      <c r="E214" s="1911">
        <v>9.1999999999999998E-2</v>
      </c>
      <c r="F214" s="1916"/>
    </row>
    <row r="215" spans="1:6" ht="14.25" thickBot="1">
      <c r="A215" s="1342" t="s">
        <v>1459</v>
      </c>
      <c r="B215" s="1336" t="s">
        <v>2090</v>
      </c>
      <c r="C215" s="1911">
        <v>0.15</v>
      </c>
      <c r="D215" s="1911">
        <v>0.15</v>
      </c>
      <c r="E215" s="1911">
        <v>0.15</v>
      </c>
      <c r="F215" s="1912">
        <v>0.15</v>
      </c>
    </row>
    <row r="216" spans="1:6" ht="14.25" thickBot="1">
      <c r="A216" s="1342" t="s">
        <v>1459</v>
      </c>
      <c r="B216" s="1336" t="s">
        <v>1226</v>
      </c>
      <c r="C216" s="1911">
        <v>0.14699999999999999</v>
      </c>
      <c r="D216" s="1911">
        <v>0.14699999999999999</v>
      </c>
      <c r="E216" s="1911">
        <v>0.15</v>
      </c>
      <c r="F216" s="1912">
        <v>0.14000000000000001</v>
      </c>
    </row>
    <row r="217" spans="1:6" ht="14.25" thickBot="1">
      <c r="A217" s="1342" t="s">
        <v>1459</v>
      </c>
      <c r="B217" s="1336" t="s">
        <v>1237</v>
      </c>
      <c r="C217" s="1911">
        <v>0.15</v>
      </c>
      <c r="D217" s="1911">
        <v>0.15</v>
      </c>
      <c r="E217" s="1911">
        <v>0.15</v>
      </c>
      <c r="F217" s="1912">
        <v>0.15</v>
      </c>
    </row>
    <row r="218" spans="1:6" ht="14.25" thickBot="1">
      <c r="A218" s="1342" t="s">
        <v>1459</v>
      </c>
      <c r="B218" s="1336" t="s">
        <v>2091</v>
      </c>
      <c r="C218" s="1911">
        <v>0.15</v>
      </c>
      <c r="D218" s="1911">
        <v>0.15</v>
      </c>
      <c r="E218" s="1911">
        <v>0.15</v>
      </c>
      <c r="F218" s="1912">
        <v>0.15</v>
      </c>
    </row>
    <row r="219" spans="1:6" ht="14.25" thickBot="1">
      <c r="A219" s="1342" t="s">
        <v>1459</v>
      </c>
      <c r="B219" s="1336" t="s">
        <v>1259</v>
      </c>
      <c r="C219" s="1911">
        <v>0.15</v>
      </c>
      <c r="D219" s="1911">
        <v>0.15</v>
      </c>
      <c r="E219" s="1911">
        <v>0.15</v>
      </c>
      <c r="F219" s="1912">
        <v>0.14799999999999999</v>
      </c>
    </row>
    <row r="220" spans="1:6" ht="14.25" thickBot="1">
      <c r="A220" s="1342" t="s">
        <v>1459</v>
      </c>
      <c r="B220" s="1336" t="s">
        <v>2092</v>
      </c>
      <c r="C220" s="1911">
        <v>0.15</v>
      </c>
      <c r="D220" s="1911">
        <v>0.15</v>
      </c>
      <c r="E220" s="1911">
        <v>0.15</v>
      </c>
      <c r="F220" s="1912">
        <v>0.15</v>
      </c>
    </row>
    <row r="221" spans="1:6" ht="14.25" thickBot="1">
      <c r="A221" s="1342" t="s">
        <v>1459</v>
      </c>
      <c r="B221" s="1336" t="s">
        <v>1280</v>
      </c>
      <c r="C221" s="1911"/>
      <c r="D221" s="1917"/>
      <c r="E221" s="1917"/>
      <c r="F221" s="1912">
        <v>0.14799999999999999</v>
      </c>
    </row>
    <row r="222" spans="1:6" ht="14.25" thickBot="1">
      <c r="A222" s="1342" t="s">
        <v>1459</v>
      </c>
      <c r="B222" s="1336" t="s">
        <v>1290</v>
      </c>
      <c r="C222" s="1911"/>
      <c r="D222" s="1917"/>
      <c r="E222" s="1917"/>
      <c r="F222" s="1912">
        <v>0.1</v>
      </c>
    </row>
    <row r="223" spans="1:6" ht="14.25" thickBot="1">
      <c r="A223" s="1342" t="s">
        <v>1459</v>
      </c>
      <c r="B223" s="1336" t="s">
        <v>1300</v>
      </c>
      <c r="C223" s="1911"/>
      <c r="D223" s="1917"/>
      <c r="E223" s="1917"/>
      <c r="F223" s="1912">
        <v>0.15</v>
      </c>
    </row>
    <row r="224" spans="1:6" ht="14.25" thickBot="1">
      <c r="A224" s="1342" t="s">
        <v>1459</v>
      </c>
      <c r="B224" s="1336" t="s">
        <v>1310</v>
      </c>
      <c r="C224" s="1911"/>
      <c r="D224" s="1917"/>
      <c r="E224" s="1917"/>
      <c r="F224" s="1912">
        <v>0.15</v>
      </c>
    </row>
    <row r="225" spans="1:6" ht="14.25" thickBot="1">
      <c r="A225" s="1342" t="s">
        <v>1459</v>
      </c>
      <c r="B225" s="1336" t="s">
        <v>2093</v>
      </c>
      <c r="C225" s="1911">
        <v>0.15</v>
      </c>
      <c r="D225" s="1911">
        <v>0.15</v>
      </c>
      <c r="E225" s="1911">
        <v>0.15</v>
      </c>
      <c r="F225" s="1912">
        <v>0.15</v>
      </c>
    </row>
    <row r="226" spans="1:6" ht="14.25" thickBot="1">
      <c r="A226" s="1342" t="s">
        <v>1459</v>
      </c>
      <c r="B226" s="1336" t="s">
        <v>1328</v>
      </c>
      <c r="C226" s="1911">
        <v>0.15</v>
      </c>
      <c r="D226" s="1911">
        <v>0.15</v>
      </c>
      <c r="E226" s="1911">
        <v>0.15</v>
      </c>
      <c r="F226" s="1912">
        <v>0.14799999999999999</v>
      </c>
    </row>
    <row r="227" spans="1:6" ht="14.25" thickBot="1">
      <c r="A227" s="1342" t="s">
        <v>1459</v>
      </c>
      <c r="B227" s="1336" t="s">
        <v>2094</v>
      </c>
      <c r="C227" s="1911">
        <v>0.15</v>
      </c>
      <c r="D227" s="1911">
        <v>0.15</v>
      </c>
      <c r="E227" s="1911">
        <v>0.15</v>
      </c>
      <c r="F227" s="1912">
        <v>0.15</v>
      </c>
    </row>
    <row r="228" spans="1:6" ht="14.25" thickBot="1">
      <c r="A228" s="1342" t="s">
        <v>1459</v>
      </c>
      <c r="B228" s="1336" t="s">
        <v>1343</v>
      </c>
      <c r="C228" s="1911">
        <v>0.15</v>
      </c>
      <c r="D228" s="1911">
        <v>0.15</v>
      </c>
      <c r="E228" s="1911">
        <v>0.15</v>
      </c>
      <c r="F228" s="1912">
        <v>0.15</v>
      </c>
    </row>
    <row r="229" spans="1:6" ht="14.25" thickBot="1">
      <c r="A229" s="1342" t="s">
        <v>1459</v>
      </c>
      <c r="B229" s="1336" t="s">
        <v>1350</v>
      </c>
      <c r="C229" s="1911">
        <v>0.15</v>
      </c>
      <c r="D229" s="1911">
        <v>0.15</v>
      </c>
      <c r="E229" s="1911">
        <v>0.15</v>
      </c>
      <c r="F229" s="1916"/>
    </row>
    <row r="230" spans="1:6" ht="14.25" thickBot="1">
      <c r="A230" s="1342" t="s">
        <v>1459</v>
      </c>
      <c r="B230" s="1336" t="s">
        <v>1357</v>
      </c>
      <c r="C230" s="1911">
        <v>0.14499999999999999</v>
      </c>
      <c r="D230" s="1911">
        <v>0.14499999999999999</v>
      </c>
      <c r="E230" s="1911">
        <v>0.14399999999999999</v>
      </c>
      <c r="F230" s="1916"/>
    </row>
    <row r="231" spans="1:6" ht="14.25" thickBot="1">
      <c r="A231" s="1342" t="s">
        <v>1459</v>
      </c>
      <c r="B231" s="1336" t="s">
        <v>2095</v>
      </c>
      <c r="C231" s="1911">
        <v>0.128</v>
      </c>
      <c r="D231" s="1911">
        <v>0.125</v>
      </c>
      <c r="E231" s="1911">
        <v>0.13200000000000001</v>
      </c>
      <c r="F231" s="1916"/>
    </row>
    <row r="232" spans="1:6" ht="14.25" thickBot="1">
      <c r="A232" s="1342" t="s">
        <v>1459</v>
      </c>
      <c r="B232" s="1336" t="s">
        <v>2096</v>
      </c>
      <c r="C232" s="1911">
        <v>0.14499999999999999</v>
      </c>
      <c r="D232" s="1911">
        <v>0.14399999999999999</v>
      </c>
      <c r="E232" s="1911">
        <v>0.14599999999999999</v>
      </c>
      <c r="F232" s="1912">
        <v>0.13800000000000001</v>
      </c>
    </row>
    <row r="233" spans="1:6" ht="14.25" thickBot="1">
      <c r="A233" s="1342" t="s">
        <v>1459</v>
      </c>
      <c r="B233" s="1336" t="s">
        <v>2097</v>
      </c>
      <c r="C233" s="1911">
        <v>0.14499999999999999</v>
      </c>
      <c r="D233" s="1911">
        <v>0.14299999999999999</v>
      </c>
      <c r="E233" s="1911">
        <v>0.14199999999999999</v>
      </c>
      <c r="F233" s="1916"/>
    </row>
    <row r="234" spans="1:6" ht="14.25" thickBot="1">
      <c r="A234" s="1342" t="s">
        <v>1459</v>
      </c>
      <c r="B234" s="1336" t="s">
        <v>2098</v>
      </c>
      <c r="C234" s="1911">
        <v>0.14000000000000001</v>
      </c>
      <c r="D234" s="1911">
        <v>0.14000000000000001</v>
      </c>
      <c r="E234" s="1911">
        <v>0.14399999999999999</v>
      </c>
      <c r="F234" s="1916"/>
    </row>
    <row r="235" spans="1:6" ht="14.25" thickBot="1">
      <c r="A235" s="1342" t="s">
        <v>1459</v>
      </c>
      <c r="B235" s="1336" t="s">
        <v>2099</v>
      </c>
      <c r="C235" s="1911">
        <v>0.14099999999999999</v>
      </c>
      <c r="D235" s="1911">
        <v>0.14199999999999999</v>
      </c>
      <c r="E235" s="1911">
        <v>0.14499999999999999</v>
      </c>
      <c r="F235" s="1912">
        <v>0.15</v>
      </c>
    </row>
    <row r="236" spans="1:6" ht="14.25" thickBot="1">
      <c r="A236" s="1342" t="s">
        <v>1459</v>
      </c>
      <c r="B236" s="1336" t="s">
        <v>1392</v>
      </c>
      <c r="C236" s="1917"/>
      <c r="D236" s="1917"/>
      <c r="E236" s="1917"/>
      <c r="F236" s="1912">
        <v>0.14299999999999999</v>
      </c>
    </row>
    <row r="237" spans="1:6" ht="24.75" thickBot="1">
      <c r="A237" s="1342" t="s">
        <v>1459</v>
      </c>
      <c r="B237" s="1336" t="s">
        <v>2100</v>
      </c>
      <c r="C237" s="1917"/>
      <c r="D237" s="1917"/>
      <c r="E237" s="1917"/>
      <c r="F237" s="1912">
        <v>0.05</v>
      </c>
    </row>
    <row r="238" spans="1:6" ht="24.75" thickBot="1">
      <c r="A238" s="1342" t="s">
        <v>1459</v>
      </c>
      <c r="B238" s="1336" t="s">
        <v>2101</v>
      </c>
      <c r="C238" s="1917"/>
      <c r="D238" s="1917"/>
      <c r="E238" s="1917"/>
      <c r="F238" s="1912">
        <v>0.05</v>
      </c>
    </row>
    <row r="239" spans="1:6" ht="24.75" thickBot="1">
      <c r="A239" s="1342" t="s">
        <v>1459</v>
      </c>
      <c r="B239" s="1336" t="s">
        <v>2102</v>
      </c>
      <c r="C239" s="1917"/>
      <c r="D239" s="1917"/>
      <c r="E239" s="1917"/>
      <c r="F239" s="1912">
        <v>0.05</v>
      </c>
    </row>
    <row r="240" spans="1:6" ht="24.75" thickBot="1">
      <c r="A240" s="1342" t="s">
        <v>1459</v>
      </c>
      <c r="B240" s="1336" t="s">
        <v>2103</v>
      </c>
      <c r="C240" s="1917"/>
      <c r="D240" s="1917"/>
      <c r="E240" s="1917"/>
      <c r="F240" s="1912">
        <v>0.05</v>
      </c>
    </row>
    <row r="241" spans="1:6" ht="24.75" thickBot="1">
      <c r="A241" s="1342" t="s">
        <v>1459</v>
      </c>
      <c r="B241" s="1336" t="s">
        <v>2104</v>
      </c>
      <c r="C241" s="1917"/>
      <c r="D241" s="1917"/>
      <c r="E241" s="1917"/>
      <c r="F241" s="1912">
        <v>0.05</v>
      </c>
    </row>
    <row r="242" spans="1:6" ht="24.75" thickBot="1">
      <c r="A242" s="1342" t="s">
        <v>1459</v>
      </c>
      <c r="B242" s="1336" t="s">
        <v>2105</v>
      </c>
      <c r="C242" s="1917"/>
      <c r="D242" s="1917"/>
      <c r="E242" s="1917"/>
      <c r="F242" s="1912">
        <v>0.05</v>
      </c>
    </row>
    <row r="243" spans="1:6" ht="24.75" thickBot="1">
      <c r="A243" s="1342" t="s">
        <v>1459</v>
      </c>
      <c r="B243" s="1336" t="s">
        <v>2106</v>
      </c>
      <c r="C243" s="1917"/>
      <c r="D243" s="1917"/>
      <c r="E243" s="1917"/>
      <c r="F243" s="1912">
        <v>0.05</v>
      </c>
    </row>
    <row r="244" spans="1:6" ht="24.75" thickBot="1">
      <c r="A244" s="1359" t="s">
        <v>1459</v>
      </c>
      <c r="B244" s="1352" t="s">
        <v>2107</v>
      </c>
      <c r="C244" s="1914"/>
      <c r="D244" s="1914"/>
      <c r="E244" s="1914"/>
      <c r="F244" s="1918">
        <v>0.05</v>
      </c>
    </row>
    <row r="245" spans="1:6" ht="14.25" thickBot="1">
      <c r="A245" s="1342" t="s">
        <v>1461</v>
      </c>
      <c r="B245" s="1343" t="s">
        <v>2108</v>
      </c>
      <c r="C245" s="1909">
        <v>0.15</v>
      </c>
      <c r="D245" s="1909">
        <v>0.15</v>
      </c>
      <c r="E245" s="1909">
        <v>0.15</v>
      </c>
      <c r="F245" s="1910">
        <v>0.14299999999999999</v>
      </c>
    </row>
    <row r="246" spans="1:6" ht="14.25" thickBot="1">
      <c r="A246" s="1342" t="s">
        <v>1461</v>
      </c>
      <c r="B246" s="1336" t="s">
        <v>1118</v>
      </c>
      <c r="C246" s="1911">
        <v>0.15</v>
      </c>
      <c r="D246" s="1911">
        <v>0.15</v>
      </c>
      <c r="E246" s="1911">
        <v>0.15</v>
      </c>
      <c r="F246" s="1912">
        <v>0.114</v>
      </c>
    </row>
    <row r="247" spans="1:6" ht="14.25" thickBot="1">
      <c r="A247" s="1342" t="s">
        <v>1461</v>
      </c>
      <c r="B247" s="1336" t="s">
        <v>2109</v>
      </c>
      <c r="C247" s="1911">
        <v>0.15</v>
      </c>
      <c r="D247" s="1911">
        <v>0.15</v>
      </c>
      <c r="E247" s="1911">
        <v>0.15</v>
      </c>
      <c r="F247" s="1912">
        <v>0.15</v>
      </c>
    </row>
    <row r="248" spans="1:6" ht="14.25" thickBot="1">
      <c r="A248" s="1342" t="s">
        <v>1461</v>
      </c>
      <c r="B248" s="1336" t="s">
        <v>2110</v>
      </c>
      <c r="C248" s="1911">
        <v>0.15</v>
      </c>
      <c r="D248" s="1911">
        <v>0.15</v>
      </c>
      <c r="E248" s="1911">
        <v>0.15</v>
      </c>
      <c r="F248" s="1912">
        <v>0.14000000000000001</v>
      </c>
    </row>
    <row r="249" spans="1:6" ht="14.25" thickBot="1">
      <c r="A249" s="1342" t="s">
        <v>1461</v>
      </c>
      <c r="B249" s="1336" t="s">
        <v>2111</v>
      </c>
      <c r="C249" s="1911">
        <v>0.15</v>
      </c>
      <c r="D249" s="1911">
        <v>0.14899999999999999</v>
      </c>
      <c r="E249" s="1911">
        <v>0.15</v>
      </c>
      <c r="F249" s="1912">
        <v>0.1</v>
      </c>
    </row>
    <row r="250" spans="1:6" ht="14.25" thickBot="1">
      <c r="A250" s="1342" t="s">
        <v>1461</v>
      </c>
      <c r="B250" s="1336" t="s">
        <v>2112</v>
      </c>
      <c r="C250" s="1911">
        <v>0.15</v>
      </c>
      <c r="D250" s="1911">
        <v>0.15</v>
      </c>
      <c r="E250" s="1911">
        <v>0.15</v>
      </c>
      <c r="F250" s="1912">
        <v>0.14399999999999999</v>
      </c>
    </row>
    <row r="251" spans="1:6" ht="14.25" thickBot="1">
      <c r="A251" s="1342" t="s">
        <v>1461</v>
      </c>
      <c r="B251" s="1336" t="s">
        <v>1180</v>
      </c>
      <c r="C251" s="1911">
        <v>0.15</v>
      </c>
      <c r="D251" s="1911">
        <v>0.15</v>
      </c>
      <c r="E251" s="1911">
        <v>0.15</v>
      </c>
      <c r="F251" s="1912">
        <v>0.14299999999999999</v>
      </c>
    </row>
    <row r="252" spans="1:6" ht="14.25" thickBot="1">
      <c r="A252" s="1342" t="s">
        <v>1461</v>
      </c>
      <c r="B252" s="1336" t="s">
        <v>1192</v>
      </c>
      <c r="C252" s="1911">
        <v>0.15</v>
      </c>
      <c r="D252" s="1911">
        <v>0.15</v>
      </c>
      <c r="E252" s="1911">
        <v>0.15</v>
      </c>
      <c r="F252" s="1912">
        <v>0.1</v>
      </c>
    </row>
    <row r="253" spans="1:6" ht="14.25" thickBot="1">
      <c r="A253" s="1342" t="s">
        <v>1461</v>
      </c>
      <c r="B253" s="1336" t="s">
        <v>1205</v>
      </c>
      <c r="C253" s="1911">
        <v>0.15</v>
      </c>
      <c r="D253" s="1911">
        <v>0.15</v>
      </c>
      <c r="E253" s="1911">
        <v>0.15</v>
      </c>
      <c r="F253" s="1912">
        <v>0.1</v>
      </c>
    </row>
    <row r="254" spans="1:6" ht="14.25" thickBot="1">
      <c r="A254" s="1342" t="s">
        <v>1461</v>
      </c>
      <c r="B254" s="1336" t="s">
        <v>1216</v>
      </c>
      <c r="C254" s="1917"/>
      <c r="D254" s="1917"/>
      <c r="E254" s="1917"/>
      <c r="F254" s="1912">
        <v>0.15</v>
      </c>
    </row>
    <row r="255" spans="1:6" ht="14.25" thickBot="1">
      <c r="A255" s="1342" t="s">
        <v>1461</v>
      </c>
      <c r="B255" s="1336" t="s">
        <v>1227</v>
      </c>
      <c r="C255" s="1917"/>
      <c r="D255" s="1917"/>
      <c r="E255" s="1917"/>
      <c r="F255" s="1912">
        <v>0.14299999999999999</v>
      </c>
    </row>
    <row r="256" spans="1:6" ht="14.25" thickBot="1">
      <c r="A256" s="1342" t="s">
        <v>1461</v>
      </c>
      <c r="B256" s="1336" t="s">
        <v>2113</v>
      </c>
      <c r="C256" s="1911">
        <v>0.14599999999999999</v>
      </c>
      <c r="D256" s="1911">
        <v>0.14699999999999999</v>
      </c>
      <c r="E256" s="1911">
        <v>0.15</v>
      </c>
      <c r="F256" s="1912">
        <v>0.13200000000000001</v>
      </c>
    </row>
    <row r="257" spans="1:6" ht="14.25" thickBot="1">
      <c r="A257" s="1342" t="s">
        <v>1461</v>
      </c>
      <c r="B257" s="1336" t="s">
        <v>1249</v>
      </c>
      <c r="C257" s="1911">
        <v>0.15</v>
      </c>
      <c r="D257" s="1911">
        <v>0.15</v>
      </c>
      <c r="E257" s="1911">
        <v>0.15</v>
      </c>
      <c r="F257" s="1912">
        <v>0.13900000000000001</v>
      </c>
    </row>
    <row r="258" spans="1:6" ht="14.25" thickBot="1">
      <c r="A258" s="1342" t="s">
        <v>1461</v>
      </c>
      <c r="B258" s="1336" t="s">
        <v>1260</v>
      </c>
      <c r="C258" s="1911">
        <v>0.15</v>
      </c>
      <c r="D258" s="1911">
        <v>0.15</v>
      </c>
      <c r="E258" s="1911">
        <v>0.15</v>
      </c>
      <c r="F258" s="1912">
        <v>0.13</v>
      </c>
    </row>
    <row r="259" spans="1:6" ht="14.25" thickBot="1">
      <c r="A259" s="1342" t="s">
        <v>1461</v>
      </c>
      <c r="B259" s="1336" t="s">
        <v>2114</v>
      </c>
      <c r="C259" s="1911">
        <v>0.14799999999999999</v>
      </c>
      <c r="D259" s="1911">
        <v>0.14899999999999999</v>
      </c>
      <c r="E259" s="1911">
        <v>0.15</v>
      </c>
      <c r="F259" s="1912">
        <v>0.13700000000000001</v>
      </c>
    </row>
    <row r="260" spans="1:6" ht="14.25" thickBot="1">
      <c r="A260" s="1342" t="s">
        <v>1461</v>
      </c>
      <c r="B260" s="1336" t="s">
        <v>1281</v>
      </c>
      <c r="C260" s="1911">
        <v>0.15</v>
      </c>
      <c r="D260" s="1911">
        <v>0.15</v>
      </c>
      <c r="E260" s="1911">
        <v>0.15</v>
      </c>
      <c r="F260" s="1912">
        <v>0.14199999999999999</v>
      </c>
    </row>
    <row r="261" spans="1:6" ht="14.25" thickBot="1">
      <c r="A261" s="1342" t="s">
        <v>1461</v>
      </c>
      <c r="B261" s="1336" t="s">
        <v>1291</v>
      </c>
      <c r="C261" s="1911">
        <v>0.15</v>
      </c>
      <c r="D261" s="1911">
        <v>0.15</v>
      </c>
      <c r="E261" s="1911">
        <v>0.14899999999999999</v>
      </c>
      <c r="F261" s="1912">
        <v>0.14799999999999999</v>
      </c>
    </row>
    <row r="262" spans="1:6" ht="14.25" thickBot="1">
      <c r="A262" s="1342" t="s">
        <v>1461</v>
      </c>
      <c r="B262" s="1336" t="s">
        <v>1301</v>
      </c>
      <c r="C262" s="1911">
        <v>0.15</v>
      </c>
      <c r="D262" s="1911">
        <v>0.15</v>
      </c>
      <c r="E262" s="1911">
        <v>0.15</v>
      </c>
      <c r="F262" s="1916"/>
    </row>
    <row r="263" spans="1:6" ht="14.25" thickBot="1">
      <c r="A263" s="1342" t="s">
        <v>1461</v>
      </c>
      <c r="B263" s="1336" t="s">
        <v>2115</v>
      </c>
      <c r="C263" s="1911">
        <v>0.14899999999999999</v>
      </c>
      <c r="D263" s="1911">
        <v>0.14899999999999999</v>
      </c>
      <c r="E263" s="1911">
        <v>0.15</v>
      </c>
      <c r="F263" s="1912">
        <v>0.13</v>
      </c>
    </row>
    <row r="264" spans="1:6" ht="14.25" thickBot="1">
      <c r="A264" s="1342" t="s">
        <v>1461</v>
      </c>
      <c r="B264" s="1336" t="s">
        <v>1320</v>
      </c>
      <c r="C264" s="1911">
        <v>0.14799999999999999</v>
      </c>
      <c r="D264" s="1911">
        <v>0.14699999999999999</v>
      </c>
      <c r="E264" s="1911">
        <v>0.15</v>
      </c>
      <c r="F264" s="1912">
        <v>7.8E-2</v>
      </c>
    </row>
    <row r="265" spans="1:6" ht="14.25" thickBot="1">
      <c r="A265" s="1342" t="s">
        <v>1461</v>
      </c>
      <c r="B265" s="1336" t="s">
        <v>1329</v>
      </c>
      <c r="C265" s="1911">
        <v>0.15</v>
      </c>
      <c r="D265" s="1911">
        <v>0.15</v>
      </c>
      <c r="E265" s="1911">
        <v>0.15</v>
      </c>
      <c r="F265" s="1912">
        <v>7.3999999999999996E-2</v>
      </c>
    </row>
    <row r="266" spans="1:6" ht="14.25" thickBot="1">
      <c r="A266" s="1342" t="s">
        <v>1461</v>
      </c>
      <c r="B266" s="1336" t="s">
        <v>1337</v>
      </c>
      <c r="C266" s="1911">
        <v>0.14699999999999999</v>
      </c>
      <c r="D266" s="1911">
        <v>0.14699999999999999</v>
      </c>
      <c r="E266" s="1911">
        <v>0.15</v>
      </c>
      <c r="F266" s="1912">
        <v>0.14299999999999999</v>
      </c>
    </row>
    <row r="267" spans="1:6" ht="14.25" thickBot="1">
      <c r="A267" s="1342" t="s">
        <v>1461</v>
      </c>
      <c r="B267" s="1336" t="s">
        <v>1344</v>
      </c>
      <c r="C267" s="1911">
        <v>0.14199999999999999</v>
      </c>
      <c r="D267" s="1911">
        <v>0.14299999999999999</v>
      </c>
      <c r="E267" s="1911">
        <v>0.15</v>
      </c>
      <c r="F267" s="1916"/>
    </row>
    <row r="268" spans="1:6" ht="14.25" thickBot="1">
      <c r="A268" s="1342" t="s">
        <v>1461</v>
      </c>
      <c r="B268" s="1336" t="s">
        <v>2116</v>
      </c>
      <c r="C268" s="1911">
        <v>0.15</v>
      </c>
      <c r="D268" s="1911">
        <v>0.15</v>
      </c>
      <c r="E268" s="1911">
        <v>0.15</v>
      </c>
      <c r="F268" s="1912">
        <v>0.13</v>
      </c>
    </row>
    <row r="269" spans="1:6" ht="14.25" thickBot="1">
      <c r="A269" s="1342" t="s">
        <v>1461</v>
      </c>
      <c r="B269" s="1336" t="s">
        <v>1358</v>
      </c>
      <c r="C269" s="1911">
        <v>0.15</v>
      </c>
      <c r="D269" s="1911">
        <v>0.15</v>
      </c>
      <c r="E269" s="1911">
        <v>0.15</v>
      </c>
      <c r="F269" s="1912">
        <v>0.14299999999999999</v>
      </c>
    </row>
    <row r="270" spans="1:6" ht="14.25" thickBot="1">
      <c r="A270" s="1342" t="s">
        <v>1461</v>
      </c>
      <c r="B270" s="1336" t="s">
        <v>1365</v>
      </c>
      <c r="C270" s="1911">
        <v>0.14499999999999999</v>
      </c>
      <c r="D270" s="1911">
        <v>0.14499999999999999</v>
      </c>
      <c r="E270" s="1911">
        <v>0.15</v>
      </c>
      <c r="F270" s="1912">
        <v>0.14699999999999999</v>
      </c>
    </row>
    <row r="271" spans="1:6" ht="14.25" thickBot="1">
      <c r="A271" s="1342" t="s">
        <v>1461</v>
      </c>
      <c r="B271" s="1336" t="s">
        <v>1372</v>
      </c>
      <c r="C271" s="1911">
        <v>0.15</v>
      </c>
      <c r="D271" s="1911">
        <v>0.15</v>
      </c>
      <c r="E271" s="1911">
        <v>0.15</v>
      </c>
      <c r="F271" s="1912">
        <v>0.13800000000000001</v>
      </c>
    </row>
    <row r="272" spans="1:6" ht="14.25" thickBot="1">
      <c r="A272" s="1342" t="s">
        <v>1461</v>
      </c>
      <c r="B272" s="1336" t="s">
        <v>1379</v>
      </c>
      <c r="C272" s="1917"/>
      <c r="D272" s="1917"/>
      <c r="E272" s="1917"/>
      <c r="F272" s="1912">
        <v>0.14000000000000001</v>
      </c>
    </row>
    <row r="273" spans="1:6" ht="14.25" thickBot="1">
      <c r="A273" s="1342" t="s">
        <v>1461</v>
      </c>
      <c r="B273" s="1336" t="s">
        <v>2117</v>
      </c>
      <c r="C273" s="1911">
        <v>0.14199999999999999</v>
      </c>
      <c r="D273" s="1911">
        <v>0.14299999999999999</v>
      </c>
      <c r="E273" s="1911">
        <v>0.15</v>
      </c>
      <c r="F273" s="1912">
        <v>0.1</v>
      </c>
    </row>
    <row r="274" spans="1:6" ht="14.25" thickBot="1">
      <c r="A274" s="1342" t="s">
        <v>1461</v>
      </c>
      <c r="B274" s="1336" t="s">
        <v>2118</v>
      </c>
      <c r="C274" s="1911">
        <v>0.14799999999999999</v>
      </c>
      <c r="D274" s="1911">
        <v>0.14799999999999999</v>
      </c>
      <c r="E274" s="1911">
        <v>0.15</v>
      </c>
      <c r="F274" s="1912">
        <v>6.7000000000000004E-2</v>
      </c>
    </row>
    <row r="275" spans="1:6" ht="14.25" thickBot="1">
      <c r="A275" s="1342" t="s">
        <v>1461</v>
      </c>
      <c r="B275" s="1336" t="s">
        <v>2119</v>
      </c>
      <c r="C275" s="1911">
        <v>0.15</v>
      </c>
      <c r="D275" s="1911">
        <v>0.15</v>
      </c>
      <c r="E275" s="1911">
        <v>0.15</v>
      </c>
      <c r="F275" s="1912">
        <v>0.15</v>
      </c>
    </row>
    <row r="276" spans="1:6" ht="14.25" thickBot="1">
      <c r="A276" s="1342" t="s">
        <v>1461</v>
      </c>
      <c r="B276" s="1336" t="s">
        <v>2120</v>
      </c>
      <c r="C276" s="1911">
        <v>0.14499999999999999</v>
      </c>
      <c r="D276" s="1911">
        <v>0.14299999999999999</v>
      </c>
      <c r="E276" s="1911">
        <v>0.15</v>
      </c>
      <c r="F276" s="1912">
        <v>5.8999999999999997E-2</v>
      </c>
    </row>
    <row r="277" spans="1:6" ht="14.25" thickBot="1">
      <c r="A277" s="1342" t="s">
        <v>1461</v>
      </c>
      <c r="B277" s="1336" t="s">
        <v>2121</v>
      </c>
      <c r="C277" s="1911">
        <v>0.15</v>
      </c>
      <c r="D277" s="1911">
        <v>0.15</v>
      </c>
      <c r="E277" s="1911">
        <v>0.15</v>
      </c>
      <c r="F277" s="1912">
        <v>0.121</v>
      </c>
    </row>
    <row r="278" spans="1:6" ht="14.25" thickBot="1">
      <c r="A278" s="1342" t="s">
        <v>1461</v>
      </c>
      <c r="B278" s="1336" t="s">
        <v>2122</v>
      </c>
      <c r="C278" s="1911">
        <v>0.15</v>
      </c>
      <c r="D278" s="1911">
        <v>0.15</v>
      </c>
      <c r="E278" s="1911">
        <v>0.15</v>
      </c>
      <c r="F278" s="1912">
        <v>0.13800000000000001</v>
      </c>
    </row>
    <row r="279" spans="1:6" ht="24.75" thickBot="1">
      <c r="A279" s="1342" t="s">
        <v>1461</v>
      </c>
      <c r="B279" s="1336" t="s">
        <v>2123</v>
      </c>
      <c r="C279" s="1917"/>
      <c r="D279" s="1917"/>
      <c r="E279" s="1917"/>
      <c r="F279" s="1912">
        <v>0.05</v>
      </c>
    </row>
    <row r="280" spans="1:6" ht="24.75" thickBot="1">
      <c r="A280" s="1342" t="s">
        <v>1461</v>
      </c>
      <c r="B280" s="1336" t="s">
        <v>2124</v>
      </c>
      <c r="C280" s="1917"/>
      <c r="D280" s="1917"/>
      <c r="E280" s="1917"/>
      <c r="F280" s="1912">
        <v>0.05</v>
      </c>
    </row>
    <row r="281" spans="1:6" ht="24.75" thickBot="1">
      <c r="A281" s="1342" t="s">
        <v>1461</v>
      </c>
      <c r="B281" s="1336" t="s">
        <v>2125</v>
      </c>
      <c r="C281" s="1917"/>
      <c r="D281" s="1917"/>
      <c r="E281" s="1917"/>
      <c r="F281" s="1912">
        <v>0.05</v>
      </c>
    </row>
    <row r="282" spans="1:6" ht="24.75" thickBot="1">
      <c r="A282" s="1342" t="s">
        <v>1461</v>
      </c>
      <c r="B282" s="1336" t="s">
        <v>2126</v>
      </c>
      <c r="C282" s="1917"/>
      <c r="D282" s="1917"/>
      <c r="E282" s="1917"/>
      <c r="F282" s="1912">
        <v>0.05</v>
      </c>
    </row>
    <row r="283" spans="1:6" ht="24.75" thickBot="1">
      <c r="A283" s="1342" t="s">
        <v>1461</v>
      </c>
      <c r="B283" s="1336" t="s">
        <v>2127</v>
      </c>
      <c r="C283" s="1917"/>
      <c r="D283" s="1917"/>
      <c r="E283" s="1917"/>
      <c r="F283" s="1912">
        <v>0.05</v>
      </c>
    </row>
    <row r="284" spans="1:6" ht="24.75" thickBot="1">
      <c r="A284" s="1342" t="s">
        <v>1461</v>
      </c>
      <c r="B284" s="1336" t="s">
        <v>2128</v>
      </c>
      <c r="C284" s="1917"/>
      <c r="D284" s="1917"/>
      <c r="E284" s="1917"/>
      <c r="F284" s="1912">
        <v>0.05</v>
      </c>
    </row>
    <row r="285" spans="1:6" ht="24.75" thickBot="1">
      <c r="A285" s="1342" t="s">
        <v>1461</v>
      </c>
      <c r="B285" s="1336" t="s">
        <v>2129</v>
      </c>
      <c r="C285" s="1917"/>
      <c r="D285" s="1917"/>
      <c r="E285" s="1917"/>
      <c r="F285" s="1912">
        <v>0.05</v>
      </c>
    </row>
    <row r="286" spans="1:6" ht="24.75" thickBot="1">
      <c r="A286" s="1342" t="s">
        <v>1461</v>
      </c>
      <c r="B286" s="1336" t="s">
        <v>2130</v>
      </c>
      <c r="C286" s="1917"/>
      <c r="D286" s="1917"/>
      <c r="E286" s="1917"/>
      <c r="F286" s="1912">
        <v>0.05</v>
      </c>
    </row>
    <row r="287" spans="1:6" ht="24.75" thickBot="1">
      <c r="A287" s="1342" t="s">
        <v>1461</v>
      </c>
      <c r="B287" s="1336" t="s">
        <v>2131</v>
      </c>
      <c r="C287" s="1917"/>
      <c r="D287" s="1917"/>
      <c r="E287" s="1917"/>
      <c r="F287" s="1912">
        <v>0.05</v>
      </c>
    </row>
    <row r="288" spans="1:6" ht="24.75" thickBot="1">
      <c r="A288" s="1342" t="s">
        <v>1461</v>
      </c>
      <c r="B288" s="1336" t="s">
        <v>2132</v>
      </c>
      <c r="C288" s="1917"/>
      <c r="D288" s="1917"/>
      <c r="E288" s="1917"/>
      <c r="F288" s="1912">
        <v>0.05</v>
      </c>
    </row>
    <row r="289" spans="1:6" ht="24.75" thickBot="1">
      <c r="A289" s="1359" t="s">
        <v>1461</v>
      </c>
      <c r="B289" s="1352" t="s">
        <v>2133</v>
      </c>
      <c r="C289" s="1914"/>
      <c r="D289" s="1914"/>
      <c r="E289" s="1914"/>
      <c r="F289" s="1918">
        <v>0.05</v>
      </c>
    </row>
    <row r="290" spans="1:6" ht="14.25" thickBot="1">
      <c r="A290" s="1342" t="s">
        <v>1465</v>
      </c>
      <c r="B290" s="1343" t="s">
        <v>2134</v>
      </c>
      <c r="C290" s="1909">
        <v>0.15</v>
      </c>
      <c r="D290" s="1909">
        <v>0.15</v>
      </c>
      <c r="E290" s="1909">
        <v>0.15</v>
      </c>
      <c r="F290" s="1926"/>
    </row>
    <row r="291" spans="1:6" ht="14.25" thickBot="1">
      <c r="A291" s="1342" t="s">
        <v>1465</v>
      </c>
      <c r="B291" s="1336" t="s">
        <v>1119</v>
      </c>
      <c r="C291" s="1911">
        <v>0.15</v>
      </c>
      <c r="D291" s="1911">
        <v>0.15</v>
      </c>
      <c r="E291" s="1911">
        <v>0.15</v>
      </c>
      <c r="F291" s="1916"/>
    </row>
    <row r="292" spans="1:6" ht="14.25" thickBot="1">
      <c r="A292" s="1342" t="s">
        <v>1465</v>
      </c>
      <c r="B292" s="1336" t="s">
        <v>2135</v>
      </c>
      <c r="C292" s="1911">
        <v>0.15</v>
      </c>
      <c r="D292" s="1911">
        <v>0.15</v>
      </c>
      <c r="E292" s="1911">
        <v>0.15</v>
      </c>
      <c r="F292" s="1912">
        <v>0.14699999999999999</v>
      </c>
    </row>
    <row r="293" spans="1:6" ht="14.25" thickBot="1">
      <c r="A293" s="1342" t="s">
        <v>1465</v>
      </c>
      <c r="B293" s="1336" t="s">
        <v>2136</v>
      </c>
      <c r="C293" s="1917"/>
      <c r="D293" s="1917"/>
      <c r="E293" s="1917"/>
      <c r="F293" s="1912">
        <v>0.1</v>
      </c>
    </row>
    <row r="294" spans="1:6" ht="14.25" thickBot="1">
      <c r="A294" s="1342" t="s">
        <v>1465</v>
      </c>
      <c r="B294" s="1336" t="s">
        <v>2137</v>
      </c>
      <c r="C294" s="1911">
        <v>0.15</v>
      </c>
      <c r="D294" s="1911">
        <v>0.15</v>
      </c>
      <c r="E294" s="1911">
        <v>0.15</v>
      </c>
      <c r="F294" s="1912">
        <v>0.15</v>
      </c>
    </row>
    <row r="295" spans="1:6" ht="14.25" thickBot="1">
      <c r="A295" s="1342" t="s">
        <v>1465</v>
      </c>
      <c r="B295" s="1336" t="s">
        <v>1157</v>
      </c>
      <c r="C295" s="1911">
        <v>0.15</v>
      </c>
      <c r="D295" s="1911">
        <v>0.15</v>
      </c>
      <c r="E295" s="1911">
        <v>0.15</v>
      </c>
      <c r="F295" s="1912">
        <v>0.15</v>
      </c>
    </row>
    <row r="296" spans="1:6" ht="14.25" thickBot="1">
      <c r="A296" s="1342" t="s">
        <v>1465</v>
      </c>
      <c r="B296" s="1336" t="s">
        <v>2138</v>
      </c>
      <c r="C296" s="1911">
        <v>0.15</v>
      </c>
      <c r="D296" s="1911">
        <v>0.15</v>
      </c>
      <c r="E296" s="1911">
        <v>0.15</v>
      </c>
      <c r="F296" s="1912">
        <v>0.15</v>
      </c>
    </row>
    <row r="297" spans="1:6" ht="14.25" thickBot="1">
      <c r="A297" s="1342" t="s">
        <v>1465</v>
      </c>
      <c r="B297" s="1336" t="s">
        <v>2139</v>
      </c>
      <c r="C297" s="1911">
        <v>0.14799999999999999</v>
      </c>
      <c r="D297" s="1911">
        <v>0.14899999999999999</v>
      </c>
      <c r="E297" s="1911">
        <v>0.15</v>
      </c>
      <c r="F297" s="1912">
        <v>0.13700000000000001</v>
      </c>
    </row>
    <row r="298" spans="1:6" ht="14.25" thickBot="1">
      <c r="A298" s="1342" t="s">
        <v>1465</v>
      </c>
      <c r="B298" s="1336" t="s">
        <v>1193</v>
      </c>
      <c r="C298" s="1911">
        <v>0.13400000000000001</v>
      </c>
      <c r="D298" s="1911">
        <v>0.13400000000000001</v>
      </c>
      <c r="E298" s="1911">
        <v>0.14499999999999999</v>
      </c>
      <c r="F298" s="1912">
        <v>0.14799999999999999</v>
      </c>
    </row>
    <row r="299" spans="1:6" ht="14.25" thickBot="1">
      <c r="A299" s="1342" t="s">
        <v>1465</v>
      </c>
      <c r="B299" s="1336" t="s">
        <v>1206</v>
      </c>
      <c r="C299" s="1911">
        <v>0.15</v>
      </c>
      <c r="D299" s="1911">
        <v>0.15</v>
      </c>
      <c r="E299" s="1911">
        <v>0.15</v>
      </c>
      <c r="F299" s="1916"/>
    </row>
    <row r="300" spans="1:6" ht="14.25" thickBot="1">
      <c r="A300" s="1342" t="s">
        <v>1465</v>
      </c>
      <c r="B300" s="1336" t="s">
        <v>2140</v>
      </c>
      <c r="C300" s="1911">
        <v>0.15</v>
      </c>
      <c r="D300" s="1911">
        <v>0.15</v>
      </c>
      <c r="E300" s="1911">
        <v>0.15</v>
      </c>
      <c r="F300" s="1912">
        <v>0.15</v>
      </c>
    </row>
    <row r="301" spans="1:6" ht="14.25" thickBot="1">
      <c r="A301" s="1342" t="s">
        <v>1465</v>
      </c>
      <c r="B301" s="1336" t="s">
        <v>1228</v>
      </c>
      <c r="C301" s="1911">
        <v>0.15</v>
      </c>
      <c r="D301" s="1911">
        <v>0.15</v>
      </c>
      <c r="E301" s="1911">
        <v>0.15</v>
      </c>
      <c r="F301" s="1916"/>
    </row>
    <row r="302" spans="1:6" ht="14.25" thickBot="1">
      <c r="A302" s="1342" t="s">
        <v>1465</v>
      </c>
      <c r="B302" s="1336" t="s">
        <v>2141</v>
      </c>
      <c r="C302" s="1911">
        <v>0.15</v>
      </c>
      <c r="D302" s="1911">
        <v>0.15</v>
      </c>
      <c r="E302" s="1911">
        <v>0.15</v>
      </c>
      <c r="F302" s="1912">
        <v>0.15</v>
      </c>
    </row>
    <row r="303" spans="1:6" ht="14.25" thickBot="1">
      <c r="A303" s="1342" t="s">
        <v>1465</v>
      </c>
      <c r="B303" s="1336" t="s">
        <v>1250</v>
      </c>
      <c r="C303" s="1911">
        <v>0.15</v>
      </c>
      <c r="D303" s="1911">
        <v>0.15</v>
      </c>
      <c r="E303" s="1911">
        <v>0.15</v>
      </c>
      <c r="F303" s="1912">
        <v>0.15</v>
      </c>
    </row>
    <row r="304" spans="1:6" ht="14.25" thickBot="1">
      <c r="A304" s="1342" t="s">
        <v>1465</v>
      </c>
      <c r="B304" s="1336" t="s">
        <v>1261</v>
      </c>
      <c r="C304" s="1911">
        <v>0.15</v>
      </c>
      <c r="D304" s="1911">
        <v>0.15</v>
      </c>
      <c r="E304" s="1911">
        <v>0.15</v>
      </c>
      <c r="F304" s="1916"/>
    </row>
    <row r="305" spans="1:6" ht="14.25" thickBot="1">
      <c r="A305" s="1342" t="s">
        <v>1465</v>
      </c>
      <c r="B305" s="1336" t="s">
        <v>2142</v>
      </c>
      <c r="C305" s="1911">
        <v>0.15</v>
      </c>
      <c r="D305" s="1911">
        <v>0.15</v>
      </c>
      <c r="E305" s="1911">
        <v>0.15</v>
      </c>
      <c r="F305" s="1912">
        <v>0.14000000000000001</v>
      </c>
    </row>
    <row r="306" spans="1:6" ht="14.25" thickBot="1">
      <c r="A306" s="1342" t="s">
        <v>1465</v>
      </c>
      <c r="B306" s="1336" t="s">
        <v>1282</v>
      </c>
      <c r="C306" s="1911">
        <v>0.15</v>
      </c>
      <c r="D306" s="1911">
        <v>0.15</v>
      </c>
      <c r="E306" s="1911">
        <v>0.15</v>
      </c>
      <c r="F306" s="1916"/>
    </row>
    <row r="307" spans="1:6" ht="14.25" thickBot="1">
      <c r="A307" s="1342" t="s">
        <v>1465</v>
      </c>
      <c r="B307" s="1336" t="s">
        <v>2143</v>
      </c>
      <c r="C307" s="1911">
        <v>0.15</v>
      </c>
      <c r="D307" s="1911">
        <v>0.15</v>
      </c>
      <c r="E307" s="1911">
        <v>0.15</v>
      </c>
      <c r="F307" s="1912">
        <v>0.14299999999999999</v>
      </c>
    </row>
    <row r="308" spans="1:6" ht="14.25" thickBot="1">
      <c r="A308" s="1342" t="s">
        <v>1465</v>
      </c>
      <c r="B308" s="1336" t="s">
        <v>1302</v>
      </c>
      <c r="C308" s="1911">
        <v>0.15</v>
      </c>
      <c r="D308" s="1911">
        <v>0.15</v>
      </c>
      <c r="E308" s="1911">
        <v>0.15</v>
      </c>
      <c r="F308" s="1912">
        <v>0.15</v>
      </c>
    </row>
    <row r="309" spans="1:6" ht="14.25" thickBot="1">
      <c r="A309" s="1342" t="s">
        <v>1465</v>
      </c>
      <c r="B309" s="1336" t="s">
        <v>1312</v>
      </c>
      <c r="C309" s="1911">
        <v>0.15</v>
      </c>
      <c r="D309" s="1911">
        <v>0.15</v>
      </c>
      <c r="E309" s="1911">
        <v>0.15</v>
      </c>
      <c r="F309" s="1916"/>
    </row>
    <row r="310" spans="1:6" ht="14.25" thickBot="1">
      <c r="A310" s="1342" t="s">
        <v>1465</v>
      </c>
      <c r="B310" s="1336" t="s">
        <v>2144</v>
      </c>
      <c r="C310" s="1911">
        <v>0.15</v>
      </c>
      <c r="D310" s="1911">
        <v>0.15</v>
      </c>
      <c r="E310" s="1911">
        <v>0.15</v>
      </c>
      <c r="F310" s="1912">
        <v>0.13700000000000001</v>
      </c>
    </row>
    <row r="311" spans="1:6" ht="14.25" thickBot="1">
      <c r="A311" s="1342" t="s">
        <v>1465</v>
      </c>
      <c r="B311" s="1336" t="s">
        <v>2145</v>
      </c>
      <c r="C311" s="1911">
        <v>0.15</v>
      </c>
      <c r="D311" s="1911">
        <v>0.15</v>
      </c>
      <c r="E311" s="1911">
        <v>0.15</v>
      </c>
      <c r="F311" s="1912">
        <v>0.15</v>
      </c>
    </row>
    <row r="312" spans="1:6" ht="14.25" thickBot="1">
      <c r="A312" s="1342" t="s">
        <v>1465</v>
      </c>
      <c r="B312" s="1336" t="s">
        <v>1338</v>
      </c>
      <c r="C312" s="1911">
        <v>0.15</v>
      </c>
      <c r="D312" s="1911">
        <v>0.15</v>
      </c>
      <c r="E312" s="1911">
        <v>0.15</v>
      </c>
      <c r="F312" s="1912">
        <v>0.1</v>
      </c>
    </row>
    <row r="313" spans="1:6" ht="14.25" thickBot="1">
      <c r="A313" s="1342" t="s">
        <v>1465</v>
      </c>
      <c r="B313" s="1336" t="s">
        <v>2146</v>
      </c>
      <c r="C313" s="1911">
        <v>0.15</v>
      </c>
      <c r="D313" s="1911">
        <v>0.15</v>
      </c>
      <c r="E313" s="1911">
        <v>0.15</v>
      </c>
      <c r="F313" s="1912">
        <v>0.15</v>
      </c>
    </row>
    <row r="314" spans="1:6" ht="24.75" thickBot="1">
      <c r="A314" s="1342" t="s">
        <v>1465</v>
      </c>
      <c r="B314" s="1336" t="s">
        <v>2147</v>
      </c>
      <c r="C314" s="1917"/>
      <c r="D314" s="1917"/>
      <c r="E314" s="1917"/>
      <c r="F314" s="1912">
        <v>0.05</v>
      </c>
    </row>
    <row r="315" spans="1:6" ht="24.75" thickBot="1">
      <c r="A315" s="1342" t="s">
        <v>1465</v>
      </c>
      <c r="B315" s="1336" t="s">
        <v>2148</v>
      </c>
      <c r="C315" s="1917"/>
      <c r="D315" s="1917"/>
      <c r="E315" s="1917"/>
      <c r="F315" s="1912">
        <v>0.05</v>
      </c>
    </row>
    <row r="316" spans="1:6" ht="24.75" thickBot="1">
      <c r="A316" s="1359" t="s">
        <v>1465</v>
      </c>
      <c r="B316" s="1352" t="s">
        <v>2149</v>
      </c>
      <c r="C316" s="1914"/>
      <c r="D316" s="1914"/>
      <c r="E316" s="1914"/>
      <c r="F316" s="1918">
        <v>0.05</v>
      </c>
    </row>
    <row r="317" spans="1:6" ht="14.25" thickBot="1">
      <c r="A317" s="1342" t="s">
        <v>2150</v>
      </c>
      <c r="B317" s="1343" t="s">
        <v>2151</v>
      </c>
      <c r="C317" s="1909">
        <v>0.15</v>
      </c>
      <c r="D317" s="1909">
        <v>0.15</v>
      </c>
      <c r="E317" s="1909">
        <v>0.15</v>
      </c>
      <c r="F317" s="1910">
        <v>0.15</v>
      </c>
    </row>
    <row r="318" spans="1:6" ht="14.25" thickBot="1">
      <c r="A318" s="1342" t="s">
        <v>2150</v>
      </c>
      <c r="B318" s="1336" t="s">
        <v>2152</v>
      </c>
      <c r="C318" s="1911">
        <v>0.107</v>
      </c>
      <c r="D318" s="1911">
        <v>0.11</v>
      </c>
      <c r="E318" s="1911">
        <v>0.112</v>
      </c>
      <c r="F318" s="1916"/>
    </row>
    <row r="319" spans="1:6" ht="14.25" thickBot="1">
      <c r="A319" s="1342" t="s">
        <v>2150</v>
      </c>
      <c r="B319" s="1336" t="s">
        <v>2153</v>
      </c>
      <c r="C319" s="1911">
        <v>0.15</v>
      </c>
      <c r="D319" s="1911">
        <v>0.15</v>
      </c>
      <c r="E319" s="1911">
        <v>0.15</v>
      </c>
      <c r="F319" s="1912">
        <v>0.15</v>
      </c>
    </row>
    <row r="320" spans="1:6" ht="14.25" thickBot="1">
      <c r="A320" s="1342" t="s">
        <v>2150</v>
      </c>
      <c r="B320" s="1336" t="s">
        <v>1146</v>
      </c>
      <c r="C320" s="1911">
        <v>0.15</v>
      </c>
      <c r="D320" s="1911">
        <v>0.15</v>
      </c>
      <c r="E320" s="1911">
        <v>0.15</v>
      </c>
      <c r="F320" s="1916"/>
    </row>
    <row r="321" spans="1:6" ht="14.25" thickBot="1">
      <c r="A321" s="1342" t="s">
        <v>2150</v>
      </c>
      <c r="B321" s="1336" t="s">
        <v>2154</v>
      </c>
      <c r="C321" s="1911">
        <v>0.15</v>
      </c>
      <c r="D321" s="1911">
        <v>0.15</v>
      </c>
      <c r="E321" s="1911">
        <v>0.15</v>
      </c>
      <c r="F321" s="1916"/>
    </row>
    <row r="322" spans="1:6" ht="14.25" thickBot="1">
      <c r="A322" s="1342" t="s">
        <v>2150</v>
      </c>
      <c r="B322" s="1336" t="s">
        <v>2155</v>
      </c>
      <c r="C322" s="1911">
        <v>0.15</v>
      </c>
      <c r="D322" s="1911">
        <v>0.15</v>
      </c>
      <c r="E322" s="1911">
        <v>0.15</v>
      </c>
      <c r="F322" s="1912">
        <v>0.15</v>
      </c>
    </row>
    <row r="323" spans="1:6" ht="14.25" thickBot="1">
      <c r="A323" s="1342" t="s">
        <v>2150</v>
      </c>
      <c r="B323" s="1336" t="s">
        <v>2156</v>
      </c>
      <c r="C323" s="1911">
        <v>0.15</v>
      </c>
      <c r="D323" s="1911">
        <v>0.15</v>
      </c>
      <c r="E323" s="1911">
        <v>0.15</v>
      </c>
      <c r="F323" s="1916"/>
    </row>
    <row r="324" spans="1:6" ht="14.25" thickBot="1">
      <c r="A324" s="1342" t="s">
        <v>2150</v>
      </c>
      <c r="B324" s="1336" t="s">
        <v>2157</v>
      </c>
      <c r="C324" s="1911">
        <v>0.15</v>
      </c>
      <c r="D324" s="1911">
        <v>0.15</v>
      </c>
      <c r="E324" s="1911">
        <v>0.15</v>
      </c>
      <c r="F324" s="1916"/>
    </row>
    <row r="325" spans="1:6" ht="14.25" thickBot="1">
      <c r="A325" s="1342" t="s">
        <v>2150</v>
      </c>
      <c r="B325" s="1336" t="s">
        <v>2158</v>
      </c>
      <c r="C325" s="1911">
        <v>0.15</v>
      </c>
      <c r="D325" s="1911">
        <v>0.15</v>
      </c>
      <c r="E325" s="1911">
        <v>0.15</v>
      </c>
      <c r="F325" s="1912">
        <v>0.14699999999999999</v>
      </c>
    </row>
    <row r="326" spans="1:6" ht="14.25" thickBot="1">
      <c r="A326" s="1342" t="s">
        <v>2150</v>
      </c>
      <c r="B326" s="1336" t="s">
        <v>1218</v>
      </c>
      <c r="C326" s="1911">
        <v>0.15</v>
      </c>
      <c r="D326" s="1911">
        <v>0.15</v>
      </c>
      <c r="E326" s="1911">
        <v>0.15</v>
      </c>
      <c r="F326" s="1916"/>
    </row>
    <row r="327" spans="1:6" ht="14.25" thickBot="1">
      <c r="A327" s="1342" t="s">
        <v>2150</v>
      </c>
      <c r="B327" s="1336" t="s">
        <v>2159</v>
      </c>
      <c r="C327" s="1911">
        <v>0.15</v>
      </c>
      <c r="D327" s="1911">
        <v>0.15</v>
      </c>
      <c r="E327" s="1911">
        <v>0.15</v>
      </c>
      <c r="F327" s="1912">
        <v>0.15</v>
      </c>
    </row>
    <row r="328" spans="1:6" ht="14.25" thickBot="1">
      <c r="A328" s="1342" t="s">
        <v>2150</v>
      </c>
      <c r="B328" s="1336" t="s">
        <v>1240</v>
      </c>
      <c r="C328" s="1911">
        <v>0.15</v>
      </c>
      <c r="D328" s="1911">
        <v>0.15</v>
      </c>
      <c r="E328" s="1911">
        <v>0.15</v>
      </c>
      <c r="F328" s="1912">
        <v>0.14099999999999999</v>
      </c>
    </row>
    <row r="329" spans="1:6" ht="14.25" thickBot="1">
      <c r="A329" s="1342" t="s">
        <v>2150</v>
      </c>
      <c r="B329" s="1336" t="s">
        <v>1251</v>
      </c>
      <c r="C329" s="1911">
        <v>0.15</v>
      </c>
      <c r="D329" s="1911">
        <v>0.15</v>
      </c>
      <c r="E329" s="1911">
        <v>0.15</v>
      </c>
      <c r="F329" s="1912">
        <v>0.15</v>
      </c>
    </row>
    <row r="330" spans="1:6" ht="14.25" thickBot="1">
      <c r="A330" s="1342" t="s">
        <v>2150</v>
      </c>
      <c r="B330" s="1336" t="s">
        <v>1262</v>
      </c>
      <c r="C330" s="1911">
        <v>0.15</v>
      </c>
      <c r="D330" s="1911">
        <v>0.15</v>
      </c>
      <c r="E330" s="1911">
        <v>0.15</v>
      </c>
      <c r="F330" s="1916"/>
    </row>
    <row r="331" spans="1:6" ht="14.25" thickBot="1">
      <c r="A331" s="1342" t="s">
        <v>2150</v>
      </c>
      <c r="B331" s="1336" t="s">
        <v>2160</v>
      </c>
      <c r="C331" s="1911">
        <v>0.15</v>
      </c>
      <c r="D331" s="1911">
        <v>0.15</v>
      </c>
      <c r="E331" s="1911">
        <v>0.15</v>
      </c>
      <c r="F331" s="1912">
        <v>0.15</v>
      </c>
    </row>
    <row r="332" spans="1:6" ht="14.25" thickBot="1">
      <c r="A332" s="1342" t="s">
        <v>2150</v>
      </c>
      <c r="B332" s="1336" t="s">
        <v>1283</v>
      </c>
      <c r="C332" s="1911">
        <v>0.15</v>
      </c>
      <c r="D332" s="1911">
        <v>0.15</v>
      </c>
      <c r="E332" s="1911">
        <v>0.15</v>
      </c>
      <c r="F332" s="1912">
        <v>0.15</v>
      </c>
    </row>
    <row r="333" spans="1:6" ht="14.25" thickBot="1">
      <c r="A333" s="1342" t="s">
        <v>2150</v>
      </c>
      <c r="B333" s="1336" t="s">
        <v>2161</v>
      </c>
      <c r="C333" s="1911">
        <v>0.15</v>
      </c>
      <c r="D333" s="1911">
        <v>0.15</v>
      </c>
      <c r="E333" s="1911">
        <v>0.15</v>
      </c>
      <c r="F333" s="1912">
        <v>0.14099999999999999</v>
      </c>
    </row>
    <row r="334" spans="1:6" ht="14.25" thickBot="1">
      <c r="A334" s="1342" t="s">
        <v>2150</v>
      </c>
      <c r="B334" s="1336" t="s">
        <v>1303</v>
      </c>
      <c r="C334" s="1911">
        <v>0.15</v>
      </c>
      <c r="D334" s="1911">
        <v>0.15</v>
      </c>
      <c r="E334" s="1911">
        <v>0.15</v>
      </c>
      <c r="F334" s="1912">
        <v>0.15</v>
      </c>
    </row>
    <row r="335" spans="1:6" ht="14.25" thickBot="1">
      <c r="A335" s="1342" t="s">
        <v>2150</v>
      </c>
      <c r="B335" s="1336" t="s">
        <v>1313</v>
      </c>
      <c r="C335" s="1911">
        <v>0.15</v>
      </c>
      <c r="D335" s="1911">
        <v>0.15</v>
      </c>
      <c r="E335" s="1911">
        <v>0.15</v>
      </c>
      <c r="F335" s="1916"/>
    </row>
    <row r="336" spans="1:6" ht="14.25" thickBot="1">
      <c r="A336" s="1342" t="s">
        <v>2150</v>
      </c>
      <c r="B336" s="1336" t="s">
        <v>2162</v>
      </c>
      <c r="C336" s="1911">
        <v>0.15</v>
      </c>
      <c r="D336" s="1911">
        <v>0.15</v>
      </c>
      <c r="E336" s="1911">
        <v>0.15</v>
      </c>
      <c r="F336" s="1912">
        <v>0.11799999999999999</v>
      </c>
    </row>
    <row r="337" spans="1:6" ht="14.25" thickBot="1">
      <c r="A337" s="1359" t="s">
        <v>2150</v>
      </c>
      <c r="B337" s="1352" t="s">
        <v>1331</v>
      </c>
      <c r="C337" s="1914"/>
      <c r="D337" s="1914"/>
      <c r="E337" s="1914"/>
      <c r="F337" s="1918">
        <v>0.14299999999999999</v>
      </c>
    </row>
    <row r="338" spans="1:6" ht="14.25" thickBot="1">
      <c r="A338" s="1342" t="s">
        <v>2163</v>
      </c>
      <c r="B338" s="1343" t="s">
        <v>2164</v>
      </c>
      <c r="C338" s="1909">
        <v>0.15</v>
      </c>
      <c r="D338" s="1909">
        <v>0.15</v>
      </c>
      <c r="E338" s="1909">
        <v>0.15</v>
      </c>
      <c r="F338" s="1926"/>
    </row>
    <row r="339" spans="1:6" ht="14.25" thickBot="1">
      <c r="A339" s="1342" t="s">
        <v>2163</v>
      </c>
      <c r="B339" s="1336" t="s">
        <v>2165</v>
      </c>
      <c r="C339" s="1911">
        <v>0.15</v>
      </c>
      <c r="D339" s="1911">
        <v>0.15</v>
      </c>
      <c r="E339" s="1911">
        <v>0.15</v>
      </c>
      <c r="F339" s="1916"/>
    </row>
    <row r="340" spans="1:6" ht="14.25" thickBot="1">
      <c r="A340" s="1342" t="s">
        <v>2163</v>
      </c>
      <c r="B340" s="1336" t="s">
        <v>2166</v>
      </c>
      <c r="C340" s="1911">
        <v>0.15</v>
      </c>
      <c r="D340" s="1911">
        <v>0.15</v>
      </c>
      <c r="E340" s="1911">
        <v>0.15</v>
      </c>
      <c r="F340" s="1916"/>
    </row>
    <row r="341" spans="1:6" ht="14.25" thickBot="1">
      <c r="A341" s="1342" t="s">
        <v>2163</v>
      </c>
      <c r="B341" s="1336" t="s">
        <v>2167</v>
      </c>
      <c r="C341" s="1911">
        <v>0.15</v>
      </c>
      <c r="D341" s="1911">
        <v>0.15</v>
      </c>
      <c r="E341" s="1911">
        <v>0.15</v>
      </c>
      <c r="F341" s="1912">
        <v>0.15</v>
      </c>
    </row>
    <row r="342" spans="1:6" ht="14.25" thickBot="1">
      <c r="A342" s="1342" t="s">
        <v>2163</v>
      </c>
      <c r="B342" s="1336" t="s">
        <v>2168</v>
      </c>
      <c r="C342" s="1911">
        <v>0.15</v>
      </c>
      <c r="D342" s="1911">
        <v>0.15</v>
      </c>
      <c r="E342" s="1911">
        <v>0.15</v>
      </c>
      <c r="F342" s="1912">
        <v>0.15</v>
      </c>
    </row>
    <row r="343" spans="1:6" ht="14.25" thickBot="1">
      <c r="A343" s="1342" t="s">
        <v>2163</v>
      </c>
      <c r="B343" s="1336" t="s">
        <v>2169</v>
      </c>
      <c r="C343" s="1911">
        <v>0.15</v>
      </c>
      <c r="D343" s="1911">
        <v>0.15</v>
      </c>
      <c r="E343" s="1911">
        <v>0.15</v>
      </c>
      <c r="F343" s="1912">
        <v>0.15</v>
      </c>
    </row>
    <row r="344" spans="1:6" ht="14.25" thickBot="1">
      <c r="A344" s="1359" t="s">
        <v>2163</v>
      </c>
      <c r="B344" s="1352" t="s">
        <v>2170</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3" customWidth="1"/>
    <col min="2" max="2" width="40.625" style="2256" customWidth="1"/>
    <col min="3" max="3" width="9" style="2257"/>
    <col min="4" max="5" width="9" style="2258"/>
    <col min="6" max="6" width="9" style="2259"/>
    <col min="7" max="7" width="11.875" style="1863" customWidth="1"/>
    <col min="8" max="8" width="9" style="2259"/>
    <col min="9" max="13" width="9" style="1863"/>
    <col min="14" max="20" width="9" style="2247"/>
    <col min="21" max="16384" width="9" style="1863"/>
  </cols>
  <sheetData>
    <row r="1" spans="1:20" s="2248" customFormat="1" ht="18" customHeight="1" thickBot="1">
      <c r="A1" s="1297" t="s">
        <v>1682</v>
      </c>
      <c r="B1" s="1298"/>
      <c r="C1" s="2243"/>
      <c r="D1" s="2244"/>
      <c r="E1" s="2244"/>
      <c r="F1" s="2245"/>
      <c r="G1" s="2246"/>
      <c r="H1" s="2245"/>
      <c r="I1" s="2246"/>
      <c r="J1" s="2246"/>
      <c r="K1" s="2246"/>
      <c r="L1" s="2246"/>
      <c r="M1" s="2246"/>
      <c r="N1" s="2247"/>
      <c r="O1" s="2247"/>
      <c r="P1" s="2247"/>
      <c r="Q1" s="2247"/>
      <c r="R1" s="2247"/>
      <c r="S1" s="2247"/>
      <c r="T1" s="2247"/>
    </row>
    <row r="2" spans="1:20" ht="18" customHeight="1">
      <c r="A2" s="1300" t="s">
        <v>1106</v>
      </c>
      <c r="B2" s="1301">
        <f>1+F4</f>
        <v>1.0128999999999999</v>
      </c>
      <c r="C2" s="1302"/>
      <c r="D2" s="1303"/>
      <c r="E2" s="1303"/>
      <c r="F2" s="1304"/>
      <c r="G2" s="2249"/>
      <c r="H2" s="2245"/>
      <c r="I2" s="2246"/>
      <c r="J2" s="2246"/>
      <c r="K2" s="2246"/>
      <c r="L2" s="2246"/>
      <c r="M2" s="2246"/>
    </row>
    <row r="3" spans="1:20" ht="13.5">
      <c r="A3" s="1306" t="s">
        <v>1683</v>
      </c>
      <c r="B3" s="1307" t="s">
        <v>1684</v>
      </c>
      <c r="C3" s="1308" t="s">
        <v>1685</v>
      </c>
      <c r="D3" s="1309" t="s">
        <v>1768</v>
      </c>
      <c r="E3" s="1309" t="s">
        <v>1769</v>
      </c>
      <c r="F3" s="1310" t="s">
        <v>1770</v>
      </c>
      <c r="G3" s="1311" t="s">
        <v>2171</v>
      </c>
      <c r="H3" s="1309" t="s">
        <v>1763</v>
      </c>
      <c r="I3" s="805" t="s">
        <v>437</v>
      </c>
      <c r="J3" s="805" t="s">
        <v>438</v>
      </c>
      <c r="K3" s="805" t="s">
        <v>439</v>
      </c>
      <c r="L3" s="805" t="s">
        <v>440</v>
      </c>
      <c r="M3" s="805" t="s">
        <v>441</v>
      </c>
    </row>
    <row r="4" spans="1:20" ht="14.25">
      <c r="A4" s="1306" t="s">
        <v>1686</v>
      </c>
      <c r="B4" s="1312">
        <f>估价对象房地状况!C4</f>
        <v>0</v>
      </c>
      <c r="C4" s="1293" t="s">
        <v>1687</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14.25">
      <c r="A5" s="1306" t="s">
        <v>1688</v>
      </c>
      <c r="B5" s="1317" t="str">
        <f>估价对象房地状况!C6</f>
        <v>192路 764路 778路</v>
      </c>
      <c r="C5" s="1293" t="s">
        <v>102</v>
      </c>
      <c r="D5" s="1313">
        <f t="shared" ref="D5:D12" si="1">SUMIF($I$3:$M$3,C5,I5:M5)</f>
        <v>0</v>
      </c>
      <c r="E5" s="1314">
        <v>0.25</v>
      </c>
      <c r="F5" s="1318"/>
      <c r="G5" s="2250"/>
      <c r="H5" s="1594">
        <v>0.01</v>
      </c>
      <c r="I5" s="1291">
        <f t="shared" ref="I5:I12" si="2">J5+$H5</f>
        <v>0.02</v>
      </c>
      <c r="J5" s="1291">
        <f t="shared" ref="J5:J12" si="3">$K5+$H5</f>
        <v>0.01</v>
      </c>
      <c r="K5" s="1290">
        <v>0</v>
      </c>
      <c r="L5" s="1291">
        <f t="shared" si="0"/>
        <v>-0.01</v>
      </c>
      <c r="M5" s="1291">
        <f t="shared" si="0"/>
        <v>-0.02</v>
      </c>
    </row>
    <row r="6" spans="1:20" ht="14.25">
      <c r="A6" s="1306" t="s">
        <v>1689</v>
      </c>
      <c r="B6" s="1307">
        <f>估价对象房地状况!C19</f>
        <v>0</v>
      </c>
      <c r="C6" s="1293" t="s">
        <v>1687</v>
      </c>
      <c r="D6" s="1313">
        <f t="shared" si="1"/>
        <v>0.02</v>
      </c>
      <c r="E6" s="1314">
        <v>0.05</v>
      </c>
      <c r="F6" s="1318"/>
      <c r="G6" s="2250"/>
      <c r="H6" s="1594">
        <v>0.02</v>
      </c>
      <c r="I6" s="1291">
        <f t="shared" si="2"/>
        <v>0.04</v>
      </c>
      <c r="J6" s="1291">
        <f t="shared" si="3"/>
        <v>0.02</v>
      </c>
      <c r="K6" s="1290">
        <v>0</v>
      </c>
      <c r="L6" s="1291">
        <f t="shared" si="0"/>
        <v>-0.02</v>
      </c>
      <c r="M6" s="1291">
        <f t="shared" si="0"/>
        <v>-0.04</v>
      </c>
    </row>
    <row r="7" spans="1:20" ht="24">
      <c r="A7" s="1306" t="s">
        <v>1690</v>
      </c>
      <c r="B7" s="1294" t="s">
        <v>1771</v>
      </c>
      <c r="C7" s="1293" t="s">
        <v>124</v>
      </c>
      <c r="D7" s="1313">
        <f t="shared" si="1"/>
        <v>-0.02</v>
      </c>
      <c r="E7" s="1314">
        <v>0.05</v>
      </c>
      <c r="F7" s="1318"/>
      <c r="G7" s="2250"/>
      <c r="H7" s="1594">
        <v>0.01</v>
      </c>
      <c r="I7" s="1291">
        <f t="shared" si="2"/>
        <v>0.02</v>
      </c>
      <c r="J7" s="1291">
        <f t="shared" si="3"/>
        <v>0.01</v>
      </c>
      <c r="K7" s="1290">
        <v>0</v>
      </c>
      <c r="L7" s="1291">
        <f t="shared" si="0"/>
        <v>-0.01</v>
      </c>
      <c r="M7" s="1291">
        <f t="shared" si="0"/>
        <v>-0.02</v>
      </c>
    </row>
    <row r="8" spans="1:20" ht="14.25">
      <c r="A8" s="1306" t="s">
        <v>1691</v>
      </c>
      <c r="B8" s="1307" t="str">
        <f>估价对象房地状况!C10</f>
        <v>主干道-博园西路</v>
      </c>
      <c r="C8" s="1293" t="s">
        <v>1687</v>
      </c>
      <c r="D8" s="1313">
        <f t="shared" si="1"/>
        <v>0.02</v>
      </c>
      <c r="E8" s="1314">
        <v>0.08</v>
      </c>
      <c r="F8" s="1318"/>
      <c r="G8" s="2250"/>
      <c r="H8" s="1594">
        <v>0.02</v>
      </c>
      <c r="I8" s="1291">
        <f t="shared" si="2"/>
        <v>0.04</v>
      </c>
      <c r="J8" s="1291">
        <f t="shared" si="3"/>
        <v>0.02</v>
      </c>
      <c r="K8" s="1290">
        <v>0</v>
      </c>
      <c r="L8" s="1291">
        <f t="shared" si="0"/>
        <v>-0.02</v>
      </c>
      <c r="M8" s="1291">
        <f t="shared" si="0"/>
        <v>-0.04</v>
      </c>
    </row>
    <row r="9" spans="1:20" ht="14.25">
      <c r="A9" s="1306" t="s">
        <v>1692</v>
      </c>
      <c r="B9" s="1295" t="s">
        <v>1772</v>
      </c>
      <c r="C9" s="1293" t="s">
        <v>1687</v>
      </c>
      <c r="D9" s="1313">
        <f t="shared" si="1"/>
        <v>0.01</v>
      </c>
      <c r="E9" s="1314">
        <v>0.03</v>
      </c>
      <c r="F9" s="1318"/>
      <c r="G9" s="2250"/>
      <c r="H9" s="1594">
        <v>0.01</v>
      </c>
      <c r="I9" s="1291">
        <f t="shared" si="2"/>
        <v>0.02</v>
      </c>
      <c r="J9" s="1291">
        <f t="shared" si="3"/>
        <v>0.01</v>
      </c>
      <c r="K9" s="1290">
        <v>0</v>
      </c>
      <c r="L9" s="1291">
        <f t="shared" si="0"/>
        <v>-0.01</v>
      </c>
      <c r="M9" s="1291">
        <f t="shared" si="0"/>
        <v>-0.02</v>
      </c>
    </row>
    <row r="10" spans="1:20" ht="36">
      <c r="A10" s="1319" t="s">
        <v>1693</v>
      </c>
      <c r="B10" s="2069" t="str">
        <f>估价对象房地状况!C7</f>
        <v>余杭区良渚二小、勾庄镇中星桥小学、良渚街道社区卫生服务中心勾庄院区、中信银行(杭州良渚支行)、中信银行(杭州良渚支行)</v>
      </c>
      <c r="C10" s="1293" t="s">
        <v>100</v>
      </c>
      <c r="D10" s="1313">
        <f t="shared" si="1"/>
        <v>0.04</v>
      </c>
      <c r="E10" s="1314">
        <v>0.05</v>
      </c>
      <c r="F10" s="1318"/>
      <c r="G10" s="2250"/>
      <c r="H10" s="1594">
        <v>0.02</v>
      </c>
      <c r="I10" s="1291">
        <f t="shared" si="2"/>
        <v>0.04</v>
      </c>
      <c r="J10" s="1291">
        <f t="shared" si="3"/>
        <v>0.02</v>
      </c>
      <c r="K10" s="1290">
        <v>0</v>
      </c>
      <c r="L10" s="1291">
        <f t="shared" si="0"/>
        <v>-0.02</v>
      </c>
      <c r="M10" s="1291">
        <f t="shared" si="0"/>
        <v>-0.04</v>
      </c>
    </row>
    <row r="11" spans="1:20" ht="14.25">
      <c r="A11" s="1319" t="s">
        <v>1694</v>
      </c>
      <c r="B11" s="2070"/>
      <c r="C11" s="1293" t="s">
        <v>102</v>
      </c>
      <c r="D11" s="1313">
        <f t="shared" si="1"/>
        <v>0</v>
      </c>
      <c r="E11" s="1314">
        <v>0.1</v>
      </c>
      <c r="F11" s="1318"/>
      <c r="G11" s="2250"/>
      <c r="H11" s="1594">
        <v>0.01</v>
      </c>
      <c r="I11" s="1291">
        <f t="shared" si="2"/>
        <v>0.02</v>
      </c>
      <c r="J11" s="1291">
        <f t="shared" si="3"/>
        <v>0.01</v>
      </c>
      <c r="K11" s="1290">
        <v>0</v>
      </c>
      <c r="L11" s="1291">
        <f t="shared" si="0"/>
        <v>-0.01</v>
      </c>
      <c r="M11" s="1291">
        <f t="shared" si="0"/>
        <v>-0.02</v>
      </c>
    </row>
    <row r="12" spans="1:20" ht="15" thickBot="1">
      <c r="A12" s="1321" t="s">
        <v>1695</v>
      </c>
      <c r="B12" s="1322" t="str">
        <f>估价对象房地状况!C9</f>
        <v>海德公园</v>
      </c>
      <c r="C12" s="1293" t="s">
        <v>100</v>
      </c>
      <c r="D12" s="1313">
        <f t="shared" si="1"/>
        <v>0.04</v>
      </c>
      <c r="E12" s="1323">
        <v>0.06</v>
      </c>
      <c r="F12" s="1324"/>
      <c r="G12" s="2250"/>
      <c r="H12" s="1594">
        <v>0.02</v>
      </c>
      <c r="I12" s="1291">
        <f t="shared" si="2"/>
        <v>0.04</v>
      </c>
      <c r="J12" s="1291">
        <f t="shared" si="3"/>
        <v>0.02</v>
      </c>
      <c r="K12" s="1290">
        <v>0</v>
      </c>
      <c r="L12" s="1291">
        <f t="shared" si="0"/>
        <v>-0.02</v>
      </c>
      <c r="M12" s="1291">
        <f t="shared" si="0"/>
        <v>-0.04</v>
      </c>
    </row>
    <row r="13" spans="1:20" ht="18" customHeight="1">
      <c r="A13" s="1300" t="s">
        <v>1107</v>
      </c>
      <c r="B13" s="1301">
        <f>1+F15</f>
        <v>1.0148999999999999</v>
      </c>
      <c r="C13" s="2251"/>
      <c r="D13" s="1303"/>
      <c r="E13" s="1303"/>
      <c r="F13" s="1304"/>
      <c r="G13" s="2249"/>
      <c r="H13" s="2245"/>
      <c r="I13" s="1299"/>
      <c r="J13" s="1299"/>
      <c r="K13" s="1299"/>
      <c r="L13" s="1299"/>
      <c r="M13" s="1299"/>
    </row>
    <row r="14" spans="1:20" ht="18" customHeight="1">
      <c r="A14" s="1306" t="s">
        <v>1683</v>
      </c>
      <c r="B14" s="1307"/>
      <c r="C14" s="1308" t="s">
        <v>1685</v>
      </c>
      <c r="D14" s="1309" t="s">
        <v>1765</v>
      </c>
      <c r="E14" s="1309" t="s">
        <v>1766</v>
      </c>
      <c r="F14" s="1310" t="s">
        <v>1767</v>
      </c>
      <c r="G14" s="1311" t="s">
        <v>2171</v>
      </c>
      <c r="H14" s="1309" t="s">
        <v>1763</v>
      </c>
      <c r="I14" s="805" t="s">
        <v>437</v>
      </c>
      <c r="J14" s="805" t="s">
        <v>438</v>
      </c>
      <c r="K14" s="805" t="s">
        <v>439</v>
      </c>
      <c r="L14" s="805" t="s">
        <v>440</v>
      </c>
      <c r="M14" s="805" t="s">
        <v>441</v>
      </c>
    </row>
    <row r="15" spans="1:20" ht="14.25">
      <c r="A15" s="1306" t="s">
        <v>1696</v>
      </c>
      <c r="B15" s="1312">
        <f>估价对象房地状况!C5</f>
        <v>0</v>
      </c>
      <c r="C15" s="1293" t="s">
        <v>1687</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14.25">
      <c r="A16" s="1306" t="s">
        <v>1688</v>
      </c>
      <c r="B16" s="1307" t="str">
        <f>估价对象房地状况!C6</f>
        <v>192路 764路 778路</v>
      </c>
      <c r="C16" s="1293" t="s">
        <v>1687</v>
      </c>
      <c r="D16" s="1313">
        <f t="shared" si="4"/>
        <v>0.01</v>
      </c>
      <c r="E16" s="1314">
        <v>0.3</v>
      </c>
      <c r="F16" s="1318"/>
      <c r="G16" s="2250"/>
      <c r="H16" s="1594">
        <v>0.01</v>
      </c>
      <c r="I16" s="1291">
        <f t="shared" ref="I16:I23" si="6">J16+$H16</f>
        <v>0.02</v>
      </c>
      <c r="J16" s="1291">
        <f t="shared" ref="J16:J23" si="7">$K16+$H16</f>
        <v>0.01</v>
      </c>
      <c r="K16" s="1290">
        <v>0</v>
      </c>
      <c r="L16" s="1291">
        <f t="shared" si="5"/>
        <v>-0.01</v>
      </c>
      <c r="M16" s="1291">
        <f t="shared" si="5"/>
        <v>-0.02</v>
      </c>
    </row>
    <row r="17" spans="1:20" ht="14.25">
      <c r="A17" s="1306" t="s">
        <v>1689</v>
      </c>
      <c r="B17" s="1307">
        <f>估价对象房地状况!C19</f>
        <v>0</v>
      </c>
      <c r="C17" s="1293" t="s">
        <v>1687</v>
      </c>
      <c r="D17" s="1313">
        <f t="shared" si="4"/>
        <v>0.02</v>
      </c>
      <c r="E17" s="1314">
        <v>0.08</v>
      </c>
      <c r="F17" s="1318"/>
      <c r="G17" s="2250"/>
      <c r="H17" s="1594">
        <v>0.02</v>
      </c>
      <c r="I17" s="1291">
        <f t="shared" si="6"/>
        <v>0.04</v>
      </c>
      <c r="J17" s="1291">
        <f t="shared" si="7"/>
        <v>0.02</v>
      </c>
      <c r="K17" s="1290">
        <v>0</v>
      </c>
      <c r="L17" s="1291">
        <f t="shared" si="5"/>
        <v>-0.02</v>
      </c>
      <c r="M17" s="1291">
        <f t="shared" si="5"/>
        <v>-0.04</v>
      </c>
    </row>
    <row r="18" spans="1:20" ht="24">
      <c r="A18" s="1306" t="s">
        <v>1690</v>
      </c>
      <c r="B18" s="1294" t="s">
        <v>1771</v>
      </c>
      <c r="C18" s="1293" t="s">
        <v>101</v>
      </c>
      <c r="D18" s="1313">
        <f t="shared" si="4"/>
        <v>0.01</v>
      </c>
      <c r="E18" s="1314">
        <v>0.04</v>
      </c>
      <c r="F18" s="1318"/>
      <c r="G18" s="2250"/>
      <c r="H18" s="1594">
        <v>0.01</v>
      </c>
      <c r="I18" s="1291">
        <f t="shared" si="6"/>
        <v>0.02</v>
      </c>
      <c r="J18" s="1291">
        <f t="shared" si="7"/>
        <v>0.01</v>
      </c>
      <c r="K18" s="1290">
        <v>0</v>
      </c>
      <c r="L18" s="1291">
        <f t="shared" si="5"/>
        <v>-0.01</v>
      </c>
      <c r="M18" s="1291">
        <f t="shared" si="5"/>
        <v>-0.02</v>
      </c>
    </row>
    <row r="19" spans="1:20" ht="14.25">
      <c r="A19" s="1306" t="s">
        <v>1691</v>
      </c>
      <c r="B19" s="1307" t="str">
        <f>估价对象房地状况!C10</f>
        <v>主干道-博园西路</v>
      </c>
      <c r="C19" s="1293" t="s">
        <v>1687</v>
      </c>
      <c r="D19" s="1313">
        <f t="shared" si="4"/>
        <v>0.02</v>
      </c>
      <c r="E19" s="1314">
        <v>0.05</v>
      </c>
      <c r="F19" s="1318"/>
      <c r="G19" s="2250"/>
      <c r="H19" s="1594">
        <v>0.02</v>
      </c>
      <c r="I19" s="1291">
        <f t="shared" si="6"/>
        <v>0.04</v>
      </c>
      <c r="J19" s="1291">
        <f t="shared" si="7"/>
        <v>0.02</v>
      </c>
      <c r="K19" s="1290">
        <v>0</v>
      </c>
      <c r="L19" s="1291">
        <f t="shared" si="5"/>
        <v>-0.02</v>
      </c>
      <c r="M19" s="1291">
        <f t="shared" si="5"/>
        <v>-0.04</v>
      </c>
    </row>
    <row r="20" spans="1:20" ht="14.25">
      <c r="A20" s="1306" t="s">
        <v>1692</v>
      </c>
      <c r="B20" s="1295" t="s">
        <v>1772</v>
      </c>
      <c r="C20" s="1293" t="s">
        <v>1687</v>
      </c>
      <c r="D20" s="1313">
        <f t="shared" si="4"/>
        <v>0.01</v>
      </c>
      <c r="E20" s="1314">
        <v>0.05</v>
      </c>
      <c r="F20" s="1318"/>
      <c r="G20" s="2250"/>
      <c r="H20" s="1594">
        <v>0.01</v>
      </c>
      <c r="I20" s="1291">
        <f t="shared" si="6"/>
        <v>0.02</v>
      </c>
      <c r="J20" s="1291">
        <f t="shared" si="7"/>
        <v>0.01</v>
      </c>
      <c r="K20" s="1290">
        <v>0</v>
      </c>
      <c r="L20" s="1291">
        <f t="shared" si="5"/>
        <v>-0.01</v>
      </c>
      <c r="M20" s="1291">
        <f t="shared" si="5"/>
        <v>-0.02</v>
      </c>
    </row>
    <row r="21" spans="1:20" ht="36">
      <c r="A21" s="1306" t="s">
        <v>1693</v>
      </c>
      <c r="B21" s="2069" t="str">
        <f>估价对象房地状况!C7</f>
        <v>余杭区良渚二小、勾庄镇中星桥小学、良渚街道社区卫生服务中心勾庄院区、中信银行(杭州良渚支行)、中信银行(杭州良渚支行)</v>
      </c>
      <c r="C21" s="1293" t="s">
        <v>1687</v>
      </c>
      <c r="D21" s="1313">
        <f t="shared" si="4"/>
        <v>0.02</v>
      </c>
      <c r="E21" s="1314">
        <v>0.06</v>
      </c>
      <c r="F21" s="1318"/>
      <c r="G21" s="2250"/>
      <c r="H21" s="1594">
        <v>0.02</v>
      </c>
      <c r="I21" s="1291">
        <f t="shared" si="6"/>
        <v>0.04</v>
      </c>
      <c r="J21" s="1291">
        <f t="shared" si="7"/>
        <v>0.02</v>
      </c>
      <c r="K21" s="1290">
        <v>0</v>
      </c>
      <c r="L21" s="1291">
        <f t="shared" si="5"/>
        <v>-0.02</v>
      </c>
      <c r="M21" s="1291">
        <f t="shared" si="5"/>
        <v>-0.04</v>
      </c>
    </row>
    <row r="22" spans="1:20" ht="14.25">
      <c r="A22" s="1306" t="s">
        <v>1694</v>
      </c>
      <c r="B22" s="2070"/>
      <c r="C22" s="1293" t="s">
        <v>1687</v>
      </c>
      <c r="D22" s="1313">
        <f t="shared" si="4"/>
        <v>0.01</v>
      </c>
      <c r="E22" s="1314">
        <v>0.12</v>
      </c>
      <c r="F22" s="1318"/>
      <c r="G22" s="2250"/>
      <c r="H22" s="1594">
        <v>0.01</v>
      </c>
      <c r="I22" s="1291">
        <f t="shared" si="6"/>
        <v>0.02</v>
      </c>
      <c r="J22" s="1291">
        <f t="shared" si="7"/>
        <v>0.01</v>
      </c>
      <c r="K22" s="1290">
        <v>0</v>
      </c>
      <c r="L22" s="1291">
        <f t="shared" si="5"/>
        <v>-0.01</v>
      </c>
      <c r="M22" s="1291">
        <f t="shared" si="5"/>
        <v>-0.02</v>
      </c>
    </row>
    <row r="23" spans="1:20" ht="15" thickBot="1">
      <c r="A23" s="1321" t="s">
        <v>1695</v>
      </c>
      <c r="B23" s="1325" t="str">
        <f>估价对象房地状况!C9</f>
        <v>海德公园</v>
      </c>
      <c r="C23" s="1293" t="s">
        <v>1687</v>
      </c>
      <c r="D23" s="1313">
        <f t="shared" si="4"/>
        <v>0.02</v>
      </c>
      <c r="E23" s="1323">
        <v>0.06</v>
      </c>
      <c r="F23" s="1324"/>
      <c r="G23" s="2250"/>
      <c r="H23" s="1594">
        <v>0.02</v>
      </c>
      <c r="I23" s="1291">
        <f t="shared" si="6"/>
        <v>0.04</v>
      </c>
      <c r="J23" s="1291">
        <f t="shared" si="7"/>
        <v>0.02</v>
      </c>
      <c r="K23" s="1290">
        <v>0</v>
      </c>
      <c r="L23" s="1291">
        <f t="shared" si="5"/>
        <v>-0.02</v>
      </c>
      <c r="M23" s="1291">
        <f t="shared" si="5"/>
        <v>-0.04</v>
      </c>
    </row>
    <row r="24" spans="1:20" ht="18" customHeight="1">
      <c r="A24" s="1300" t="s">
        <v>1758</v>
      </c>
      <c r="B24" s="1301">
        <f>1+F26</f>
        <v>1.0597000000000001</v>
      </c>
      <c r="C24" s="2251"/>
      <c r="D24" s="1303"/>
      <c r="E24" s="1303"/>
      <c r="F24" s="1304"/>
      <c r="G24" s="2249"/>
      <c r="H24" s="2245"/>
      <c r="I24" s="1299"/>
      <c r="J24" s="1299"/>
      <c r="K24" s="1299"/>
      <c r="L24" s="1299"/>
      <c r="M24" s="1299"/>
    </row>
    <row r="25" spans="1:20" ht="13.5">
      <c r="A25" s="1306" t="s">
        <v>1683</v>
      </c>
      <c r="B25" s="1307"/>
      <c r="C25" s="1308" t="s">
        <v>1685</v>
      </c>
      <c r="D25" s="1309" t="s">
        <v>1765</v>
      </c>
      <c r="E25" s="1309" t="s">
        <v>1766</v>
      </c>
      <c r="F25" s="1310" t="s">
        <v>1767</v>
      </c>
      <c r="G25" s="1311" t="s">
        <v>2171</v>
      </c>
      <c r="H25" s="1309" t="s">
        <v>1763</v>
      </c>
      <c r="I25" s="805" t="s">
        <v>437</v>
      </c>
      <c r="J25" s="805" t="s">
        <v>438</v>
      </c>
      <c r="K25" s="805" t="s">
        <v>439</v>
      </c>
      <c r="L25" s="805" t="s">
        <v>440</v>
      </c>
      <c r="M25" s="805" t="s">
        <v>441</v>
      </c>
    </row>
    <row r="26" spans="1:20" ht="14.25">
      <c r="A26" s="1306" t="s">
        <v>1697</v>
      </c>
      <c r="B26" s="1312" t="str">
        <f>估价对象房地状况!C3</f>
        <v>赞成赞城、逸居城</v>
      </c>
      <c r="C26" s="1293" t="s">
        <v>1687</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14.25">
      <c r="A27" s="1306" t="s">
        <v>1688</v>
      </c>
      <c r="B27" s="1307" t="str">
        <f>估价对象房地状况!C6</f>
        <v>192路 764路 778路</v>
      </c>
      <c r="C27" s="1293" t="s">
        <v>1687</v>
      </c>
      <c r="D27" s="1313">
        <f t="shared" si="8"/>
        <v>0.08</v>
      </c>
      <c r="E27" s="1314">
        <v>0.3</v>
      </c>
      <c r="F27" s="1326"/>
      <c r="G27" s="2252"/>
      <c r="H27" s="1594">
        <v>0.08</v>
      </c>
      <c r="I27" s="1291">
        <f t="shared" ref="I27:I34" si="10">J27+$H27</f>
        <v>0.16</v>
      </c>
      <c r="J27" s="1291">
        <f t="shared" ref="J27:J34" si="11">$K27+$H27</f>
        <v>0.08</v>
      </c>
      <c r="K27" s="1290">
        <v>0</v>
      </c>
      <c r="L27" s="1291">
        <f t="shared" si="9"/>
        <v>-0.08</v>
      </c>
      <c r="M27" s="1291">
        <f t="shared" si="9"/>
        <v>-0.16</v>
      </c>
    </row>
    <row r="28" spans="1:20" ht="14.25">
      <c r="A28" s="1306" t="s">
        <v>1689</v>
      </c>
      <c r="B28" s="1307">
        <f>估价对象房地状况!C19</f>
        <v>0</v>
      </c>
      <c r="C28" s="1293" t="s">
        <v>1687</v>
      </c>
      <c r="D28" s="1313">
        <f t="shared" si="8"/>
        <v>0.03</v>
      </c>
      <c r="E28" s="1314">
        <v>0.08</v>
      </c>
      <c r="F28" s="1326"/>
      <c r="G28" s="2252"/>
      <c r="H28" s="1594">
        <v>0.03</v>
      </c>
      <c r="I28" s="1291">
        <f t="shared" si="10"/>
        <v>0.06</v>
      </c>
      <c r="J28" s="1291">
        <f t="shared" si="11"/>
        <v>0.03</v>
      </c>
      <c r="K28" s="1290">
        <v>0</v>
      </c>
      <c r="L28" s="1291">
        <f t="shared" si="9"/>
        <v>-0.03</v>
      </c>
      <c r="M28" s="1291">
        <f t="shared" si="9"/>
        <v>-0.06</v>
      </c>
    </row>
    <row r="29" spans="1:20" ht="14.25">
      <c r="A29" s="1306" t="s">
        <v>1698</v>
      </c>
      <c r="B29" s="1307" t="str">
        <f>估价对象房地状况!C10</f>
        <v>主干道-博园西路</v>
      </c>
      <c r="C29" s="1293" t="s">
        <v>100</v>
      </c>
      <c r="D29" s="1313">
        <f t="shared" si="8"/>
        <v>0.05</v>
      </c>
      <c r="E29" s="1314">
        <v>0.04</v>
      </c>
      <c r="F29" s="1326"/>
      <c r="G29" s="2252"/>
      <c r="H29" s="1594">
        <v>2.5000000000000001E-2</v>
      </c>
      <c r="I29" s="1291">
        <f t="shared" si="10"/>
        <v>0.05</v>
      </c>
      <c r="J29" s="1291">
        <f t="shared" si="11"/>
        <v>2.5000000000000001E-2</v>
      </c>
      <c r="K29" s="1290">
        <v>0</v>
      </c>
      <c r="L29" s="1291">
        <f t="shared" si="9"/>
        <v>-2.5000000000000001E-2</v>
      </c>
      <c r="M29" s="1291">
        <f t="shared" si="9"/>
        <v>-0.05</v>
      </c>
    </row>
    <row r="30" spans="1:20" s="2248" customFormat="1" ht="36">
      <c r="A30" s="1306" t="s">
        <v>1693</v>
      </c>
      <c r="B30" s="2069" t="str">
        <f>估价对象房地状况!C7</f>
        <v>余杭区良渚二小、勾庄镇中星桥小学、良渚街道社区卫生服务中心勾庄院区、中信银行(杭州良渚支行)、中信银行(杭州良渚支行)</v>
      </c>
      <c r="C30" s="1293" t="s">
        <v>1687</v>
      </c>
      <c r="D30" s="1313">
        <f t="shared" si="8"/>
        <v>0.03</v>
      </c>
      <c r="E30" s="1314">
        <v>0.08</v>
      </c>
      <c r="F30" s="1326"/>
      <c r="G30" s="2252"/>
      <c r="H30" s="1594">
        <v>0.03</v>
      </c>
      <c r="I30" s="1291">
        <f t="shared" si="10"/>
        <v>0.06</v>
      </c>
      <c r="J30" s="1291">
        <f t="shared" si="11"/>
        <v>0.03</v>
      </c>
      <c r="K30" s="1290">
        <v>0</v>
      </c>
      <c r="L30" s="1291">
        <f t="shared" si="9"/>
        <v>-0.03</v>
      </c>
      <c r="M30" s="1291">
        <f t="shared" si="9"/>
        <v>-0.06</v>
      </c>
      <c r="N30" s="2247"/>
      <c r="O30" s="2247"/>
      <c r="P30" s="2247"/>
      <c r="Q30" s="2247"/>
      <c r="R30" s="2247"/>
      <c r="S30" s="2247"/>
      <c r="T30" s="2247"/>
    </row>
    <row r="31" spans="1:20" ht="14.25">
      <c r="A31" s="1306" t="s">
        <v>1694</v>
      </c>
      <c r="B31" s="2070"/>
      <c r="C31" s="1293" t="s">
        <v>100</v>
      </c>
      <c r="D31" s="1313">
        <f t="shared" si="8"/>
        <v>0.06</v>
      </c>
      <c r="E31" s="1314">
        <v>0.12</v>
      </c>
      <c r="F31" s="1326"/>
      <c r="G31" s="2252"/>
      <c r="H31" s="1594">
        <v>0.03</v>
      </c>
      <c r="I31" s="1291">
        <f t="shared" si="10"/>
        <v>0.06</v>
      </c>
      <c r="J31" s="1291">
        <f t="shared" si="11"/>
        <v>0.03</v>
      </c>
      <c r="K31" s="1290">
        <v>0</v>
      </c>
      <c r="L31" s="1291">
        <f t="shared" si="9"/>
        <v>-0.03</v>
      </c>
      <c r="M31" s="1291">
        <f t="shared" si="9"/>
        <v>-0.06</v>
      </c>
    </row>
    <row r="32" spans="1:20" ht="14.25">
      <c r="A32" s="1306" t="s">
        <v>1692</v>
      </c>
      <c r="B32" s="1295" t="s">
        <v>1772</v>
      </c>
      <c r="C32" s="1293" t="s">
        <v>101</v>
      </c>
      <c r="D32" s="1313">
        <f t="shared" si="8"/>
        <v>0.03</v>
      </c>
      <c r="E32" s="1314">
        <v>0.05</v>
      </c>
      <c r="F32" s="1326"/>
      <c r="G32" s="2252"/>
      <c r="H32" s="1594">
        <v>0.03</v>
      </c>
      <c r="I32" s="1291">
        <f t="shared" si="10"/>
        <v>0.06</v>
      </c>
      <c r="J32" s="1291">
        <f t="shared" si="11"/>
        <v>0.03</v>
      </c>
      <c r="K32" s="1290">
        <v>0</v>
      </c>
      <c r="L32" s="1291">
        <f t="shared" si="9"/>
        <v>-0.03</v>
      </c>
      <c r="M32" s="1291">
        <f t="shared" si="9"/>
        <v>-0.06</v>
      </c>
    </row>
    <row r="33" spans="1:13" ht="14.25">
      <c r="A33" s="1306" t="s">
        <v>1695</v>
      </c>
      <c r="B33" s="1312" t="str">
        <f>估价对象房地状况!C9</f>
        <v>海德公园</v>
      </c>
      <c r="C33" s="1293" t="s">
        <v>1687</v>
      </c>
      <c r="D33" s="1313">
        <f t="shared" si="8"/>
        <v>0.06</v>
      </c>
      <c r="E33" s="1314">
        <v>0.15</v>
      </c>
      <c r="F33" s="1326"/>
      <c r="G33" s="2252"/>
      <c r="H33" s="1594">
        <v>0.06</v>
      </c>
      <c r="I33" s="1291">
        <f t="shared" si="10"/>
        <v>0.12</v>
      </c>
      <c r="J33" s="1291">
        <f t="shared" si="11"/>
        <v>0.06</v>
      </c>
      <c r="K33" s="1290">
        <v>0</v>
      </c>
      <c r="L33" s="1291">
        <f t="shared" si="9"/>
        <v>-0.06</v>
      </c>
      <c r="M33" s="1291">
        <f t="shared" si="9"/>
        <v>-0.12</v>
      </c>
    </row>
    <row r="34" spans="1:13" ht="15" thickBot="1">
      <c r="A34" s="1321" t="s">
        <v>1699</v>
      </c>
      <c r="B34" s="1296" t="s">
        <v>1773</v>
      </c>
      <c r="C34" s="1293" t="s">
        <v>102</v>
      </c>
      <c r="D34" s="1313">
        <f t="shared" si="8"/>
        <v>0</v>
      </c>
      <c r="E34" s="1323">
        <v>0.04</v>
      </c>
      <c r="F34" s="1327"/>
      <c r="G34" s="2252"/>
      <c r="H34" s="1594">
        <v>0.03</v>
      </c>
      <c r="I34" s="1291">
        <f t="shared" si="10"/>
        <v>0.06</v>
      </c>
      <c r="J34" s="1291">
        <f t="shared" si="11"/>
        <v>0.03</v>
      </c>
      <c r="K34" s="1290">
        <v>0</v>
      </c>
      <c r="L34" s="1291">
        <f t="shared" si="9"/>
        <v>-0.03</v>
      </c>
      <c r="M34" s="1291">
        <f t="shared" si="9"/>
        <v>-0.06</v>
      </c>
    </row>
    <row r="35" spans="1:13" ht="15">
      <c r="A35" s="1300" t="s">
        <v>1109</v>
      </c>
      <c r="B35" s="1301">
        <f>1+F37</f>
        <v>1.0127999999999999</v>
      </c>
      <c r="C35" s="2251"/>
      <c r="D35" s="1303"/>
      <c r="E35" s="1303"/>
      <c r="F35" s="1304"/>
      <c r="G35" s="2249"/>
      <c r="H35" s="2245"/>
      <c r="I35" s="1299"/>
      <c r="J35" s="1299"/>
      <c r="K35" s="1299"/>
      <c r="L35" s="1299"/>
      <c r="M35" s="1299"/>
    </row>
    <row r="36" spans="1:13" ht="13.5">
      <c r="A36" s="1306" t="s">
        <v>1683</v>
      </c>
      <c r="B36" s="1307"/>
      <c r="C36" s="1308" t="s">
        <v>1685</v>
      </c>
      <c r="D36" s="1309" t="s">
        <v>1765</v>
      </c>
      <c r="E36" s="1309" t="s">
        <v>1766</v>
      </c>
      <c r="F36" s="1310" t="s">
        <v>1767</v>
      </c>
      <c r="G36" s="1311" t="s">
        <v>2172</v>
      </c>
      <c r="H36" s="1309" t="s">
        <v>1763</v>
      </c>
      <c r="I36" s="805" t="s">
        <v>437</v>
      </c>
      <c r="J36" s="805" t="s">
        <v>438</v>
      </c>
      <c r="K36" s="805" t="s">
        <v>439</v>
      </c>
      <c r="L36" s="805" t="s">
        <v>440</v>
      </c>
      <c r="M36" s="805" t="s">
        <v>441</v>
      </c>
    </row>
    <row r="37" spans="1:13" ht="24">
      <c r="A37" s="1306" t="s">
        <v>1700</v>
      </c>
      <c r="B37" s="1307" t="str">
        <f>估价对象房地状况!G3</f>
        <v>估价对象位于XX开发区，园区建设成熟度XX，产业集聚程度XX</v>
      </c>
      <c r="C37" s="1293" t="s">
        <v>1687</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1688</v>
      </c>
      <c r="B38" s="1307" t="str">
        <f>估价对象房地状况!G4</f>
        <v>估价对象周边道路状况、公共交通通达情况、停车便捷程度，综合评价交通便捷度较好</v>
      </c>
      <c r="C38" s="1293" t="s">
        <v>1687</v>
      </c>
      <c r="D38" s="1313">
        <f t="shared" si="12"/>
        <v>0.01</v>
      </c>
      <c r="E38" s="1314">
        <v>0.33</v>
      </c>
      <c r="F38" s="1326"/>
      <c r="G38" s="2252"/>
      <c r="H38" s="1594">
        <v>0.01</v>
      </c>
      <c r="I38" s="1291">
        <f t="shared" ref="I38:I44" si="14">J38+$H38</f>
        <v>0.02</v>
      </c>
      <c r="J38" s="1291">
        <f t="shared" ref="J38:J44" si="15">$K38+$H38</f>
        <v>0.01</v>
      </c>
      <c r="K38" s="1290">
        <v>0</v>
      </c>
      <c r="L38" s="1291">
        <f t="shared" si="13"/>
        <v>-0.01</v>
      </c>
      <c r="M38" s="1291">
        <f t="shared" si="13"/>
        <v>-0.02</v>
      </c>
    </row>
    <row r="39" spans="1:13" ht="14.25">
      <c r="A39" s="1306" t="s">
        <v>1689</v>
      </c>
      <c r="B39" s="1307">
        <f>估价对象房地状况!G17</f>
        <v>0</v>
      </c>
      <c r="C39" s="1293" t="s">
        <v>1687</v>
      </c>
      <c r="D39" s="1313">
        <f t="shared" si="12"/>
        <v>0.02</v>
      </c>
      <c r="E39" s="1314">
        <v>0.05</v>
      </c>
      <c r="F39" s="1326"/>
      <c r="G39" s="2252"/>
      <c r="H39" s="1594">
        <v>0.02</v>
      </c>
      <c r="I39" s="1291">
        <f t="shared" si="14"/>
        <v>0.04</v>
      </c>
      <c r="J39" s="1291">
        <f t="shared" si="15"/>
        <v>0.02</v>
      </c>
      <c r="K39" s="1290">
        <v>0</v>
      </c>
      <c r="L39" s="1291">
        <f t="shared" si="13"/>
        <v>-0.02</v>
      </c>
      <c r="M39" s="1291">
        <f t="shared" si="13"/>
        <v>-0.04</v>
      </c>
    </row>
    <row r="40" spans="1:13" ht="14.25">
      <c r="A40" s="1306" t="s">
        <v>1698</v>
      </c>
      <c r="B40" s="1307">
        <f>估价对象房地状况!G22</f>
        <v>0</v>
      </c>
      <c r="C40" s="1293" t="s">
        <v>1687</v>
      </c>
      <c r="D40" s="1313">
        <f t="shared" si="12"/>
        <v>0.01</v>
      </c>
      <c r="E40" s="1314">
        <v>0.04</v>
      </c>
      <c r="F40" s="1326"/>
      <c r="G40" s="2252"/>
      <c r="H40" s="1594">
        <v>0.01</v>
      </c>
      <c r="I40" s="1291">
        <f t="shared" si="14"/>
        <v>0.02</v>
      </c>
      <c r="J40" s="1291">
        <f t="shared" si="15"/>
        <v>0.01</v>
      </c>
      <c r="K40" s="1290">
        <v>0</v>
      </c>
      <c r="L40" s="1291">
        <f t="shared" si="13"/>
        <v>-0.01</v>
      </c>
      <c r="M40" s="1291">
        <f t="shared" si="13"/>
        <v>-0.02</v>
      </c>
    </row>
    <row r="41" spans="1:13" ht="14.25">
      <c r="A41" s="1306" t="s">
        <v>1693</v>
      </c>
      <c r="B41" s="2069" t="str">
        <f>估价对象房地状况!G19</f>
        <v>估价对象所在区域公共配套设施齐备情况</v>
      </c>
      <c r="C41" s="1293" t="s">
        <v>1687</v>
      </c>
      <c r="D41" s="1313">
        <f t="shared" si="12"/>
        <v>0.02</v>
      </c>
      <c r="E41" s="1314">
        <v>0.06</v>
      </c>
      <c r="F41" s="1326"/>
      <c r="G41" s="2252"/>
      <c r="H41" s="1594">
        <v>0.02</v>
      </c>
      <c r="I41" s="1291">
        <f t="shared" si="14"/>
        <v>0.04</v>
      </c>
      <c r="J41" s="1291">
        <f t="shared" si="15"/>
        <v>0.02</v>
      </c>
      <c r="K41" s="1290">
        <v>0</v>
      </c>
      <c r="L41" s="1291">
        <f t="shared" si="13"/>
        <v>-0.02</v>
      </c>
      <c r="M41" s="1291">
        <f t="shared" si="13"/>
        <v>-0.04</v>
      </c>
    </row>
    <row r="42" spans="1:13" ht="14.25">
      <c r="A42" s="1306" t="s">
        <v>1694</v>
      </c>
      <c r="B42" s="2070"/>
      <c r="C42" s="1293" t="s">
        <v>1687</v>
      </c>
      <c r="D42" s="1313">
        <f t="shared" si="12"/>
        <v>0.01</v>
      </c>
      <c r="E42" s="1314">
        <v>0.15</v>
      </c>
      <c r="F42" s="1326"/>
      <c r="G42" s="2252"/>
      <c r="H42" s="1594">
        <v>0.01</v>
      </c>
      <c r="I42" s="1291">
        <f t="shared" si="14"/>
        <v>0.02</v>
      </c>
      <c r="J42" s="1291">
        <f t="shared" si="15"/>
        <v>0.01</v>
      </c>
      <c r="K42" s="1290">
        <v>0</v>
      </c>
      <c r="L42" s="1291">
        <f t="shared" si="13"/>
        <v>-0.01</v>
      </c>
      <c r="M42" s="1291">
        <f t="shared" si="13"/>
        <v>-0.02</v>
      </c>
    </row>
    <row r="43" spans="1:13" ht="14.25">
      <c r="A43" s="1306" t="s">
        <v>1692</v>
      </c>
      <c r="B43" s="1295" t="s">
        <v>1772</v>
      </c>
      <c r="C43" s="1293" t="s">
        <v>113</v>
      </c>
      <c r="D43" s="1313">
        <f t="shared" si="12"/>
        <v>-0.02</v>
      </c>
      <c r="E43" s="1314">
        <v>0.05</v>
      </c>
      <c r="F43" s="1326"/>
      <c r="G43" s="2252"/>
      <c r="H43" s="1594">
        <v>0.02</v>
      </c>
      <c r="I43" s="1291">
        <f t="shared" si="14"/>
        <v>0.04</v>
      </c>
      <c r="J43" s="1291">
        <f t="shared" si="15"/>
        <v>0.02</v>
      </c>
      <c r="K43" s="1290">
        <v>0</v>
      </c>
      <c r="L43" s="1291">
        <f t="shared" si="13"/>
        <v>-0.02</v>
      </c>
      <c r="M43" s="1291">
        <f t="shared" si="13"/>
        <v>-0.04</v>
      </c>
    </row>
    <row r="44" spans="1:13" ht="24.75" thickBot="1">
      <c r="A44" s="1321" t="s">
        <v>1701</v>
      </c>
      <c r="B44" s="1328" t="str">
        <f>估价对象房地状况!G18</f>
        <v>该园区内是否有污染型企业，绿化情况，卫生条件，整体环境状况判断</v>
      </c>
      <c r="C44" s="1293" t="s">
        <v>100</v>
      </c>
      <c r="D44" s="1313">
        <f t="shared" si="12"/>
        <v>0.02</v>
      </c>
      <c r="E44" s="1323">
        <v>0.06</v>
      </c>
      <c r="F44" s="1327"/>
      <c r="G44" s="2252"/>
      <c r="H44" s="1594">
        <v>0.01</v>
      </c>
      <c r="I44" s="1291">
        <f t="shared" si="14"/>
        <v>0.02</v>
      </c>
      <c r="J44" s="1291">
        <f t="shared" si="15"/>
        <v>0.01</v>
      </c>
      <c r="K44" s="1290">
        <v>0</v>
      </c>
      <c r="L44" s="1291">
        <f t="shared" si="13"/>
        <v>-0.01</v>
      </c>
      <c r="M44" s="1291">
        <f t="shared" si="13"/>
        <v>-0.02</v>
      </c>
    </row>
    <row r="45" spans="1:13" s="2247" customFormat="1" ht="18" customHeight="1">
      <c r="B45" s="2253"/>
      <c r="C45" s="2121"/>
      <c r="D45" s="2254"/>
      <c r="E45" s="2254"/>
      <c r="F45" s="2255"/>
      <c r="H45" s="2255"/>
    </row>
    <row r="46" spans="1:13" s="2247" customFormat="1" ht="18" customHeight="1">
      <c r="B46" s="2253"/>
      <c r="C46" s="2121"/>
      <c r="D46" s="2254"/>
      <c r="E46" s="2254"/>
      <c r="F46" s="2255"/>
      <c r="H46" s="2255"/>
    </row>
    <row r="47" spans="1:13" s="2247" customFormat="1" ht="18" customHeight="1">
      <c r="B47" s="2253"/>
      <c r="C47" s="2121"/>
      <c r="D47" s="2254"/>
      <c r="E47" s="2254"/>
      <c r="F47" s="2255"/>
      <c r="H47" s="2255"/>
    </row>
    <row r="48" spans="1:13" s="2247" customFormat="1" ht="18" customHeight="1">
      <c r="B48" s="2253"/>
      <c r="C48" s="2121"/>
      <c r="D48" s="2254"/>
      <c r="E48" s="2254"/>
      <c r="F48" s="2255"/>
      <c r="H48" s="2255"/>
    </row>
    <row r="49" spans="2:8" s="2247" customFormat="1" ht="18" customHeight="1">
      <c r="B49" s="2253"/>
      <c r="C49" s="2121"/>
      <c r="D49" s="2254"/>
      <c r="E49" s="2254"/>
      <c r="F49" s="2255"/>
      <c r="H49" s="2255"/>
    </row>
    <row r="50" spans="2:8" s="2247" customFormat="1" ht="18" customHeight="1">
      <c r="B50" s="2253"/>
      <c r="C50" s="2121"/>
      <c r="D50" s="2254"/>
      <c r="E50" s="2254"/>
      <c r="F50" s="2255"/>
      <c r="H50" s="2255"/>
    </row>
    <row r="51" spans="2:8" s="2247" customFormat="1" ht="18" customHeight="1">
      <c r="B51" s="2253"/>
      <c r="C51" s="2121"/>
      <c r="D51" s="2254"/>
      <c r="E51" s="2254"/>
      <c r="F51" s="2255"/>
      <c r="H51" s="2255"/>
    </row>
    <row r="52" spans="2:8" s="2247" customFormat="1" ht="18" customHeight="1">
      <c r="B52" s="2253"/>
      <c r="C52" s="2121"/>
      <c r="D52" s="2254"/>
      <c r="E52" s="2254"/>
      <c r="F52" s="2255"/>
      <c r="H52" s="2255"/>
    </row>
    <row r="53" spans="2:8" s="2247" customFormat="1" ht="18" customHeight="1">
      <c r="B53" s="2253"/>
      <c r="C53" s="2121"/>
      <c r="D53" s="2254"/>
      <c r="E53" s="2254"/>
      <c r="F53" s="2255"/>
      <c r="H53" s="2255"/>
    </row>
    <row r="54" spans="2:8" s="2247" customFormat="1" ht="18" customHeight="1">
      <c r="B54" s="2253"/>
      <c r="C54" s="2121"/>
      <c r="D54" s="2254"/>
      <c r="E54" s="2254"/>
      <c r="F54" s="2255"/>
      <c r="H54" s="2255"/>
    </row>
    <row r="55" spans="2:8" s="2247" customFormat="1" ht="18" customHeight="1">
      <c r="B55" s="2253"/>
      <c r="C55" s="2121"/>
      <c r="D55" s="2254"/>
      <c r="E55" s="2254"/>
      <c r="F55" s="2255"/>
      <c r="H55" s="2255"/>
    </row>
    <row r="56" spans="2:8" s="2247" customFormat="1" ht="18" customHeight="1">
      <c r="B56" s="2253"/>
      <c r="C56" s="2121"/>
      <c r="D56" s="2254"/>
      <c r="E56" s="2254"/>
      <c r="F56" s="2255"/>
      <c r="H56" s="2255"/>
    </row>
    <row r="57" spans="2:8" s="2247" customFormat="1" ht="18" customHeight="1">
      <c r="B57" s="2253"/>
      <c r="C57" s="2121"/>
      <c r="D57" s="2254"/>
      <c r="E57" s="2254"/>
      <c r="F57" s="2255"/>
      <c r="H57" s="2255"/>
    </row>
    <row r="58" spans="2:8" s="2247" customFormat="1" ht="18" customHeight="1">
      <c r="B58" s="2253"/>
      <c r="C58" s="2121"/>
      <c r="D58" s="2254"/>
      <c r="E58" s="2254"/>
      <c r="F58" s="2255"/>
      <c r="H58" s="2255"/>
    </row>
    <row r="59" spans="2:8" s="2247" customFormat="1" ht="18" customHeight="1">
      <c r="B59" s="2253"/>
      <c r="C59" s="2121"/>
      <c r="D59" s="2254"/>
      <c r="E59" s="2254"/>
      <c r="F59" s="2255"/>
      <c r="H59" s="2255"/>
    </row>
    <row r="60" spans="2:8" s="2247" customFormat="1" ht="18" customHeight="1">
      <c r="B60" s="2253"/>
      <c r="C60" s="2121"/>
      <c r="D60" s="2254"/>
      <c r="E60" s="2254"/>
      <c r="F60" s="2255"/>
      <c r="H60" s="2255"/>
    </row>
    <row r="61" spans="2:8" s="2247" customFormat="1" ht="18" customHeight="1">
      <c r="B61" s="2253"/>
      <c r="C61" s="2121"/>
      <c r="D61" s="2254"/>
      <c r="E61" s="2254"/>
      <c r="F61" s="2255"/>
      <c r="H61" s="2255"/>
    </row>
    <row r="62" spans="2:8" s="2247" customFormat="1" ht="18" customHeight="1">
      <c r="B62" s="2253"/>
      <c r="C62" s="2121"/>
      <c r="D62" s="2254"/>
      <c r="E62" s="2254"/>
      <c r="F62" s="2255"/>
      <c r="H62" s="2255"/>
    </row>
    <row r="63" spans="2:8" s="2247" customFormat="1" ht="18" customHeight="1">
      <c r="B63" s="2253"/>
      <c r="C63" s="2121"/>
      <c r="D63" s="2254"/>
      <c r="E63" s="2254"/>
      <c r="F63" s="2255"/>
      <c r="H63" s="2255"/>
    </row>
    <row r="64" spans="2:8" s="2247" customFormat="1" ht="18" customHeight="1">
      <c r="B64" s="2253"/>
      <c r="C64" s="2121"/>
      <c r="D64" s="2254"/>
      <c r="E64" s="2254"/>
      <c r="F64" s="2255"/>
      <c r="H64" s="2255"/>
    </row>
    <row r="65" spans="2:8" s="2247" customFormat="1" ht="18" customHeight="1">
      <c r="B65" s="2253"/>
      <c r="C65" s="2121"/>
      <c r="D65" s="2254"/>
      <c r="E65" s="2254"/>
      <c r="F65" s="2255"/>
      <c r="H65" s="2255"/>
    </row>
    <row r="66" spans="2:8" s="2247" customFormat="1" ht="18" customHeight="1">
      <c r="B66" s="2253"/>
      <c r="C66" s="2121"/>
      <c r="D66" s="2254"/>
      <c r="E66" s="2254"/>
      <c r="F66" s="2255"/>
      <c r="H66" s="2255"/>
    </row>
    <row r="67" spans="2:8" s="2247" customFormat="1" ht="18" customHeight="1">
      <c r="B67" s="2253"/>
      <c r="C67" s="2121"/>
      <c r="D67" s="2254"/>
      <c r="E67" s="2254"/>
      <c r="F67" s="2255"/>
      <c r="H67" s="2255"/>
    </row>
    <row r="68" spans="2:8" s="2247" customFormat="1" ht="18" customHeight="1">
      <c r="B68" s="2253"/>
      <c r="C68" s="2121"/>
      <c r="D68" s="2254"/>
      <c r="E68" s="2254"/>
      <c r="F68" s="2255"/>
      <c r="H68" s="2255"/>
    </row>
    <row r="69" spans="2:8" s="2247" customFormat="1" ht="18" customHeight="1">
      <c r="B69" s="2253"/>
      <c r="C69" s="2121"/>
      <c r="D69" s="2254"/>
      <c r="E69" s="2254"/>
      <c r="F69" s="2255"/>
      <c r="H69" s="2255"/>
    </row>
    <row r="70" spans="2:8" s="2247" customFormat="1" ht="18" customHeight="1">
      <c r="B70" s="2253"/>
      <c r="C70" s="2121"/>
      <c r="D70" s="2254"/>
      <c r="E70" s="2254"/>
      <c r="F70" s="2255"/>
      <c r="H70" s="2255"/>
    </row>
    <row r="71" spans="2:8" s="2247" customFormat="1" ht="18" customHeight="1">
      <c r="B71" s="2253"/>
      <c r="C71" s="2121"/>
      <c r="D71" s="2254"/>
      <c r="E71" s="2254"/>
      <c r="F71" s="2255"/>
      <c r="H71" s="2255"/>
    </row>
    <row r="72" spans="2:8" s="2247" customFormat="1" ht="18" customHeight="1">
      <c r="B72" s="2253"/>
      <c r="C72" s="2121"/>
      <c r="D72" s="2254"/>
      <c r="E72" s="2254"/>
      <c r="F72" s="2255"/>
      <c r="H72" s="2255"/>
    </row>
    <row r="73" spans="2:8" s="2247" customFormat="1" ht="18" customHeight="1">
      <c r="B73" s="2253"/>
      <c r="C73" s="2121"/>
      <c r="D73" s="2254"/>
      <c r="E73" s="2254"/>
      <c r="F73" s="2255"/>
      <c r="H73" s="2255"/>
    </row>
    <row r="74" spans="2:8" s="2247" customFormat="1" ht="18" customHeight="1">
      <c r="B74" s="2253"/>
      <c r="C74" s="2121"/>
      <c r="D74" s="2254"/>
      <c r="E74" s="2254"/>
      <c r="F74" s="2255"/>
      <c r="H74" s="2255"/>
    </row>
    <row r="75" spans="2:8" s="2247" customFormat="1" ht="18" customHeight="1">
      <c r="B75" s="2253"/>
      <c r="C75" s="2121"/>
      <c r="D75" s="2254"/>
      <c r="E75" s="2254"/>
      <c r="F75" s="2255"/>
      <c r="H75" s="2255"/>
    </row>
    <row r="76" spans="2:8" s="2247" customFormat="1" ht="18" customHeight="1">
      <c r="B76" s="2253"/>
      <c r="C76" s="2121"/>
      <c r="D76" s="2254"/>
      <c r="E76" s="2254"/>
      <c r="F76" s="2255"/>
      <c r="H76" s="2255"/>
    </row>
    <row r="77" spans="2:8" s="2247" customFormat="1" ht="18" customHeight="1">
      <c r="B77" s="2253"/>
      <c r="C77" s="2121"/>
      <c r="D77" s="2254"/>
      <c r="E77" s="2254"/>
      <c r="F77" s="2255"/>
      <c r="H77" s="2255"/>
    </row>
    <row r="78" spans="2:8" s="2247" customFormat="1" ht="18" customHeight="1">
      <c r="B78" s="2253"/>
      <c r="C78" s="2121"/>
      <c r="D78" s="2254"/>
      <c r="E78" s="2254"/>
      <c r="F78" s="2255"/>
      <c r="H78" s="2255"/>
    </row>
    <row r="79" spans="2:8" s="2247" customFormat="1" ht="18" customHeight="1">
      <c r="B79" s="2253"/>
      <c r="C79" s="2121"/>
      <c r="D79" s="2254"/>
      <c r="E79" s="2254"/>
      <c r="F79" s="2255"/>
      <c r="H79" s="2255"/>
    </row>
    <row r="80" spans="2:8" s="2247" customFormat="1" ht="18" customHeight="1">
      <c r="B80" s="2253"/>
      <c r="C80" s="2121"/>
      <c r="D80" s="2254"/>
      <c r="E80" s="2254"/>
      <c r="F80" s="2255"/>
      <c r="H80" s="2255"/>
    </row>
    <row r="81" spans="2:8" s="2247" customFormat="1" ht="18" customHeight="1">
      <c r="B81" s="2253"/>
      <c r="C81" s="2121"/>
      <c r="D81" s="2254"/>
      <c r="E81" s="2254"/>
      <c r="F81" s="2255"/>
      <c r="H81" s="2255"/>
    </row>
    <row r="82" spans="2:8" s="2247" customFormat="1" ht="18" customHeight="1">
      <c r="B82" s="2253"/>
      <c r="C82" s="2121"/>
      <c r="D82" s="2254"/>
      <c r="E82" s="2254"/>
      <c r="F82" s="2255"/>
      <c r="H82" s="2255"/>
    </row>
    <row r="83" spans="2:8" s="2247" customFormat="1" ht="18" customHeight="1">
      <c r="B83" s="2253"/>
      <c r="C83" s="2121"/>
      <c r="D83" s="2254"/>
      <c r="E83" s="2254"/>
      <c r="F83" s="2255"/>
      <c r="H83" s="2255"/>
    </row>
    <row r="84" spans="2:8" s="2247" customFormat="1" ht="18" customHeight="1">
      <c r="B84" s="2253"/>
      <c r="C84" s="2121"/>
      <c r="D84" s="2254"/>
      <c r="E84" s="2254"/>
      <c r="F84" s="2255"/>
      <c r="H84" s="2255"/>
    </row>
    <row r="85" spans="2:8" s="2247" customFormat="1" ht="18" customHeight="1">
      <c r="B85" s="2253"/>
      <c r="C85" s="2121"/>
      <c r="D85" s="2254"/>
      <c r="E85" s="2254"/>
      <c r="F85" s="2255"/>
      <c r="H85" s="2255"/>
    </row>
    <row r="86" spans="2:8" s="2247" customFormat="1" ht="18" customHeight="1">
      <c r="B86" s="2253"/>
      <c r="C86" s="2121"/>
      <c r="D86" s="2254"/>
      <c r="E86" s="2254"/>
      <c r="F86" s="2255"/>
      <c r="H86" s="2255"/>
    </row>
    <row r="87" spans="2:8" s="2247" customFormat="1" ht="18" customHeight="1">
      <c r="B87" s="2253"/>
      <c r="C87" s="2121"/>
      <c r="D87" s="2254"/>
      <c r="E87" s="2254"/>
      <c r="F87" s="2255"/>
      <c r="H87" s="2255"/>
    </row>
    <row r="88" spans="2:8" s="2247" customFormat="1" ht="18" customHeight="1">
      <c r="B88" s="2253"/>
      <c r="C88" s="2121"/>
      <c r="D88" s="2254"/>
      <c r="E88" s="2254"/>
      <c r="F88" s="2255"/>
      <c r="H88" s="2255"/>
    </row>
    <row r="89" spans="2:8" s="2247" customFormat="1" ht="18" customHeight="1">
      <c r="B89" s="2253"/>
      <c r="C89" s="2121"/>
      <c r="D89" s="2254"/>
      <c r="E89" s="2254"/>
      <c r="F89" s="2255"/>
      <c r="H89" s="2255"/>
    </row>
    <row r="90" spans="2:8" s="2247" customFormat="1" ht="18" customHeight="1">
      <c r="B90" s="2253"/>
      <c r="C90" s="2121"/>
      <c r="D90" s="2254"/>
      <c r="E90" s="2254"/>
      <c r="F90" s="2255"/>
      <c r="H90" s="2255"/>
    </row>
    <row r="91" spans="2:8" s="2247" customFormat="1" ht="18" customHeight="1">
      <c r="B91" s="2253"/>
      <c r="C91" s="2121"/>
      <c r="D91" s="2254"/>
      <c r="E91" s="2254"/>
      <c r="F91" s="2255"/>
      <c r="H91" s="2255"/>
    </row>
    <row r="92" spans="2:8" s="2247" customFormat="1" ht="18" customHeight="1">
      <c r="B92" s="2253"/>
      <c r="C92" s="2121"/>
      <c r="D92" s="2254"/>
      <c r="E92" s="2254"/>
      <c r="F92" s="2255"/>
      <c r="H92" s="2255"/>
    </row>
    <row r="93" spans="2:8" s="2247" customFormat="1" ht="18" customHeight="1">
      <c r="B93" s="2253"/>
      <c r="C93" s="2121"/>
      <c r="D93" s="2254"/>
      <c r="E93" s="2254"/>
      <c r="F93" s="2255"/>
      <c r="H93" s="2255"/>
    </row>
    <row r="94" spans="2:8" s="2247" customFormat="1" ht="18" customHeight="1">
      <c r="B94" s="2253"/>
      <c r="C94" s="2121"/>
      <c r="D94" s="2254"/>
      <c r="E94" s="2254"/>
      <c r="F94" s="2255"/>
      <c r="H94" s="2255"/>
    </row>
    <row r="95" spans="2:8" s="2247" customFormat="1" ht="18" customHeight="1">
      <c r="B95" s="2253"/>
      <c r="C95" s="2121"/>
      <c r="D95" s="2254"/>
      <c r="E95" s="2254"/>
      <c r="F95" s="2255"/>
      <c r="H95" s="2255"/>
    </row>
    <row r="96" spans="2:8" s="2247" customFormat="1" ht="18" customHeight="1">
      <c r="B96" s="2253"/>
      <c r="C96" s="2121"/>
      <c r="D96" s="2254"/>
      <c r="E96" s="2254"/>
      <c r="F96" s="2255"/>
      <c r="H96" s="2255"/>
    </row>
    <row r="97" spans="2:8" s="2247" customFormat="1" ht="18" customHeight="1">
      <c r="B97" s="2253"/>
      <c r="C97" s="2121"/>
      <c r="D97" s="2254"/>
      <c r="E97" s="2254"/>
      <c r="F97" s="2255"/>
      <c r="H97" s="2255"/>
    </row>
    <row r="98" spans="2:8" s="2247" customFormat="1" ht="18" customHeight="1">
      <c r="B98" s="2253"/>
      <c r="C98" s="2121"/>
      <c r="D98" s="2254"/>
      <c r="E98" s="2254"/>
      <c r="F98" s="2255"/>
      <c r="H98" s="2255"/>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13" t="s">
        <v>1079</v>
      </c>
      <c r="B1" s="3613"/>
      <c r="C1" s="3613"/>
      <c r="D1" s="3613"/>
      <c r="E1" s="3613"/>
      <c r="F1" s="3613"/>
      <c r="H1" s="1331"/>
      <c r="I1" s="1332" t="s">
        <v>1080</v>
      </c>
      <c r="J1" s="1333" t="s">
        <v>1081</v>
      </c>
      <c r="K1" s="1333" t="s">
        <v>1082</v>
      </c>
      <c r="L1" s="1333" t="s">
        <v>1083</v>
      </c>
      <c r="M1" s="1333" t="s">
        <v>1084</v>
      </c>
      <c r="N1" s="1333" t="s">
        <v>1085</v>
      </c>
      <c r="O1" s="1333" t="s">
        <v>1086</v>
      </c>
      <c r="P1" s="1333" t="s">
        <v>1087</v>
      </c>
      <c r="Q1" s="1333" t="s">
        <v>1088</v>
      </c>
      <c r="R1" s="1333" t="s">
        <v>1089</v>
      </c>
      <c r="S1" s="1333" t="s">
        <v>1090</v>
      </c>
      <c r="T1" s="1334" t="s">
        <v>1091</v>
      </c>
    </row>
    <row r="2" spans="1:20" ht="14.25" thickBot="1">
      <c r="A2" s="3614" t="s">
        <v>1092</v>
      </c>
      <c r="B2" s="3614"/>
      <c r="C2" s="3614"/>
      <c r="D2" s="3614"/>
      <c r="E2" s="3614"/>
      <c r="F2" s="3614"/>
      <c r="I2" s="1335" t="s">
        <v>1093</v>
      </c>
      <c r="J2" s="1336" t="s">
        <v>1094</v>
      </c>
      <c r="K2" s="1336" t="s">
        <v>1095</v>
      </c>
      <c r="L2" s="1336" t="s">
        <v>1096</v>
      </c>
      <c r="M2" s="1336" t="s">
        <v>1097</v>
      </c>
      <c r="N2" s="1336" t="s">
        <v>1098</v>
      </c>
      <c r="O2" s="1336" t="s">
        <v>1099</v>
      </c>
      <c r="P2" s="1336" t="s">
        <v>1100</v>
      </c>
      <c r="Q2" s="1336" t="s">
        <v>1101</v>
      </c>
      <c r="R2" s="1336" t="s">
        <v>1102</v>
      </c>
      <c r="S2" s="1336" t="s">
        <v>1103</v>
      </c>
      <c r="T2" s="1336" t="s">
        <v>1104</v>
      </c>
    </row>
    <row r="3" spans="1:20" s="1331" customFormat="1" ht="19.5" customHeight="1">
      <c r="A3" s="3615" t="s">
        <v>1105</v>
      </c>
      <c r="B3" s="1337"/>
      <c r="C3" s="1338" t="s">
        <v>1106</v>
      </c>
      <c r="D3" s="1338" t="s">
        <v>1107</v>
      </c>
      <c r="E3" s="1338" t="s">
        <v>1758</v>
      </c>
      <c r="F3" s="1338" t="s">
        <v>1109</v>
      </c>
      <c r="G3" s="1339"/>
      <c r="I3" s="1335" t="s">
        <v>1110</v>
      </c>
      <c r="J3" s="1336" t="s">
        <v>1111</v>
      </c>
      <c r="K3" s="1336" t="s">
        <v>1112</v>
      </c>
      <c r="L3" s="1336" t="s">
        <v>1113</v>
      </c>
      <c r="M3" s="1336" t="s">
        <v>1114</v>
      </c>
      <c r="N3" s="1336" t="s">
        <v>1115</v>
      </c>
      <c r="O3" s="1336" t="s">
        <v>1116</v>
      </c>
      <c r="P3" s="1336" t="s">
        <v>1117</v>
      </c>
      <c r="Q3" s="1336" t="s">
        <v>1118</v>
      </c>
      <c r="R3" s="1336" t="s">
        <v>1119</v>
      </c>
      <c r="S3" s="1336" t="s">
        <v>1120</v>
      </c>
      <c r="T3" s="1336" t="s">
        <v>1121</v>
      </c>
    </row>
    <row r="4" spans="1:20" s="1331" customFormat="1" ht="19.5" customHeight="1" thickBot="1">
      <c r="A4" s="3616"/>
      <c r="B4" s="1340" t="s">
        <v>1122</v>
      </c>
      <c r="C4" s="1340" t="s">
        <v>1123</v>
      </c>
      <c r="D4" s="1340" t="s">
        <v>1123</v>
      </c>
      <c r="E4" s="1340" t="s">
        <v>1123</v>
      </c>
      <c r="F4" s="1341" t="s">
        <v>1123</v>
      </c>
      <c r="G4" s="1339"/>
      <c r="I4" s="1335" t="s">
        <v>1124</v>
      </c>
      <c r="J4" s="1336" t="s">
        <v>1045</v>
      </c>
      <c r="K4" s="1336" t="s">
        <v>1125</v>
      </c>
      <c r="L4" s="1336" t="s">
        <v>1126</v>
      </c>
      <c r="M4" s="1336" t="s">
        <v>1127</v>
      </c>
      <c r="N4" s="1336" t="s">
        <v>1128</v>
      </c>
      <c r="O4" s="1336" t="s">
        <v>1129</v>
      </c>
      <c r="P4" s="1336" t="s">
        <v>1130</v>
      </c>
      <c r="Q4" s="1336" t="s">
        <v>1131</v>
      </c>
      <c r="R4" s="1336" t="s">
        <v>1132</v>
      </c>
      <c r="S4" s="1336" t="s">
        <v>1133</v>
      </c>
      <c r="T4" s="1336" t="s">
        <v>1134</v>
      </c>
    </row>
    <row r="5" spans="1:20" ht="14.25" customHeight="1" thickBot="1">
      <c r="A5" s="1342" t="s">
        <v>1135</v>
      </c>
      <c r="B5" s="1343" t="s">
        <v>1093</v>
      </c>
      <c r="C5" s="1343">
        <v>29530</v>
      </c>
      <c r="D5" s="1343">
        <v>28130</v>
      </c>
      <c r="E5" s="1343">
        <v>27930</v>
      </c>
      <c r="F5" s="1344">
        <v>11300</v>
      </c>
      <c r="G5" s="1345" t="s">
        <v>1080</v>
      </c>
      <c r="H5" s="1346">
        <f>SUMPRODUCT((B5:B9=基准地价修正!I2)*(C3:F3=基准地价修正!E2)*(C5:F9))</f>
        <v>0</v>
      </c>
      <c r="I5" s="1335" t="s">
        <v>1136</v>
      </c>
      <c r="J5" s="1336" t="s">
        <v>1137</v>
      </c>
      <c r="K5" s="1336" t="s">
        <v>1138</v>
      </c>
      <c r="L5" s="1336" t="s">
        <v>1139</v>
      </c>
      <c r="M5" s="1336" t="s">
        <v>1140</v>
      </c>
      <c r="N5" s="1336" t="s">
        <v>1141</v>
      </c>
      <c r="O5" s="1336" t="s">
        <v>1142</v>
      </c>
      <c r="P5" s="1336" t="s">
        <v>1143</v>
      </c>
      <c r="Q5" s="1336" t="s">
        <v>1144</v>
      </c>
      <c r="R5" s="1336" t="s">
        <v>1145</v>
      </c>
      <c r="S5" s="1336" t="s">
        <v>1146</v>
      </c>
      <c r="T5" s="1336" t="s">
        <v>1147</v>
      </c>
    </row>
    <row r="6" spans="1:20" ht="14.25" customHeight="1" thickBot="1">
      <c r="A6" s="1342" t="s">
        <v>1135</v>
      </c>
      <c r="B6" s="1336" t="s">
        <v>1110</v>
      </c>
      <c r="C6" s="1336">
        <v>30290</v>
      </c>
      <c r="D6" s="1336">
        <v>29210</v>
      </c>
      <c r="E6" s="1336">
        <v>28860</v>
      </c>
      <c r="F6" s="1347">
        <v>12600</v>
      </c>
      <c r="G6" s="1348" t="s">
        <v>1081</v>
      </c>
      <c r="H6" s="1349">
        <f>SUMPRODUCT((B10:B28=基准地价修正!I2)*(C3:F3=基准地价修正!E2)*(C10:F28))</f>
        <v>0</v>
      </c>
      <c r="I6" s="1335" t="s">
        <v>1148</v>
      </c>
      <c r="J6" s="1336" t="s">
        <v>1149</v>
      </c>
      <c r="K6" s="1336" t="s">
        <v>1150</v>
      </c>
      <c r="L6" s="1336" t="s">
        <v>1151</v>
      </c>
      <c r="M6" s="1336" t="s">
        <v>1152</v>
      </c>
      <c r="N6" s="1336" t="s">
        <v>1153</v>
      </c>
      <c r="O6" s="1336" t="s">
        <v>1154</v>
      </c>
      <c r="P6" s="1336" t="s">
        <v>1155</v>
      </c>
      <c r="Q6" s="1336" t="s">
        <v>1156</v>
      </c>
      <c r="R6" s="1336" t="s">
        <v>1157</v>
      </c>
      <c r="S6" s="1336" t="s">
        <v>1158</v>
      </c>
      <c r="T6" s="1336" t="s">
        <v>1159</v>
      </c>
    </row>
    <row r="7" spans="1:20" ht="14.25" customHeight="1" thickBot="1">
      <c r="A7" s="1342" t="s">
        <v>1135</v>
      </c>
      <c r="B7" s="1350" t="s">
        <v>1124</v>
      </c>
      <c r="C7" s="1336">
        <v>29350</v>
      </c>
      <c r="D7" s="1336">
        <v>28410</v>
      </c>
      <c r="E7" s="1336">
        <v>27990</v>
      </c>
      <c r="F7" s="1347">
        <v>12300</v>
      </c>
      <c r="G7" s="1348" t="s">
        <v>1160</v>
      </c>
      <c r="H7" s="1349">
        <f>SUMPRODUCT((B29:B48=基准地价修正!I2)*(C3:F3=基准地价修正!E2)*(C29:F48))</f>
        <v>0</v>
      </c>
      <c r="J7" s="1336" t="s">
        <v>1161</v>
      </c>
      <c r="K7" s="1336" t="s">
        <v>1162</v>
      </c>
      <c r="L7" s="1336" t="s">
        <v>1163</v>
      </c>
      <c r="M7" s="1336" t="s">
        <v>1164</v>
      </c>
      <c r="N7" s="1336" t="s">
        <v>1165</v>
      </c>
      <c r="O7" s="1336" t="s">
        <v>1166</v>
      </c>
      <c r="P7" s="1336" t="s">
        <v>1167</v>
      </c>
      <c r="Q7" s="1336" t="s">
        <v>1168</v>
      </c>
      <c r="R7" s="1336" t="s">
        <v>1169</v>
      </c>
      <c r="S7" s="1336" t="s">
        <v>1170</v>
      </c>
      <c r="T7" s="1350" t="s">
        <v>1171</v>
      </c>
    </row>
    <row r="8" spans="1:20" ht="14.25" customHeight="1" thickBot="1">
      <c r="A8" s="1342" t="s">
        <v>1135</v>
      </c>
      <c r="B8" s="1336" t="s">
        <v>1136</v>
      </c>
      <c r="C8" s="1336">
        <v>30890</v>
      </c>
      <c r="D8" s="1336">
        <v>29780</v>
      </c>
      <c r="E8" s="1336">
        <v>29270</v>
      </c>
      <c r="F8" s="1347">
        <v>11600</v>
      </c>
      <c r="G8" s="1348" t="s">
        <v>1172</v>
      </c>
      <c r="H8" s="1349">
        <f>SUMPRODUCT((B49:B75=基准地价修正!I2)*(C3:F3=基准地价修正!E2)*(C49:F75))</f>
        <v>0</v>
      </c>
      <c r="J8" s="1336" t="s">
        <v>1173</v>
      </c>
      <c r="K8" s="1336" t="s">
        <v>1174</v>
      </c>
      <c r="L8" s="1336" t="s">
        <v>1175</v>
      </c>
      <c r="M8" s="1336" t="s">
        <v>1176</v>
      </c>
      <c r="N8" s="1336" t="s">
        <v>1177</v>
      </c>
      <c r="O8" s="1336" t="s">
        <v>1178</v>
      </c>
      <c r="P8" s="1336" t="s">
        <v>1179</v>
      </c>
      <c r="Q8" s="1336" t="s">
        <v>1180</v>
      </c>
      <c r="R8" s="1336" t="s">
        <v>1181</v>
      </c>
      <c r="S8" s="1336" t="s">
        <v>1182</v>
      </c>
      <c r="T8" s="1336" t="s">
        <v>1183</v>
      </c>
    </row>
    <row r="9" spans="1:20" ht="14.25" customHeight="1" thickBot="1">
      <c r="A9" s="1342" t="s">
        <v>1135</v>
      </c>
      <c r="B9" s="1351" t="s">
        <v>1148</v>
      </c>
      <c r="C9" s="1352">
        <v>28140</v>
      </c>
      <c r="D9" s="1352"/>
      <c r="E9" s="1352"/>
      <c r="F9" s="1353"/>
      <c r="G9" s="1348" t="s">
        <v>1184</v>
      </c>
      <c r="H9" s="1349">
        <f>SUMPRODUCT((B76:B109=基准地价修正!I2)*(C3:F3=基准地价修正!E2)*(C76:F109))</f>
        <v>0</v>
      </c>
      <c r="J9" s="1336" t="s">
        <v>1185</v>
      </c>
      <c r="K9" s="1336" t="s">
        <v>1186</v>
      </c>
      <c r="L9" s="1336" t="s">
        <v>1187</v>
      </c>
      <c r="M9" s="1336" t="s">
        <v>1188</v>
      </c>
      <c r="N9" s="1336" t="s">
        <v>1189</v>
      </c>
      <c r="O9" s="1336" t="s">
        <v>1190</v>
      </c>
      <c r="P9" s="1336" t="s">
        <v>1191</v>
      </c>
      <c r="Q9" s="1336" t="s">
        <v>1192</v>
      </c>
      <c r="R9" s="1336" t="s">
        <v>1193</v>
      </c>
      <c r="S9" s="1336" t="s">
        <v>1194</v>
      </c>
    </row>
    <row r="10" spans="1:20" ht="14.25" customHeight="1" thickBot="1">
      <c r="A10" s="1342" t="s">
        <v>1195</v>
      </c>
      <c r="B10" s="1343" t="s">
        <v>1196</v>
      </c>
      <c r="C10" s="1343">
        <v>27450</v>
      </c>
      <c r="D10" s="1343">
        <v>26180</v>
      </c>
      <c r="E10" s="1343">
        <v>25980</v>
      </c>
      <c r="F10" s="1344">
        <v>8910</v>
      </c>
      <c r="G10" s="1348" t="s">
        <v>1197</v>
      </c>
      <c r="H10" s="1349">
        <f>SUMPRODUCT((B110:B157=基准地价修正!I2)*(C3:F3=基准地价修正!E2)*(C110:F157))</f>
        <v>0</v>
      </c>
      <c r="J10" s="1336" t="s">
        <v>1198</v>
      </c>
      <c r="K10" s="1336" t="s">
        <v>1199</v>
      </c>
      <c r="L10" s="1336" t="s">
        <v>1200</v>
      </c>
      <c r="M10" s="1336" t="s">
        <v>1201</v>
      </c>
      <c r="N10" s="1336" t="s">
        <v>1202</v>
      </c>
      <c r="O10" s="1336" t="s">
        <v>1203</v>
      </c>
      <c r="P10" s="1336" t="s">
        <v>1204</v>
      </c>
      <c r="Q10" s="1336" t="s">
        <v>1205</v>
      </c>
      <c r="R10" s="1336" t="s">
        <v>1206</v>
      </c>
      <c r="S10" s="1336" t="s">
        <v>1207</v>
      </c>
    </row>
    <row r="11" spans="1:20" ht="14.25" customHeight="1" thickBot="1">
      <c r="A11" s="1342" t="s">
        <v>1195</v>
      </c>
      <c r="B11" s="1350" t="s">
        <v>1111</v>
      </c>
      <c r="C11" s="1336">
        <v>22950</v>
      </c>
      <c r="D11" s="1336">
        <v>22630</v>
      </c>
      <c r="E11" s="1336">
        <v>22030</v>
      </c>
      <c r="F11" s="1354">
        <v>8330</v>
      </c>
      <c r="G11" s="1348" t="s">
        <v>1208</v>
      </c>
      <c r="H11" s="1349">
        <f>SUMPRODUCT((B158:B205=基准地价修正!I2)*(C3:F3=基准地价修正!E2)*(C158:F205))</f>
        <v>0</v>
      </c>
      <c r="J11" s="1336" t="s">
        <v>1209</v>
      </c>
      <c r="K11" s="1336" t="s">
        <v>1210</v>
      </c>
      <c r="L11" s="1336" t="s">
        <v>1211</v>
      </c>
      <c r="M11" s="1336" t="s">
        <v>1212</v>
      </c>
      <c r="N11" s="1336" t="s">
        <v>1213</v>
      </c>
      <c r="O11" s="1336" t="s">
        <v>1214</v>
      </c>
      <c r="P11" s="1336" t="s">
        <v>1215</v>
      </c>
      <c r="Q11" s="1336" t="s">
        <v>1216</v>
      </c>
      <c r="R11" s="1336" t="s">
        <v>1217</v>
      </c>
      <c r="S11" s="1336" t="s">
        <v>1218</v>
      </c>
    </row>
    <row r="12" spans="1:20" ht="14.25" customHeight="1" thickBot="1">
      <c r="A12" s="1342" t="s">
        <v>1195</v>
      </c>
      <c r="B12" s="1350" t="s">
        <v>1045</v>
      </c>
      <c r="C12" s="1336">
        <v>24940</v>
      </c>
      <c r="D12" s="1336">
        <v>23180</v>
      </c>
      <c r="E12" s="1336">
        <v>22910</v>
      </c>
      <c r="F12" s="1354">
        <v>7180</v>
      </c>
      <c r="G12" s="1348" t="s">
        <v>1219</v>
      </c>
      <c r="H12" s="1349">
        <f>SUMPRODUCT((B206:B244=基准地价修正!I2)*(C3:F3=基准地价修正!E2)*(C206:F244))</f>
        <v>0</v>
      </c>
      <c r="J12" s="1336" t="s">
        <v>1220</v>
      </c>
      <c r="K12" s="1336" t="s">
        <v>1221</v>
      </c>
      <c r="L12" s="1336" t="s">
        <v>1222</v>
      </c>
      <c r="M12" s="1336" t="s">
        <v>1223</v>
      </c>
      <c r="N12" s="1336" t="s">
        <v>1224</v>
      </c>
      <c r="O12" s="1336" t="s">
        <v>1225</v>
      </c>
      <c r="P12" s="1336" t="s">
        <v>1226</v>
      </c>
      <c r="Q12" s="1336" t="s">
        <v>1227</v>
      </c>
      <c r="R12" s="1336" t="s">
        <v>1228</v>
      </c>
      <c r="S12" s="1336" t="s">
        <v>1229</v>
      </c>
    </row>
    <row r="13" spans="1:20" ht="14.25" customHeight="1" thickBot="1">
      <c r="A13" s="1342" t="s">
        <v>1195</v>
      </c>
      <c r="B13" s="1350" t="s">
        <v>1137</v>
      </c>
      <c r="C13" s="1336">
        <v>24140</v>
      </c>
      <c r="D13" s="1336">
        <v>22270</v>
      </c>
      <c r="E13" s="1336">
        <v>21950</v>
      </c>
      <c r="F13" s="1354">
        <v>7600</v>
      </c>
      <c r="G13" s="1348" t="s">
        <v>1230</v>
      </c>
      <c r="H13" s="1349">
        <f>SUMPRODUCT((B245:B289=基准地价修正!I2)*(C3:F3=基准地价修正!E2)*(C245:F289))</f>
        <v>0</v>
      </c>
      <c r="J13" s="1336" t="s">
        <v>1231</v>
      </c>
      <c r="K13" s="1336" t="s">
        <v>1232</v>
      </c>
      <c r="L13" s="1336" t="s">
        <v>1233</v>
      </c>
      <c r="M13" s="1336" t="s">
        <v>1234</v>
      </c>
      <c r="N13" s="1336" t="s">
        <v>1235</v>
      </c>
      <c r="O13" s="1336" t="s">
        <v>1236</v>
      </c>
      <c r="P13" s="1336" t="s">
        <v>1237</v>
      </c>
      <c r="Q13" s="1336" t="s">
        <v>1238</v>
      </c>
      <c r="R13" s="1336" t="s">
        <v>1239</v>
      </c>
      <c r="S13" s="1336" t="s">
        <v>1240</v>
      </c>
    </row>
    <row r="14" spans="1:20" ht="14.25" customHeight="1" thickBot="1">
      <c r="A14" s="1342" t="s">
        <v>1195</v>
      </c>
      <c r="B14" s="1350" t="s">
        <v>1149</v>
      </c>
      <c r="C14" s="1336">
        <v>25600</v>
      </c>
      <c r="D14" s="1336">
        <v>22260</v>
      </c>
      <c r="E14" s="1336">
        <v>22110</v>
      </c>
      <c r="F14" s="1354">
        <v>7630</v>
      </c>
      <c r="G14" s="1348" t="s">
        <v>1241</v>
      </c>
      <c r="H14" s="1349">
        <f>SUMPRODUCT((B290:B316=基准地价修正!I2)*(C3:F3=基准地价修正!E2)*(C290:F316))</f>
        <v>0</v>
      </c>
      <c r="J14" s="1336" t="s">
        <v>1242</v>
      </c>
      <c r="K14" s="1336" t="s">
        <v>1243</v>
      </c>
      <c r="L14" s="1336" t="s">
        <v>1244</v>
      </c>
      <c r="M14" s="1336" t="s">
        <v>1245</v>
      </c>
      <c r="N14" s="1336" t="s">
        <v>1246</v>
      </c>
      <c r="O14" s="1336" t="s">
        <v>1247</v>
      </c>
      <c r="P14" s="1336" t="s">
        <v>1248</v>
      </c>
      <c r="Q14" s="1336" t="s">
        <v>1249</v>
      </c>
      <c r="R14" s="1336" t="s">
        <v>1250</v>
      </c>
      <c r="S14" s="1336" t="s">
        <v>1251</v>
      </c>
    </row>
    <row r="15" spans="1:20" ht="14.25" customHeight="1" thickBot="1">
      <c r="A15" s="1342" t="s">
        <v>1195</v>
      </c>
      <c r="B15" s="1350" t="s">
        <v>1161</v>
      </c>
      <c r="C15" s="1336">
        <v>24760</v>
      </c>
      <c r="D15" s="1336">
        <v>24440</v>
      </c>
      <c r="E15" s="1336">
        <v>24130</v>
      </c>
      <c r="F15" s="1354">
        <v>9480</v>
      </c>
      <c r="G15" s="1348" t="s">
        <v>1252</v>
      </c>
      <c r="H15" s="1349">
        <f>SUMPRODUCT((B317:B337=基准地价修正!I2)*(C3:F3=基准地价修正!E2)*(C317:F337))</f>
        <v>0</v>
      </c>
      <c r="J15" s="1336" t="s">
        <v>1253</v>
      </c>
      <c r="K15" s="1336" t="s">
        <v>1254</v>
      </c>
      <c r="L15" s="1336" t="s">
        <v>1255</v>
      </c>
      <c r="M15" s="1336" t="s">
        <v>1256</v>
      </c>
      <c r="N15" s="1336" t="s">
        <v>1257</v>
      </c>
      <c r="O15" s="1336" t="s">
        <v>1258</v>
      </c>
      <c r="P15" s="1336" t="s">
        <v>1259</v>
      </c>
      <c r="Q15" s="1336" t="s">
        <v>1260</v>
      </c>
      <c r="R15" s="1336" t="s">
        <v>1261</v>
      </c>
      <c r="S15" s="1336" t="s">
        <v>1262</v>
      </c>
    </row>
    <row r="16" spans="1:20" ht="14.25" customHeight="1" thickBot="1">
      <c r="A16" s="1342" t="s">
        <v>1195</v>
      </c>
      <c r="B16" s="1350" t="s">
        <v>1173</v>
      </c>
      <c r="C16" s="1336">
        <v>22220</v>
      </c>
      <c r="D16" s="1336">
        <v>22310</v>
      </c>
      <c r="E16" s="1336">
        <v>22000</v>
      </c>
      <c r="F16" s="1354">
        <v>8900</v>
      </c>
      <c r="G16" s="1355" t="s">
        <v>1263</v>
      </c>
      <c r="H16" s="1356">
        <f>SUMPRODUCT((B338:B344=基准地价修正!I2)*(C3:F3=基准地价修正!E2)*(C338:F344))</f>
        <v>0</v>
      </c>
      <c r="J16" s="1336" t="s">
        <v>1264</v>
      </c>
      <c r="K16" s="1336" t="s">
        <v>1265</v>
      </c>
      <c r="L16" s="1336" t="s">
        <v>1266</v>
      </c>
      <c r="M16" s="1336" t="s">
        <v>1267</v>
      </c>
      <c r="N16" s="1336" t="s">
        <v>1268</v>
      </c>
      <c r="O16" s="1336" t="s">
        <v>1269</v>
      </c>
      <c r="P16" s="1336" t="s">
        <v>1270</v>
      </c>
      <c r="Q16" s="1336" t="s">
        <v>1271</v>
      </c>
      <c r="R16" s="1336" t="s">
        <v>1272</v>
      </c>
      <c r="S16" s="1336" t="s">
        <v>1273</v>
      </c>
    </row>
    <row r="17" spans="1:19" ht="14.25" customHeight="1" thickBot="1">
      <c r="A17" s="1342" t="s">
        <v>1195</v>
      </c>
      <c r="B17" s="1350" t="s">
        <v>1185</v>
      </c>
      <c r="C17" s="1336">
        <v>24700</v>
      </c>
      <c r="D17" s="1336">
        <v>25150</v>
      </c>
      <c r="E17" s="1336">
        <v>24700</v>
      </c>
      <c r="F17" s="1357"/>
      <c r="H17" s="1358"/>
      <c r="J17" s="1336" t="s">
        <v>1274</v>
      </c>
      <c r="K17" s="1336" t="s">
        <v>1275</v>
      </c>
      <c r="L17" s="1336" t="s">
        <v>1276</v>
      </c>
      <c r="M17" s="1336" t="s">
        <v>1277</v>
      </c>
      <c r="N17" s="1336" t="s">
        <v>1278</v>
      </c>
      <c r="O17" s="1336" t="s">
        <v>1279</v>
      </c>
      <c r="P17" s="1336" t="s">
        <v>1280</v>
      </c>
      <c r="Q17" s="1336" t="s">
        <v>1281</v>
      </c>
      <c r="R17" s="1336" t="s">
        <v>1282</v>
      </c>
      <c r="S17" s="1336" t="s">
        <v>1283</v>
      </c>
    </row>
    <row r="18" spans="1:19" ht="14.25" customHeight="1" thickBot="1">
      <c r="A18" s="1342" t="s">
        <v>1195</v>
      </c>
      <c r="B18" s="1350" t="s">
        <v>1198</v>
      </c>
      <c r="C18" s="1336">
        <v>22350</v>
      </c>
      <c r="D18" s="1336">
        <v>24340</v>
      </c>
      <c r="E18" s="1336">
        <v>24100</v>
      </c>
      <c r="F18" s="1357"/>
      <c r="H18" s="1358"/>
      <c r="J18" s="1336" t="s">
        <v>1284</v>
      </c>
      <c r="K18" s="1336" t="s">
        <v>1285</v>
      </c>
      <c r="L18" s="1336" t="s">
        <v>1286</v>
      </c>
      <c r="M18" s="1336" t="s">
        <v>1287</v>
      </c>
      <c r="N18" s="1336" t="s">
        <v>1288</v>
      </c>
      <c r="O18" s="1336" t="s">
        <v>1289</v>
      </c>
      <c r="P18" s="1336" t="s">
        <v>1290</v>
      </c>
      <c r="Q18" s="1336" t="s">
        <v>1291</v>
      </c>
      <c r="R18" s="1336" t="s">
        <v>1292</v>
      </c>
      <c r="S18" s="1336" t="s">
        <v>1293</v>
      </c>
    </row>
    <row r="19" spans="1:19" ht="14.25" customHeight="1" thickBot="1">
      <c r="A19" s="1342" t="s">
        <v>1195</v>
      </c>
      <c r="B19" s="1350" t="s">
        <v>1209</v>
      </c>
      <c r="C19" s="1336">
        <v>23430</v>
      </c>
      <c r="D19" s="1336">
        <v>21580</v>
      </c>
      <c r="E19" s="1336">
        <v>21350</v>
      </c>
      <c r="F19" s="1357"/>
      <c r="H19" s="1358"/>
      <c r="J19" s="1336" t="s">
        <v>1294</v>
      </c>
      <c r="K19" s="1336" t="s">
        <v>1295</v>
      </c>
      <c r="L19" s="1336" t="s">
        <v>1296</v>
      </c>
      <c r="M19" s="1336" t="s">
        <v>1297</v>
      </c>
      <c r="N19" s="1336" t="s">
        <v>1298</v>
      </c>
      <c r="O19" s="1336" t="s">
        <v>1299</v>
      </c>
      <c r="P19" s="1336" t="s">
        <v>1300</v>
      </c>
      <c r="Q19" s="1336" t="s">
        <v>1301</v>
      </c>
      <c r="R19" s="1336" t="s">
        <v>1302</v>
      </c>
      <c r="S19" s="1336" t="s">
        <v>1303</v>
      </c>
    </row>
    <row r="20" spans="1:19" ht="14.25" customHeight="1" thickBot="1">
      <c r="A20" s="1342" t="s">
        <v>1195</v>
      </c>
      <c r="B20" s="1350" t="s">
        <v>1220</v>
      </c>
      <c r="C20" s="1336">
        <v>27660</v>
      </c>
      <c r="D20" s="1336">
        <v>24240</v>
      </c>
      <c r="E20" s="1336">
        <v>24020</v>
      </c>
      <c r="F20" s="1357"/>
      <c r="J20" s="1336" t="s">
        <v>1304</v>
      </c>
      <c r="K20" s="1336" t="s">
        <v>1305</v>
      </c>
      <c r="L20" s="1336" t="s">
        <v>1306</v>
      </c>
      <c r="M20" s="1336" t="s">
        <v>1307</v>
      </c>
      <c r="N20" s="1336" t="s">
        <v>1308</v>
      </c>
      <c r="O20" s="1336" t="s">
        <v>1309</v>
      </c>
      <c r="P20" s="1336" t="s">
        <v>1310</v>
      </c>
      <c r="Q20" s="1336" t="s">
        <v>1311</v>
      </c>
      <c r="R20" s="1336" t="s">
        <v>1312</v>
      </c>
      <c r="S20" s="1336" t="s">
        <v>1313</v>
      </c>
    </row>
    <row r="21" spans="1:19" ht="14.25" customHeight="1" thickBot="1">
      <c r="A21" s="1342" t="s">
        <v>1195</v>
      </c>
      <c r="B21" s="1350" t="s">
        <v>1231</v>
      </c>
      <c r="C21" s="1336">
        <v>24720</v>
      </c>
      <c r="D21" s="1336">
        <v>21670</v>
      </c>
      <c r="E21" s="1336">
        <v>21510</v>
      </c>
      <c r="F21" s="1357"/>
      <c r="K21" s="1336" t="s">
        <v>1314</v>
      </c>
      <c r="L21" s="1336" t="s">
        <v>1315</v>
      </c>
      <c r="M21" s="1336" t="s">
        <v>1316</v>
      </c>
      <c r="N21" s="1336" t="s">
        <v>1317</v>
      </c>
      <c r="O21" s="1336" t="s">
        <v>1318</v>
      </c>
      <c r="P21" s="1336" t="s">
        <v>1319</v>
      </c>
      <c r="Q21" s="1336" t="s">
        <v>1320</v>
      </c>
      <c r="R21" s="1336" t="s">
        <v>1321</v>
      </c>
      <c r="S21" s="1336" t="s">
        <v>1322</v>
      </c>
    </row>
    <row r="22" spans="1:19" ht="14.25" customHeight="1" thickBot="1">
      <c r="A22" s="1342" t="s">
        <v>1195</v>
      </c>
      <c r="B22" s="1350" t="s">
        <v>1323</v>
      </c>
      <c r="C22" s="1336">
        <v>26530</v>
      </c>
      <c r="D22" s="1336">
        <v>22980</v>
      </c>
      <c r="E22" s="1336">
        <v>22650</v>
      </c>
      <c r="F22" s="1357"/>
      <c r="L22" s="1336" t="s">
        <v>1324</v>
      </c>
      <c r="M22" s="1336" t="s">
        <v>1325</v>
      </c>
      <c r="N22" s="1336" t="s">
        <v>1326</v>
      </c>
      <c r="O22" s="1336" t="s">
        <v>1327</v>
      </c>
      <c r="P22" s="1336" t="s">
        <v>1328</v>
      </c>
      <c r="Q22" s="1336" t="s">
        <v>1329</v>
      </c>
      <c r="R22" s="1336" t="s">
        <v>1330</v>
      </c>
      <c r="S22" s="1350" t="s">
        <v>1331</v>
      </c>
    </row>
    <row r="23" spans="1:19" ht="14.25" customHeight="1" thickBot="1">
      <c r="A23" s="1342" t="s">
        <v>1195</v>
      </c>
      <c r="B23" s="1350" t="s">
        <v>1253</v>
      </c>
      <c r="C23" s="1336">
        <v>24700</v>
      </c>
      <c r="D23" s="1336">
        <v>27290</v>
      </c>
      <c r="E23" s="1336">
        <v>26710</v>
      </c>
      <c r="F23" s="1357"/>
      <c r="L23" s="1336" t="s">
        <v>1332</v>
      </c>
      <c r="M23" s="1336" t="s">
        <v>1333</v>
      </c>
      <c r="N23" s="1336" t="s">
        <v>1334</v>
      </c>
      <c r="O23" s="1336" t="s">
        <v>1335</v>
      </c>
      <c r="P23" s="1336" t="s">
        <v>1336</v>
      </c>
      <c r="Q23" s="1336" t="s">
        <v>1337</v>
      </c>
      <c r="R23" s="1336" t="s">
        <v>1338</v>
      </c>
    </row>
    <row r="24" spans="1:19" ht="14.25" customHeight="1" thickBot="1">
      <c r="A24" s="1342" t="s">
        <v>1195</v>
      </c>
      <c r="B24" s="1350" t="s">
        <v>1264</v>
      </c>
      <c r="C24" s="1336">
        <v>23070</v>
      </c>
      <c r="D24" s="1336">
        <v>24130</v>
      </c>
      <c r="E24" s="1336">
        <v>23860</v>
      </c>
      <c r="F24" s="1357"/>
      <c r="L24" s="1336" t="s">
        <v>1339</v>
      </c>
      <c r="M24" s="1336" t="s">
        <v>1340</v>
      </c>
      <c r="N24" s="1336" t="s">
        <v>1341</v>
      </c>
      <c r="O24" s="1336" t="s">
        <v>1342</v>
      </c>
      <c r="P24" s="1336" t="s">
        <v>1343</v>
      </c>
      <c r="Q24" s="1336" t="s">
        <v>1344</v>
      </c>
      <c r="R24" s="1336" t="s">
        <v>1345</v>
      </c>
    </row>
    <row r="25" spans="1:19" ht="14.25" customHeight="1" thickBot="1">
      <c r="A25" s="1342" t="s">
        <v>1195</v>
      </c>
      <c r="B25" s="1350" t="s">
        <v>1274</v>
      </c>
      <c r="C25" s="1336">
        <v>27550</v>
      </c>
      <c r="D25" s="1336">
        <v>25850</v>
      </c>
      <c r="E25" s="1336">
        <v>25340</v>
      </c>
      <c r="F25" s="1357"/>
      <c r="L25" s="1336" t="s">
        <v>1346</v>
      </c>
      <c r="M25" s="1336" t="s">
        <v>1347</v>
      </c>
      <c r="N25" s="1336" t="s">
        <v>1348</v>
      </c>
      <c r="O25" s="1336" t="s">
        <v>1349</v>
      </c>
      <c r="P25" s="1336" t="s">
        <v>1350</v>
      </c>
      <c r="Q25" s="1336" t="s">
        <v>1351</v>
      </c>
      <c r="R25" s="1336" t="s">
        <v>1352</v>
      </c>
    </row>
    <row r="26" spans="1:19" ht="14.25" customHeight="1" thickBot="1">
      <c r="A26" s="1342" t="s">
        <v>1195</v>
      </c>
      <c r="B26" s="1350" t="s">
        <v>1284</v>
      </c>
      <c r="C26" s="1336"/>
      <c r="D26" s="1336">
        <v>23900</v>
      </c>
      <c r="E26" s="1336">
        <v>23590</v>
      </c>
      <c r="F26" s="1357"/>
      <c r="L26" s="1336" t="s">
        <v>1353</v>
      </c>
      <c r="M26" s="1336" t="s">
        <v>1354</v>
      </c>
      <c r="N26" s="1336" t="s">
        <v>1355</v>
      </c>
      <c r="O26" s="1336" t="s">
        <v>1356</v>
      </c>
      <c r="P26" s="1336" t="s">
        <v>1357</v>
      </c>
      <c r="Q26" s="1336" t="s">
        <v>1358</v>
      </c>
      <c r="R26" s="1336" t="s">
        <v>1359</v>
      </c>
    </row>
    <row r="27" spans="1:19" ht="14.25" customHeight="1" thickBot="1">
      <c r="A27" s="1342" t="s">
        <v>1195</v>
      </c>
      <c r="B27" s="1350" t="s">
        <v>1294</v>
      </c>
      <c r="C27" s="1336"/>
      <c r="D27" s="1336">
        <v>22850</v>
      </c>
      <c r="E27" s="1336">
        <v>21920</v>
      </c>
      <c r="F27" s="1357"/>
      <c r="L27" s="1336" t="s">
        <v>1360</v>
      </c>
      <c r="M27" s="1336" t="s">
        <v>1361</v>
      </c>
      <c r="N27" s="1336" t="s">
        <v>1362</v>
      </c>
      <c r="O27" s="1336" t="s">
        <v>1363</v>
      </c>
      <c r="P27" s="1336" t="s">
        <v>1364</v>
      </c>
      <c r="Q27" s="1336" t="s">
        <v>1365</v>
      </c>
      <c r="R27" s="1336" t="s">
        <v>1366</v>
      </c>
    </row>
    <row r="28" spans="1:19" ht="14.25" customHeight="1" thickBot="1">
      <c r="A28" s="1359" t="s">
        <v>1195</v>
      </c>
      <c r="B28" s="1351" t="s">
        <v>1304</v>
      </c>
      <c r="C28" s="1352"/>
      <c r="D28" s="1352">
        <v>26610</v>
      </c>
      <c r="E28" s="1352">
        <v>26370</v>
      </c>
      <c r="F28" s="1353"/>
      <c r="L28" s="1336" t="s">
        <v>1367</v>
      </c>
      <c r="M28" s="1336" t="s">
        <v>1368</v>
      </c>
      <c r="N28" s="1336" t="s">
        <v>1369</v>
      </c>
      <c r="O28" s="1336" t="s">
        <v>1370</v>
      </c>
      <c r="P28" s="1336" t="s">
        <v>1371</v>
      </c>
      <c r="Q28" s="1336" t="s">
        <v>1372</v>
      </c>
    </row>
    <row r="29" spans="1:19" ht="14.25" customHeight="1" thickBot="1">
      <c r="A29" s="1342" t="s">
        <v>1373</v>
      </c>
      <c r="B29" s="1343" t="s">
        <v>1374</v>
      </c>
      <c r="C29" s="1343">
        <v>22090</v>
      </c>
      <c r="D29" s="1343">
        <v>21860</v>
      </c>
      <c r="E29" s="1343">
        <v>19380</v>
      </c>
      <c r="F29" s="1344">
        <v>6610</v>
      </c>
      <c r="M29" s="1336" t="s">
        <v>1375</v>
      </c>
      <c r="N29" s="1336" t="s">
        <v>1376</v>
      </c>
      <c r="O29" s="1336" t="s">
        <v>1377</v>
      </c>
      <c r="P29" s="1336" t="s">
        <v>1378</v>
      </c>
      <c r="Q29" s="1336" t="s">
        <v>1379</v>
      </c>
    </row>
    <row r="30" spans="1:19" ht="14.25" customHeight="1" thickBot="1">
      <c r="A30" s="1342" t="s">
        <v>1373</v>
      </c>
      <c r="B30" s="1350" t="s">
        <v>1112</v>
      </c>
      <c r="C30" s="1336">
        <v>21380</v>
      </c>
      <c r="D30" s="1336">
        <v>19930</v>
      </c>
      <c r="E30" s="1336">
        <v>19860</v>
      </c>
      <c r="F30" s="1354">
        <v>6010</v>
      </c>
      <c r="H30" s="1358"/>
      <c r="M30" s="1336" t="s">
        <v>1380</v>
      </c>
      <c r="N30" s="1336" t="s">
        <v>1381</v>
      </c>
      <c r="O30" s="1336" t="s">
        <v>1382</v>
      </c>
      <c r="P30" s="1336" t="s">
        <v>2409</v>
      </c>
      <c r="Q30" s="1336" t="s">
        <v>1383</v>
      </c>
    </row>
    <row r="31" spans="1:19" ht="14.25" customHeight="1" thickBot="1">
      <c r="A31" s="1342" t="s">
        <v>1373</v>
      </c>
      <c r="B31" s="1350" t="s">
        <v>1125</v>
      </c>
      <c r="C31" s="1336">
        <v>21670</v>
      </c>
      <c r="D31" s="1336">
        <v>20660</v>
      </c>
      <c r="E31" s="1336">
        <v>20290</v>
      </c>
      <c r="F31" s="1354">
        <v>5840</v>
      </c>
      <c r="H31" s="1358"/>
      <c r="M31" s="1336" t="s">
        <v>1384</v>
      </c>
      <c r="N31" s="1336" t="s">
        <v>1385</v>
      </c>
      <c r="O31" s="1336" t="s">
        <v>1386</v>
      </c>
      <c r="P31" s="1336" t="s">
        <v>1387</v>
      </c>
      <c r="Q31" s="1336" t="s">
        <v>1388</v>
      </c>
    </row>
    <row r="32" spans="1:19" ht="14.25" customHeight="1" thickBot="1">
      <c r="A32" s="1342" t="s">
        <v>1373</v>
      </c>
      <c r="B32" s="1350" t="s">
        <v>1138</v>
      </c>
      <c r="C32" s="1336">
        <v>22280</v>
      </c>
      <c r="D32" s="1336">
        <v>21800</v>
      </c>
      <c r="E32" s="1336">
        <v>17650</v>
      </c>
      <c r="F32" s="1354">
        <v>4690</v>
      </c>
      <c r="H32" s="1358"/>
      <c r="M32" s="1336" t="s">
        <v>1389</v>
      </c>
      <c r="N32" s="1336" t="s">
        <v>1390</v>
      </c>
      <c r="O32" s="1336" t="s">
        <v>1391</v>
      </c>
      <c r="P32" s="1336" t="s">
        <v>1392</v>
      </c>
      <c r="Q32" s="1336" t="s">
        <v>1393</v>
      </c>
    </row>
    <row r="33" spans="1:17" ht="14.25" customHeight="1" thickBot="1">
      <c r="A33" s="1342" t="s">
        <v>1373</v>
      </c>
      <c r="B33" s="1350" t="s">
        <v>1150</v>
      </c>
      <c r="C33" s="1336">
        <v>22130</v>
      </c>
      <c r="D33" s="1336">
        <v>20460</v>
      </c>
      <c r="E33" s="1336">
        <v>18500</v>
      </c>
      <c r="F33" s="1354">
        <v>5340</v>
      </c>
      <c r="H33" s="1358"/>
      <c r="M33" s="1336" t="s">
        <v>1394</v>
      </c>
      <c r="N33" s="1336" t="s">
        <v>1395</v>
      </c>
      <c r="O33" s="1336" t="s">
        <v>1396</v>
      </c>
      <c r="P33" s="1336" t="s">
        <v>1397</v>
      </c>
      <c r="Q33" s="1336" t="s">
        <v>1398</v>
      </c>
    </row>
    <row r="34" spans="1:17" ht="14.25" customHeight="1" thickBot="1">
      <c r="A34" s="1342" t="s">
        <v>1373</v>
      </c>
      <c r="B34" s="1350" t="s">
        <v>1162</v>
      </c>
      <c r="C34" s="1336">
        <v>22070</v>
      </c>
      <c r="D34" s="1336">
        <v>20110</v>
      </c>
      <c r="E34" s="1336">
        <v>18830</v>
      </c>
      <c r="F34" s="1354">
        <v>5190</v>
      </c>
      <c r="H34" s="1358"/>
      <c r="M34" s="1336" t="s">
        <v>1399</v>
      </c>
      <c r="N34" s="1336" t="s">
        <v>1400</v>
      </c>
      <c r="O34" s="1336" t="s">
        <v>1401</v>
      </c>
      <c r="P34" s="1336" t="s">
        <v>1402</v>
      </c>
      <c r="Q34" s="1336" t="s">
        <v>1403</v>
      </c>
    </row>
    <row r="35" spans="1:17" ht="14.25" customHeight="1" thickBot="1">
      <c r="A35" s="1342" t="s">
        <v>1373</v>
      </c>
      <c r="B35" s="1350" t="s">
        <v>1174</v>
      </c>
      <c r="C35" s="1336">
        <v>22240</v>
      </c>
      <c r="D35" s="1336">
        <v>19550</v>
      </c>
      <c r="E35" s="1336">
        <v>19220</v>
      </c>
      <c r="F35" s="1354">
        <v>5800</v>
      </c>
      <c r="H35" s="1358"/>
      <c r="M35" s="1336" t="s">
        <v>1404</v>
      </c>
      <c r="N35" s="1336" t="s">
        <v>1405</v>
      </c>
      <c r="O35" s="1336" t="s">
        <v>1406</v>
      </c>
      <c r="P35" s="1336" t="s">
        <v>1407</v>
      </c>
      <c r="Q35" s="1336" t="s">
        <v>1408</v>
      </c>
    </row>
    <row r="36" spans="1:17" ht="14.25" customHeight="1" thickBot="1">
      <c r="A36" s="1342" t="s">
        <v>1373</v>
      </c>
      <c r="B36" s="1350" t="s">
        <v>1186</v>
      </c>
      <c r="C36" s="1336">
        <v>19750</v>
      </c>
      <c r="D36" s="1336">
        <v>19790</v>
      </c>
      <c r="E36" s="1336">
        <v>18510</v>
      </c>
      <c r="F36" s="1354">
        <v>6520</v>
      </c>
      <c r="H36" s="1358"/>
      <c r="N36" s="1336" t="s">
        <v>1409</v>
      </c>
      <c r="O36" s="1336" t="s">
        <v>1410</v>
      </c>
      <c r="P36" s="1336" t="s">
        <v>1411</v>
      </c>
      <c r="Q36" s="1336" t="s">
        <v>1412</v>
      </c>
    </row>
    <row r="37" spans="1:17" ht="14.25" customHeight="1" thickBot="1">
      <c r="A37" s="1342" t="s">
        <v>1373</v>
      </c>
      <c r="B37" s="1350" t="s">
        <v>1199</v>
      </c>
      <c r="C37" s="1336">
        <v>22380</v>
      </c>
      <c r="D37" s="1336">
        <v>18530</v>
      </c>
      <c r="E37" s="1336">
        <v>17930</v>
      </c>
      <c r="F37" s="1354">
        <v>6270</v>
      </c>
      <c r="H37" s="1360"/>
      <c r="N37" s="1336" t="s">
        <v>1413</v>
      </c>
      <c r="O37" s="1336" t="s">
        <v>1414</v>
      </c>
      <c r="P37" s="1336" t="s">
        <v>1415</v>
      </c>
      <c r="Q37" s="1336" t="s">
        <v>1416</v>
      </c>
    </row>
    <row r="38" spans="1:17" ht="14.25" customHeight="1" thickBot="1">
      <c r="A38" s="1342" t="s">
        <v>1373</v>
      </c>
      <c r="B38" s="1350" t="s">
        <v>1210</v>
      </c>
      <c r="C38" s="1336">
        <v>20200</v>
      </c>
      <c r="D38" s="1336">
        <v>20070</v>
      </c>
      <c r="E38" s="1336">
        <v>19950</v>
      </c>
      <c r="F38" s="1354"/>
      <c r="H38" s="1361"/>
      <c r="N38" s="1336" t="s">
        <v>1417</v>
      </c>
      <c r="O38" s="1336" t="s">
        <v>1418</v>
      </c>
      <c r="P38" s="1336" t="s">
        <v>1419</v>
      </c>
      <c r="Q38" s="1336" t="s">
        <v>1420</v>
      </c>
    </row>
    <row r="39" spans="1:17" ht="14.25" customHeight="1" thickBot="1">
      <c r="A39" s="1342" t="s">
        <v>1373</v>
      </c>
      <c r="B39" s="1350" t="s">
        <v>1221</v>
      </c>
      <c r="C39" s="1336">
        <v>19300</v>
      </c>
      <c r="D39" s="1336">
        <v>20360</v>
      </c>
      <c r="E39" s="1336">
        <v>20230</v>
      </c>
      <c r="F39" s="1354"/>
      <c r="H39" s="1361"/>
      <c r="N39" s="1336" t="s">
        <v>1421</v>
      </c>
      <c r="O39" s="1336" t="s">
        <v>1422</v>
      </c>
      <c r="P39" s="1336" t="s">
        <v>1423</v>
      </c>
      <c r="Q39" s="1336" t="s">
        <v>1424</v>
      </c>
    </row>
    <row r="40" spans="1:17" ht="14.25" customHeight="1" thickBot="1">
      <c r="A40" s="1342" t="s">
        <v>1373</v>
      </c>
      <c r="B40" s="1350" t="s">
        <v>1232</v>
      </c>
      <c r="C40" s="1336">
        <v>20210</v>
      </c>
      <c r="D40" s="1336">
        <v>19060</v>
      </c>
      <c r="E40" s="1336">
        <v>18890</v>
      </c>
      <c r="F40" s="1354"/>
      <c r="H40" s="1361"/>
      <c r="N40" s="1336" t="s">
        <v>1425</v>
      </c>
      <c r="O40" s="1336" t="s">
        <v>1426</v>
      </c>
      <c r="P40" s="1336" t="s">
        <v>1427</v>
      </c>
      <c r="Q40" s="1336" t="s">
        <v>1428</v>
      </c>
    </row>
    <row r="41" spans="1:17" ht="14.25" customHeight="1" thickBot="1">
      <c r="A41" s="1342" t="s">
        <v>1373</v>
      </c>
      <c r="B41" s="1350" t="s">
        <v>1243</v>
      </c>
      <c r="C41" s="1336">
        <v>20560</v>
      </c>
      <c r="D41" s="1336">
        <v>21040</v>
      </c>
      <c r="E41" s="1336">
        <v>20740</v>
      </c>
      <c r="F41" s="1354"/>
      <c r="H41" s="1361"/>
      <c r="N41" s="1350" t="s">
        <v>1429</v>
      </c>
      <c r="O41" s="1350" t="s">
        <v>1430</v>
      </c>
      <c r="Q41" s="1350" t="s">
        <v>1431</v>
      </c>
    </row>
    <row r="42" spans="1:17" ht="14.25" customHeight="1" thickBot="1">
      <c r="A42" s="1342" t="s">
        <v>1373</v>
      </c>
      <c r="B42" s="1350" t="s">
        <v>1254</v>
      </c>
      <c r="C42" s="1336">
        <v>19280</v>
      </c>
      <c r="D42" s="1336">
        <v>22940</v>
      </c>
      <c r="E42" s="1336">
        <v>22500</v>
      </c>
      <c r="F42" s="1354"/>
      <c r="H42" s="1361"/>
      <c r="N42" s="1336" t="s">
        <v>1432</v>
      </c>
      <c r="O42" s="1336" t="s">
        <v>1433</v>
      </c>
      <c r="Q42" s="1336" t="s">
        <v>1434</v>
      </c>
    </row>
    <row r="43" spans="1:17" ht="14.25" customHeight="1" thickBot="1">
      <c r="A43" s="1342" t="s">
        <v>1373</v>
      </c>
      <c r="B43" s="1350" t="s">
        <v>1265</v>
      </c>
      <c r="C43" s="1336">
        <v>21520</v>
      </c>
      <c r="D43" s="1336">
        <v>19230</v>
      </c>
      <c r="E43" s="1336">
        <v>18540</v>
      </c>
      <c r="F43" s="1354"/>
      <c r="H43" s="1361"/>
      <c r="N43" s="1336" t="s">
        <v>1435</v>
      </c>
      <c r="O43" s="1336" t="s">
        <v>1436</v>
      </c>
      <c r="Q43" s="1336" t="s">
        <v>1437</v>
      </c>
    </row>
    <row r="44" spans="1:17" ht="14.25" customHeight="1" thickBot="1">
      <c r="A44" s="1342" t="s">
        <v>1373</v>
      </c>
      <c r="B44" s="1350" t="s">
        <v>1275</v>
      </c>
      <c r="C44" s="1336">
        <v>23260</v>
      </c>
      <c r="D44" s="1336">
        <v>21180</v>
      </c>
      <c r="E44" s="1336">
        <v>20730</v>
      </c>
      <c r="F44" s="1354"/>
      <c r="H44" s="1361"/>
      <c r="N44" s="1336" t="s">
        <v>1438</v>
      </c>
      <c r="O44" s="1336" t="s">
        <v>1439</v>
      </c>
      <c r="Q44" s="1336" t="s">
        <v>1440</v>
      </c>
    </row>
    <row r="45" spans="1:17" ht="14.25" customHeight="1" thickBot="1">
      <c r="A45" s="1342" t="s">
        <v>1373</v>
      </c>
      <c r="B45" s="1350" t="s">
        <v>1285</v>
      </c>
      <c r="C45" s="1336">
        <v>19610</v>
      </c>
      <c r="D45" s="1336">
        <v>18090</v>
      </c>
      <c r="E45" s="1336">
        <v>17970</v>
      </c>
      <c r="F45" s="1354"/>
      <c r="H45" s="1358"/>
      <c r="N45" s="1336" t="s">
        <v>1441</v>
      </c>
      <c r="O45" s="1336" t="s">
        <v>1442</v>
      </c>
      <c r="Q45" s="1336" t="s">
        <v>1443</v>
      </c>
    </row>
    <row r="46" spans="1:17" ht="14.25" customHeight="1" thickBot="1">
      <c r="A46" s="1342" t="s">
        <v>1373</v>
      </c>
      <c r="B46" s="1350" t="s">
        <v>1295</v>
      </c>
      <c r="C46" s="1336">
        <v>21660</v>
      </c>
      <c r="D46" s="1336">
        <v>19190</v>
      </c>
      <c r="E46" s="1336">
        <v>19790</v>
      </c>
      <c r="F46" s="1354"/>
      <c r="H46" s="1361"/>
      <c r="N46" s="1336" t="s">
        <v>1444</v>
      </c>
      <c r="O46" s="1336" t="s">
        <v>1445</v>
      </c>
      <c r="Q46" s="1336" t="s">
        <v>1446</v>
      </c>
    </row>
    <row r="47" spans="1:17" ht="14.25" customHeight="1" thickBot="1">
      <c r="A47" s="1342" t="s">
        <v>1373</v>
      </c>
      <c r="B47" s="1350" t="s">
        <v>1305</v>
      </c>
      <c r="C47" s="1336">
        <v>18220</v>
      </c>
      <c r="D47" s="1336"/>
      <c r="E47" s="1336">
        <v>17220</v>
      </c>
      <c r="F47" s="1354"/>
      <c r="H47" s="1361"/>
      <c r="N47" s="1336" t="s">
        <v>1447</v>
      </c>
      <c r="O47" s="1336" t="s">
        <v>1448</v>
      </c>
    </row>
    <row r="48" spans="1:17" ht="14.25" customHeight="1" thickBot="1">
      <c r="A48" s="1342" t="s">
        <v>1373</v>
      </c>
      <c r="B48" s="1351" t="s">
        <v>1314</v>
      </c>
      <c r="C48" s="1352">
        <v>19430</v>
      </c>
      <c r="D48" s="1352"/>
      <c r="E48" s="1352">
        <v>17830</v>
      </c>
      <c r="F48" s="1362"/>
      <c r="H48" s="1358"/>
      <c r="N48" s="1336" t="s">
        <v>1449</v>
      </c>
      <c r="O48" s="1336" t="s">
        <v>1450</v>
      </c>
    </row>
    <row r="49" spans="1:15" ht="14.25" customHeight="1" thickBot="1">
      <c r="A49" s="1342" t="s">
        <v>1044</v>
      </c>
      <c r="B49" s="1343" t="s">
        <v>1451</v>
      </c>
      <c r="C49" s="1343">
        <v>17090</v>
      </c>
      <c r="D49" s="1343">
        <v>16950</v>
      </c>
      <c r="E49" s="1343">
        <v>16310</v>
      </c>
      <c r="F49" s="1344">
        <v>4540</v>
      </c>
      <c r="H49" s="1361"/>
      <c r="N49" s="1336" t="s">
        <v>1452</v>
      </c>
      <c r="O49" s="1336" t="s">
        <v>1453</v>
      </c>
    </row>
    <row r="50" spans="1:15" ht="14.25" customHeight="1" thickBot="1">
      <c r="A50" s="1342" t="s">
        <v>1044</v>
      </c>
      <c r="B50" s="1336" t="s">
        <v>1113</v>
      </c>
      <c r="C50" s="1336">
        <v>19040</v>
      </c>
      <c r="D50" s="1336">
        <v>16960</v>
      </c>
      <c r="E50" s="1336">
        <v>14800</v>
      </c>
      <c r="F50" s="1354">
        <v>3940</v>
      </c>
      <c r="H50" s="1361"/>
    </row>
    <row r="51" spans="1:15" ht="14.25" customHeight="1" thickBot="1">
      <c r="A51" s="1342" t="s">
        <v>1044</v>
      </c>
      <c r="B51" s="1336" t="s">
        <v>1126</v>
      </c>
      <c r="C51" s="1336">
        <v>17040</v>
      </c>
      <c r="D51" s="1336">
        <v>16930</v>
      </c>
      <c r="E51" s="1336">
        <v>15030</v>
      </c>
      <c r="F51" s="1354">
        <v>4120</v>
      </c>
      <c r="H51" s="1361"/>
    </row>
    <row r="52" spans="1:15" ht="14.25" customHeight="1" thickBot="1">
      <c r="A52" s="1342" t="s">
        <v>1044</v>
      </c>
      <c r="B52" s="1336" t="s">
        <v>1139</v>
      </c>
      <c r="C52" s="1336">
        <v>17110</v>
      </c>
      <c r="D52" s="1336">
        <v>17750</v>
      </c>
      <c r="E52" s="1336">
        <v>17310</v>
      </c>
      <c r="F52" s="1354">
        <v>3220</v>
      </c>
      <c r="H52" s="1361"/>
    </row>
    <row r="53" spans="1:15" ht="14.25" customHeight="1" thickBot="1">
      <c r="A53" s="1342" t="s">
        <v>1044</v>
      </c>
      <c r="B53" s="1336" t="s">
        <v>1151</v>
      </c>
      <c r="C53" s="1336">
        <v>17810</v>
      </c>
      <c r="D53" s="1336">
        <v>17260</v>
      </c>
      <c r="E53" s="1336">
        <v>17090</v>
      </c>
      <c r="F53" s="1354">
        <v>3520</v>
      </c>
      <c r="H53" s="1361"/>
    </row>
    <row r="54" spans="1:15" ht="14.25" customHeight="1" thickBot="1">
      <c r="A54" s="1342" t="s">
        <v>1044</v>
      </c>
      <c r="B54" s="1336" t="s">
        <v>1163</v>
      </c>
      <c r="C54" s="1336">
        <v>17410</v>
      </c>
      <c r="D54" s="1336">
        <v>16780</v>
      </c>
      <c r="E54" s="1336">
        <v>16370</v>
      </c>
      <c r="F54" s="1354">
        <v>3410</v>
      </c>
      <c r="H54" s="1361"/>
    </row>
    <row r="55" spans="1:15" ht="14.25" customHeight="1" thickBot="1">
      <c r="A55" s="1342" t="s">
        <v>1044</v>
      </c>
      <c r="B55" s="1336" t="s">
        <v>1175</v>
      </c>
      <c r="C55" s="1336">
        <v>16930</v>
      </c>
      <c r="D55" s="1336">
        <v>14720</v>
      </c>
      <c r="E55" s="1336">
        <v>15000</v>
      </c>
      <c r="F55" s="1354">
        <v>3710</v>
      </c>
      <c r="H55" s="1361"/>
    </row>
    <row r="56" spans="1:15" ht="14.25" customHeight="1" thickBot="1">
      <c r="A56" s="1342" t="s">
        <v>1044</v>
      </c>
      <c r="B56" s="1336" t="s">
        <v>1187</v>
      </c>
      <c r="C56" s="1336">
        <v>14930</v>
      </c>
      <c r="D56" s="1336">
        <v>15850</v>
      </c>
      <c r="E56" s="1336">
        <v>14320</v>
      </c>
      <c r="F56" s="1354">
        <v>3960</v>
      </c>
      <c r="H56" s="1361"/>
    </row>
    <row r="57" spans="1:15" ht="14.25" customHeight="1" thickBot="1">
      <c r="A57" s="1342" t="s">
        <v>1044</v>
      </c>
      <c r="B57" s="1336" t="s">
        <v>1200</v>
      </c>
      <c r="C57" s="1336">
        <v>16160</v>
      </c>
      <c r="D57" s="1336">
        <v>16190</v>
      </c>
      <c r="E57" s="1336">
        <v>15650</v>
      </c>
      <c r="F57" s="1354">
        <v>4200</v>
      </c>
      <c r="H57" s="1361"/>
    </row>
    <row r="58" spans="1:15" ht="14.25" customHeight="1" thickBot="1">
      <c r="A58" s="1342" t="s">
        <v>1044</v>
      </c>
      <c r="B58" s="1336" t="s">
        <v>1211</v>
      </c>
      <c r="C58" s="1336">
        <v>16360</v>
      </c>
      <c r="D58" s="1336">
        <v>14050</v>
      </c>
      <c r="E58" s="1336">
        <v>16070</v>
      </c>
      <c r="F58" s="1354">
        <v>3990</v>
      </c>
      <c r="H58" s="1361"/>
    </row>
    <row r="59" spans="1:15" ht="14.25" customHeight="1" thickBot="1">
      <c r="A59" s="1342" t="s">
        <v>1044</v>
      </c>
      <c r="B59" s="1336" t="s">
        <v>1222</v>
      </c>
      <c r="C59" s="1336">
        <v>14160</v>
      </c>
      <c r="D59" s="1336">
        <v>16620</v>
      </c>
      <c r="E59" s="1336">
        <v>13940</v>
      </c>
      <c r="F59" s="1354">
        <v>4260</v>
      </c>
      <c r="H59" s="1361"/>
    </row>
    <row r="60" spans="1:15" ht="14.25" customHeight="1" thickBot="1">
      <c r="A60" s="1342" t="s">
        <v>1044</v>
      </c>
      <c r="B60" s="1336" t="s">
        <v>1233</v>
      </c>
      <c r="C60" s="1336">
        <v>16750</v>
      </c>
      <c r="D60" s="1336">
        <v>13910</v>
      </c>
      <c r="E60" s="1336">
        <v>16550</v>
      </c>
      <c r="F60" s="1354">
        <v>4550</v>
      </c>
      <c r="H60" s="1361"/>
    </row>
    <row r="61" spans="1:15" ht="14.25" customHeight="1" thickBot="1">
      <c r="A61" s="1342" t="s">
        <v>1044</v>
      </c>
      <c r="B61" s="1336" t="s">
        <v>1244</v>
      </c>
      <c r="C61" s="1336">
        <v>14000</v>
      </c>
      <c r="D61" s="1336">
        <v>14550</v>
      </c>
      <c r="E61" s="1336">
        <v>13860</v>
      </c>
      <c r="F61" s="1363"/>
      <c r="H61" s="1361"/>
    </row>
    <row r="62" spans="1:15" ht="14.25" customHeight="1" thickBot="1">
      <c r="A62" s="1342" t="s">
        <v>1044</v>
      </c>
      <c r="B62" s="1336" t="s">
        <v>1255</v>
      </c>
      <c r="C62" s="1336">
        <v>14660</v>
      </c>
      <c r="D62" s="1336">
        <v>17450</v>
      </c>
      <c r="E62" s="1336">
        <v>14470</v>
      </c>
      <c r="F62" s="1363"/>
      <c r="H62" s="1361"/>
    </row>
    <row r="63" spans="1:15" ht="14.25" customHeight="1" thickBot="1">
      <c r="A63" s="1342" t="s">
        <v>1044</v>
      </c>
      <c r="B63" s="1336" t="s">
        <v>1266</v>
      </c>
      <c r="C63" s="1336">
        <v>17610</v>
      </c>
      <c r="D63" s="1336">
        <v>16500</v>
      </c>
      <c r="E63" s="1336">
        <v>17330</v>
      </c>
      <c r="F63" s="1363"/>
      <c r="H63" s="1361"/>
    </row>
    <row r="64" spans="1:15" ht="14.25" customHeight="1" thickBot="1">
      <c r="A64" s="1342" t="s">
        <v>1044</v>
      </c>
      <c r="B64" s="1336" t="s">
        <v>1276</v>
      </c>
      <c r="C64" s="1336">
        <v>16590</v>
      </c>
      <c r="D64" s="1336">
        <v>15130</v>
      </c>
      <c r="E64" s="1336">
        <v>16420</v>
      </c>
      <c r="F64" s="1363"/>
      <c r="H64" s="1361"/>
    </row>
    <row r="65" spans="1:8" s="1330" customFormat="1" ht="14.25" customHeight="1" thickBot="1">
      <c r="A65" s="1342" t="s">
        <v>1044</v>
      </c>
      <c r="B65" s="1336" t="s">
        <v>1286</v>
      </c>
      <c r="C65" s="1336">
        <v>15220</v>
      </c>
      <c r="D65" s="1336">
        <v>14660</v>
      </c>
      <c r="E65" s="1336">
        <v>15060</v>
      </c>
      <c r="F65" s="1354"/>
      <c r="H65" s="1361"/>
    </row>
    <row r="66" spans="1:8" s="1330" customFormat="1" ht="14.25" customHeight="1" thickBot="1">
      <c r="A66" s="1342" t="s">
        <v>1044</v>
      </c>
      <c r="B66" s="1336" t="s">
        <v>1296</v>
      </c>
      <c r="C66" s="1336">
        <v>14720</v>
      </c>
      <c r="D66" s="1336">
        <v>15970</v>
      </c>
      <c r="E66" s="1336">
        <v>14610</v>
      </c>
      <c r="F66" s="1354"/>
      <c r="H66" s="1361"/>
    </row>
    <row r="67" spans="1:8" s="1330" customFormat="1" ht="14.25" customHeight="1" thickBot="1">
      <c r="A67" s="1342" t="s">
        <v>1044</v>
      </c>
      <c r="B67" s="1336" t="s">
        <v>1306</v>
      </c>
      <c r="C67" s="1336">
        <v>16080</v>
      </c>
      <c r="D67" s="1336">
        <v>14840</v>
      </c>
      <c r="E67" s="1336">
        <v>15630</v>
      </c>
      <c r="F67" s="1354"/>
      <c r="H67" s="1361"/>
    </row>
    <row r="68" spans="1:8" s="1330" customFormat="1" ht="14.25" customHeight="1" thickBot="1">
      <c r="A68" s="1342" t="s">
        <v>1044</v>
      </c>
      <c r="B68" s="1336" t="s">
        <v>1315</v>
      </c>
      <c r="C68" s="1336">
        <v>14940</v>
      </c>
      <c r="D68" s="1336">
        <v>18000</v>
      </c>
      <c r="E68" s="1336">
        <v>14040</v>
      </c>
      <c r="F68" s="1354"/>
      <c r="H68" s="1361"/>
    </row>
    <row r="69" spans="1:8" s="1330" customFormat="1" ht="14.25" customHeight="1" thickBot="1">
      <c r="A69" s="1342" t="s">
        <v>1044</v>
      </c>
      <c r="B69" s="1336" t="s">
        <v>1324</v>
      </c>
      <c r="C69" s="1336">
        <v>18810</v>
      </c>
      <c r="D69" s="1336">
        <v>15100</v>
      </c>
      <c r="E69" s="1336">
        <v>14710</v>
      </c>
      <c r="F69" s="1354"/>
      <c r="H69" s="1361"/>
    </row>
    <row r="70" spans="1:8" s="1330" customFormat="1" ht="14.25" customHeight="1" thickBot="1">
      <c r="A70" s="1342" t="s">
        <v>1044</v>
      </c>
      <c r="B70" s="1336" t="s">
        <v>1332</v>
      </c>
      <c r="C70" s="1336">
        <v>18270</v>
      </c>
      <c r="D70" s="1336"/>
      <c r="E70" s="1336"/>
      <c r="F70" s="1354"/>
      <c r="H70" s="1361"/>
    </row>
    <row r="71" spans="1:8" s="1330" customFormat="1" ht="14.25" customHeight="1" thickBot="1">
      <c r="A71" s="1342" t="s">
        <v>1044</v>
      </c>
      <c r="B71" s="1336" t="s">
        <v>1339</v>
      </c>
      <c r="C71" s="1336">
        <v>15230</v>
      </c>
      <c r="D71" s="1336"/>
      <c r="E71" s="1336"/>
      <c r="F71" s="1354"/>
      <c r="H71" s="1361"/>
    </row>
    <row r="72" spans="1:8" s="1330" customFormat="1" ht="14.25" customHeight="1" thickBot="1">
      <c r="A72" s="1342" t="s">
        <v>1044</v>
      </c>
      <c r="B72" s="1336" t="s">
        <v>1346</v>
      </c>
      <c r="C72" s="1336"/>
      <c r="D72" s="1336"/>
      <c r="E72" s="1336"/>
      <c r="F72" s="1354">
        <v>4120</v>
      </c>
      <c r="H72" s="1361"/>
    </row>
    <row r="73" spans="1:8" s="1330" customFormat="1" ht="14.25" customHeight="1" thickBot="1">
      <c r="A73" s="1342" t="s">
        <v>1044</v>
      </c>
      <c r="B73" s="1336" t="s">
        <v>1353</v>
      </c>
      <c r="C73" s="1336"/>
      <c r="D73" s="1336"/>
      <c r="E73" s="1336"/>
      <c r="F73" s="1354">
        <v>3930</v>
      </c>
      <c r="H73" s="1361"/>
    </row>
    <row r="74" spans="1:8" s="1330" customFormat="1" ht="14.25" customHeight="1" thickBot="1">
      <c r="A74" s="1342" t="s">
        <v>1044</v>
      </c>
      <c r="B74" s="1336" t="s">
        <v>1360</v>
      </c>
      <c r="C74" s="1336"/>
      <c r="D74" s="1336"/>
      <c r="E74" s="1336"/>
      <c r="F74" s="1354">
        <v>4060</v>
      </c>
      <c r="H74" s="1361"/>
    </row>
    <row r="75" spans="1:8" s="1330" customFormat="1" ht="14.25" customHeight="1" thickBot="1">
      <c r="A75" s="1342" t="s">
        <v>1044</v>
      </c>
      <c r="B75" s="1352" t="s">
        <v>1367</v>
      </c>
      <c r="C75" s="1352"/>
      <c r="D75" s="1352"/>
      <c r="E75" s="1352"/>
      <c r="F75" s="1362">
        <v>3750</v>
      </c>
      <c r="H75" s="1361"/>
    </row>
    <row r="76" spans="1:8" s="1330" customFormat="1" ht="14.25" customHeight="1" thickBot="1">
      <c r="A76" s="1342" t="s">
        <v>1454</v>
      </c>
      <c r="B76" s="1343" t="s">
        <v>1455</v>
      </c>
      <c r="C76" s="1343">
        <v>14690</v>
      </c>
      <c r="D76" s="1343">
        <v>14640</v>
      </c>
      <c r="E76" s="1343">
        <v>14590</v>
      </c>
      <c r="F76" s="1344">
        <v>3060</v>
      </c>
      <c r="H76" s="1361"/>
    </row>
    <row r="77" spans="1:8" s="1330" customFormat="1" ht="14.25" customHeight="1" thickBot="1">
      <c r="A77" s="1342" t="s">
        <v>1454</v>
      </c>
      <c r="B77" s="1336" t="s">
        <v>1114</v>
      </c>
      <c r="C77" s="1336">
        <v>12550</v>
      </c>
      <c r="D77" s="1336">
        <v>12480</v>
      </c>
      <c r="E77" s="1336">
        <v>12450</v>
      </c>
      <c r="F77" s="1354">
        <v>2590</v>
      </c>
      <c r="H77" s="1361"/>
    </row>
    <row r="78" spans="1:8" s="1330" customFormat="1" ht="14.25" customHeight="1" thickBot="1">
      <c r="A78" s="1342" t="s">
        <v>1454</v>
      </c>
      <c r="B78" s="1336" t="s">
        <v>1127</v>
      </c>
      <c r="C78" s="1336">
        <v>14360</v>
      </c>
      <c r="D78" s="1336">
        <v>14320</v>
      </c>
      <c r="E78" s="1336">
        <v>12510</v>
      </c>
      <c r="F78" s="1354">
        <v>2700</v>
      </c>
      <c r="H78" s="1361"/>
    </row>
    <row r="79" spans="1:8" s="1330" customFormat="1" ht="14.25" customHeight="1" thickBot="1">
      <c r="A79" s="1342" t="s">
        <v>1454</v>
      </c>
      <c r="B79" s="1336" t="s">
        <v>1140</v>
      </c>
      <c r="C79" s="1336">
        <v>12590</v>
      </c>
      <c r="D79" s="1336">
        <v>12540</v>
      </c>
      <c r="E79" s="1336">
        <v>12350</v>
      </c>
      <c r="F79" s="1354">
        <v>2740</v>
      </c>
      <c r="H79" s="1361"/>
    </row>
    <row r="80" spans="1:8" s="1330" customFormat="1" ht="14.25" customHeight="1" thickBot="1">
      <c r="A80" s="1342" t="s">
        <v>1454</v>
      </c>
      <c r="B80" s="1336" t="s">
        <v>1152</v>
      </c>
      <c r="C80" s="1336">
        <v>12450</v>
      </c>
      <c r="D80" s="1336">
        <v>12370</v>
      </c>
      <c r="E80" s="1336">
        <v>10790</v>
      </c>
      <c r="F80" s="1354">
        <v>2290</v>
      </c>
      <c r="H80" s="1361"/>
    </row>
    <row r="81" spans="1:8" s="1330" customFormat="1" ht="14.25" customHeight="1" thickBot="1">
      <c r="A81" s="1342" t="s">
        <v>1454</v>
      </c>
      <c r="B81" s="1336" t="s">
        <v>1164</v>
      </c>
      <c r="C81" s="1336">
        <v>14210</v>
      </c>
      <c r="D81" s="1336">
        <v>14150</v>
      </c>
      <c r="E81" s="1336">
        <v>12730</v>
      </c>
      <c r="F81" s="1354">
        <v>2240</v>
      </c>
      <c r="H81" s="1361"/>
    </row>
    <row r="82" spans="1:8" s="1330" customFormat="1" ht="14.25" customHeight="1" thickBot="1">
      <c r="A82" s="1342" t="s">
        <v>1454</v>
      </c>
      <c r="B82" s="1336" t="s">
        <v>1176</v>
      </c>
      <c r="C82" s="1336">
        <v>10860</v>
      </c>
      <c r="D82" s="1336">
        <v>10820</v>
      </c>
      <c r="E82" s="1336">
        <v>14720</v>
      </c>
      <c r="F82" s="1354">
        <v>2490</v>
      </c>
      <c r="H82" s="1361"/>
    </row>
    <row r="83" spans="1:8" s="1330" customFormat="1" ht="14.25" customHeight="1" thickBot="1">
      <c r="A83" s="1342" t="s">
        <v>1454</v>
      </c>
      <c r="B83" s="1336" t="s">
        <v>1188</v>
      </c>
      <c r="C83" s="1336">
        <v>12810</v>
      </c>
      <c r="D83" s="1336">
        <v>12760</v>
      </c>
      <c r="E83" s="1336">
        <v>14830</v>
      </c>
      <c r="F83" s="1354">
        <v>2450</v>
      </c>
      <c r="H83" s="1361"/>
    </row>
    <row r="84" spans="1:8" s="1330" customFormat="1" ht="14.25" customHeight="1" thickBot="1">
      <c r="A84" s="1342" t="s">
        <v>1454</v>
      </c>
      <c r="B84" s="1336" t="s">
        <v>1201</v>
      </c>
      <c r="C84" s="1336">
        <v>14950</v>
      </c>
      <c r="D84" s="1336">
        <v>14810</v>
      </c>
      <c r="E84" s="1336">
        <v>12590</v>
      </c>
      <c r="F84" s="1354">
        <v>2540</v>
      </c>
      <c r="H84" s="1361"/>
    </row>
    <row r="85" spans="1:8" s="1330" customFormat="1" ht="14.25" customHeight="1" thickBot="1">
      <c r="A85" s="1342" t="s">
        <v>1454</v>
      </c>
      <c r="B85" s="1336" t="s">
        <v>1212</v>
      </c>
      <c r="C85" s="1336">
        <v>14960</v>
      </c>
      <c r="D85" s="1336">
        <v>14890</v>
      </c>
      <c r="E85" s="1336">
        <v>12840</v>
      </c>
      <c r="F85" s="1354">
        <v>2840</v>
      </c>
      <c r="H85" s="1361"/>
    </row>
    <row r="86" spans="1:8" s="1330" customFormat="1" ht="14.25" customHeight="1" thickBot="1">
      <c r="A86" s="1342" t="s">
        <v>1454</v>
      </c>
      <c r="B86" s="1336" t="s">
        <v>1223</v>
      </c>
      <c r="C86" s="1336">
        <v>12730</v>
      </c>
      <c r="D86" s="1336">
        <v>12660</v>
      </c>
      <c r="E86" s="1336">
        <v>13310</v>
      </c>
      <c r="F86" s="1354">
        <v>3140</v>
      </c>
      <c r="H86" s="1361"/>
    </row>
    <row r="87" spans="1:8" s="1330" customFormat="1" ht="14.25" customHeight="1" thickBot="1">
      <c r="A87" s="1342" t="s">
        <v>1454</v>
      </c>
      <c r="B87" s="1336" t="s">
        <v>1234</v>
      </c>
      <c r="C87" s="1336">
        <v>12940</v>
      </c>
      <c r="D87" s="1336">
        <v>12890</v>
      </c>
      <c r="E87" s="1336">
        <v>11580</v>
      </c>
      <c r="F87" s="1363"/>
      <c r="H87" s="1361"/>
    </row>
    <row r="88" spans="1:8" s="1330" customFormat="1" ht="14.25" customHeight="1" thickBot="1">
      <c r="A88" s="1342" t="s">
        <v>1454</v>
      </c>
      <c r="B88" s="1336" t="s">
        <v>1245</v>
      </c>
      <c r="C88" s="1336">
        <v>13430</v>
      </c>
      <c r="D88" s="1336">
        <v>13360</v>
      </c>
      <c r="E88" s="1336">
        <v>12790</v>
      </c>
      <c r="F88" s="1363"/>
      <c r="H88" s="1361"/>
    </row>
    <row r="89" spans="1:8" s="1330" customFormat="1" ht="14.25" customHeight="1" thickBot="1">
      <c r="A89" s="1342" t="s">
        <v>1454</v>
      </c>
      <c r="B89" s="1336" t="s">
        <v>1256</v>
      </c>
      <c r="C89" s="1336">
        <v>11680</v>
      </c>
      <c r="D89" s="1336">
        <v>11630</v>
      </c>
      <c r="E89" s="1336">
        <v>11320</v>
      </c>
      <c r="F89" s="1363"/>
      <c r="H89" s="1361"/>
    </row>
    <row r="90" spans="1:8" s="1330" customFormat="1" ht="14.25" customHeight="1" thickBot="1">
      <c r="A90" s="1342" t="s">
        <v>1454</v>
      </c>
      <c r="B90" s="1336" t="s">
        <v>1267</v>
      </c>
      <c r="C90" s="1336">
        <v>12890</v>
      </c>
      <c r="D90" s="1336">
        <v>12820</v>
      </c>
      <c r="E90" s="1336">
        <v>12710</v>
      </c>
      <c r="F90" s="1363"/>
      <c r="H90" s="1361"/>
    </row>
    <row r="91" spans="1:8" s="1330" customFormat="1" ht="14.25" customHeight="1" thickBot="1">
      <c r="A91" s="1342" t="s">
        <v>1454</v>
      </c>
      <c r="B91" s="1336" t="s">
        <v>1277</v>
      </c>
      <c r="C91" s="1336">
        <v>11410</v>
      </c>
      <c r="D91" s="1336">
        <v>11360</v>
      </c>
      <c r="E91" s="1336">
        <v>12670</v>
      </c>
      <c r="F91" s="1363"/>
      <c r="H91" s="1361"/>
    </row>
    <row r="92" spans="1:8" s="1330" customFormat="1" ht="14.25" customHeight="1" thickBot="1">
      <c r="A92" s="1342" t="s">
        <v>1454</v>
      </c>
      <c r="B92" s="1336" t="s">
        <v>1287</v>
      </c>
      <c r="C92" s="1336">
        <v>12770</v>
      </c>
      <c r="D92" s="1336">
        <v>12740</v>
      </c>
      <c r="E92" s="1336">
        <v>11970</v>
      </c>
      <c r="F92" s="1363"/>
      <c r="H92" s="1361"/>
    </row>
    <row r="93" spans="1:8" s="1330" customFormat="1" ht="14.25" customHeight="1" thickBot="1">
      <c r="A93" s="1342" t="s">
        <v>1454</v>
      </c>
      <c r="B93" s="1336" t="s">
        <v>1297</v>
      </c>
      <c r="C93" s="1336">
        <v>12740</v>
      </c>
      <c r="D93" s="1336">
        <v>12700</v>
      </c>
      <c r="E93" s="1336">
        <v>12540</v>
      </c>
      <c r="F93" s="1363"/>
      <c r="H93" s="1361"/>
    </row>
    <row r="94" spans="1:8" s="1330" customFormat="1" ht="14.25" customHeight="1" thickBot="1">
      <c r="A94" s="1342" t="s">
        <v>1454</v>
      </c>
      <c r="B94" s="1336" t="s">
        <v>1307</v>
      </c>
      <c r="C94" s="1336">
        <v>12020</v>
      </c>
      <c r="D94" s="1336">
        <v>11990</v>
      </c>
      <c r="E94" s="1336">
        <v>13110</v>
      </c>
      <c r="F94" s="1363"/>
      <c r="H94" s="1361"/>
    </row>
    <row r="95" spans="1:8" s="1330" customFormat="1" ht="14.25" customHeight="1" thickBot="1">
      <c r="A95" s="1342" t="s">
        <v>1454</v>
      </c>
      <c r="B95" s="1336" t="s">
        <v>1316</v>
      </c>
      <c r="C95" s="1336">
        <v>12620</v>
      </c>
      <c r="D95" s="1336">
        <v>12580</v>
      </c>
      <c r="E95" s="1336">
        <v>13160</v>
      </c>
      <c r="F95" s="1354"/>
      <c r="H95" s="1361"/>
    </row>
    <row r="96" spans="1:8" s="1330" customFormat="1" ht="14.25" customHeight="1" thickBot="1">
      <c r="A96" s="1342" t="s">
        <v>1454</v>
      </c>
      <c r="B96" s="1336" t="s">
        <v>1325</v>
      </c>
      <c r="C96" s="1336">
        <v>13200</v>
      </c>
      <c r="D96" s="1336">
        <v>13150</v>
      </c>
      <c r="E96" s="1336">
        <v>12900</v>
      </c>
      <c r="F96" s="1354"/>
      <c r="H96" s="1361"/>
    </row>
    <row r="97" spans="1:8" s="1330" customFormat="1" ht="14.25" customHeight="1" thickBot="1">
      <c r="A97" s="1342" t="s">
        <v>1454</v>
      </c>
      <c r="B97" s="1336" t="s">
        <v>1333</v>
      </c>
      <c r="C97" s="1336">
        <v>13270</v>
      </c>
      <c r="D97" s="1336">
        <v>13210</v>
      </c>
      <c r="E97" s="1336">
        <v>11080</v>
      </c>
      <c r="F97" s="1354"/>
      <c r="H97" s="1361"/>
    </row>
    <row r="98" spans="1:8" s="1330" customFormat="1" ht="14.25" customHeight="1" thickBot="1">
      <c r="A98" s="1342" t="s">
        <v>1454</v>
      </c>
      <c r="B98" s="1336" t="s">
        <v>1340</v>
      </c>
      <c r="C98" s="1336">
        <v>13010</v>
      </c>
      <c r="D98" s="1336">
        <v>12930</v>
      </c>
      <c r="E98" s="1336">
        <v>12840</v>
      </c>
      <c r="F98" s="1354"/>
      <c r="H98" s="1361"/>
    </row>
    <row r="99" spans="1:8" s="1330" customFormat="1" ht="14.25" customHeight="1" thickBot="1">
      <c r="A99" s="1342" t="s">
        <v>1454</v>
      </c>
      <c r="B99" s="1336" t="s">
        <v>1347</v>
      </c>
      <c r="C99" s="1336">
        <v>11190</v>
      </c>
      <c r="D99" s="1336">
        <v>11130</v>
      </c>
      <c r="E99" s="1336"/>
      <c r="F99" s="1354"/>
      <c r="H99" s="1361"/>
    </row>
    <row r="100" spans="1:8" s="1330" customFormat="1" ht="14.25" customHeight="1" thickBot="1">
      <c r="A100" s="1342" t="s">
        <v>1454</v>
      </c>
      <c r="B100" s="1336" t="s">
        <v>1354</v>
      </c>
      <c r="C100" s="1336">
        <v>14280</v>
      </c>
      <c r="D100" s="1336">
        <v>14180</v>
      </c>
      <c r="E100" s="1336"/>
      <c r="F100" s="1354"/>
      <c r="H100" s="1361"/>
    </row>
    <row r="101" spans="1:8" s="1330" customFormat="1" ht="14.25" customHeight="1" thickBot="1">
      <c r="A101" s="1342" t="s">
        <v>1454</v>
      </c>
      <c r="B101" s="1336" t="s">
        <v>1361</v>
      </c>
      <c r="C101" s="1336">
        <v>12960</v>
      </c>
      <c r="D101" s="1336">
        <v>12890</v>
      </c>
      <c r="E101" s="1336"/>
      <c r="F101" s="1354"/>
      <c r="H101" s="1361"/>
    </row>
    <row r="102" spans="1:8" s="1330" customFormat="1" ht="14.25" customHeight="1" thickBot="1">
      <c r="A102" s="1342" t="s">
        <v>1454</v>
      </c>
      <c r="B102" s="1336" t="s">
        <v>1368</v>
      </c>
      <c r="C102" s="1336"/>
      <c r="D102" s="1336"/>
      <c r="E102" s="1336"/>
      <c r="F102" s="1354">
        <v>3100</v>
      </c>
      <c r="H102" s="1361"/>
    </row>
    <row r="103" spans="1:8" s="1330" customFormat="1" ht="14.25" customHeight="1" thickBot="1">
      <c r="A103" s="1342" t="s">
        <v>1454</v>
      </c>
      <c r="B103" s="1336" t="s">
        <v>1375</v>
      </c>
      <c r="C103" s="1336"/>
      <c r="D103" s="1336"/>
      <c r="E103" s="1336"/>
      <c r="F103" s="1354">
        <v>2320</v>
      </c>
      <c r="H103" s="1361"/>
    </row>
    <row r="104" spans="1:8" s="1330" customFormat="1" ht="14.25" customHeight="1" thickBot="1">
      <c r="A104" s="1342" t="s">
        <v>1454</v>
      </c>
      <c r="B104" s="1336" t="s">
        <v>1380</v>
      </c>
      <c r="C104" s="1336"/>
      <c r="D104" s="1336"/>
      <c r="E104" s="1336"/>
      <c r="F104" s="1354">
        <v>2320</v>
      </c>
      <c r="H104" s="1361"/>
    </row>
    <row r="105" spans="1:8" s="1330" customFormat="1" ht="14.25" customHeight="1" thickBot="1">
      <c r="A105" s="1342" t="s">
        <v>1454</v>
      </c>
      <c r="B105" s="1336" t="s">
        <v>1384</v>
      </c>
      <c r="C105" s="1336"/>
      <c r="D105" s="1336"/>
      <c r="E105" s="1336"/>
      <c r="F105" s="1354">
        <v>2320</v>
      </c>
      <c r="H105" s="1361"/>
    </row>
    <row r="106" spans="1:8" s="1330" customFormat="1" ht="14.25" customHeight="1" thickBot="1">
      <c r="A106" s="1342" t="s">
        <v>1454</v>
      </c>
      <c r="B106" s="1336" t="s">
        <v>1389</v>
      </c>
      <c r="C106" s="1336"/>
      <c r="D106" s="1336"/>
      <c r="E106" s="1336"/>
      <c r="F106" s="1354">
        <v>2320</v>
      </c>
      <c r="H106" s="1361"/>
    </row>
    <row r="107" spans="1:8" s="1330" customFormat="1" ht="14.25" customHeight="1" thickBot="1">
      <c r="A107" s="1342" t="s">
        <v>1454</v>
      </c>
      <c r="B107" s="1336" t="s">
        <v>1394</v>
      </c>
      <c r="C107" s="1336"/>
      <c r="D107" s="1336"/>
      <c r="E107" s="1336"/>
      <c r="F107" s="1354">
        <v>2280</v>
      </c>
      <c r="H107" s="1361"/>
    </row>
    <row r="108" spans="1:8" s="1330" customFormat="1" ht="14.25" customHeight="1" thickBot="1">
      <c r="A108" s="1342" t="s">
        <v>1454</v>
      </c>
      <c r="B108" s="1336" t="s">
        <v>1399</v>
      </c>
      <c r="C108" s="1336"/>
      <c r="D108" s="1336"/>
      <c r="E108" s="1336"/>
      <c r="F108" s="1354">
        <v>2280</v>
      </c>
      <c r="H108" s="1361"/>
    </row>
    <row r="109" spans="1:8" s="1330" customFormat="1" ht="14.25" customHeight="1" thickBot="1">
      <c r="A109" s="1342" t="s">
        <v>1454</v>
      </c>
      <c r="B109" s="1352" t="s">
        <v>1404</v>
      </c>
      <c r="C109" s="1352"/>
      <c r="D109" s="1352"/>
      <c r="E109" s="1352"/>
      <c r="F109" s="1362">
        <v>2280</v>
      </c>
      <c r="H109" s="1361"/>
    </row>
    <row r="110" spans="1:8" s="1330" customFormat="1" ht="14.25" customHeight="1" thickBot="1">
      <c r="A110" s="1342" t="s">
        <v>208</v>
      </c>
      <c r="B110" s="1343" t="s">
        <v>1456</v>
      </c>
      <c r="C110" s="1343">
        <v>10520</v>
      </c>
      <c r="D110" s="1343">
        <v>10490</v>
      </c>
      <c r="E110" s="1343">
        <v>10760</v>
      </c>
      <c r="F110" s="1344">
        <v>2160</v>
      </c>
      <c r="H110" s="1361"/>
    </row>
    <row r="111" spans="1:8" s="1330" customFormat="1" ht="14.25" customHeight="1" thickBot="1">
      <c r="A111" s="1342" t="s">
        <v>208</v>
      </c>
      <c r="B111" s="1336" t="s">
        <v>1115</v>
      </c>
      <c r="C111" s="1336">
        <v>10090</v>
      </c>
      <c r="D111" s="1336">
        <v>10060</v>
      </c>
      <c r="E111" s="1336">
        <v>10300</v>
      </c>
      <c r="F111" s="1354">
        <v>2010</v>
      </c>
      <c r="H111" s="1361"/>
    </row>
    <row r="112" spans="1:8" s="1330" customFormat="1" ht="14.25" customHeight="1" thickBot="1">
      <c r="A112" s="1342" t="s">
        <v>208</v>
      </c>
      <c r="B112" s="1336" t="s">
        <v>1128</v>
      </c>
      <c r="C112" s="1336">
        <v>9910</v>
      </c>
      <c r="D112" s="1336">
        <v>9850</v>
      </c>
      <c r="E112" s="1336">
        <v>9960</v>
      </c>
      <c r="F112" s="1354">
        <v>2090</v>
      </c>
      <c r="H112" s="1361"/>
    </row>
    <row r="113" spans="1:8" s="1330" customFormat="1" ht="14.25" customHeight="1" thickBot="1">
      <c r="A113" s="1342" t="s">
        <v>208</v>
      </c>
      <c r="B113" s="1336" t="s">
        <v>1141</v>
      </c>
      <c r="C113" s="1336">
        <v>11430</v>
      </c>
      <c r="D113" s="1336">
        <v>11400</v>
      </c>
      <c r="E113" s="1336">
        <v>11710</v>
      </c>
      <c r="F113" s="1354">
        <v>2050</v>
      </c>
      <c r="H113" s="1361"/>
    </row>
    <row r="114" spans="1:8" s="1330" customFormat="1" ht="14.25" customHeight="1" thickBot="1">
      <c r="A114" s="1342" t="s">
        <v>208</v>
      </c>
      <c r="B114" s="1336" t="s">
        <v>1153</v>
      </c>
      <c r="C114" s="1336">
        <v>11390</v>
      </c>
      <c r="D114" s="1336">
        <v>11350</v>
      </c>
      <c r="E114" s="1336">
        <v>11640</v>
      </c>
      <c r="F114" s="1354">
        <v>1620</v>
      </c>
      <c r="H114" s="1361"/>
    </row>
    <row r="115" spans="1:8" s="1330" customFormat="1" ht="14.25" customHeight="1" thickBot="1">
      <c r="A115" s="1342" t="s">
        <v>208</v>
      </c>
      <c r="B115" s="1336" t="s">
        <v>1165</v>
      </c>
      <c r="C115" s="1336">
        <v>9930</v>
      </c>
      <c r="D115" s="1336">
        <v>9900</v>
      </c>
      <c r="E115" s="1336">
        <v>10160</v>
      </c>
      <c r="F115" s="1354">
        <v>1580</v>
      </c>
      <c r="H115" s="1361"/>
    </row>
    <row r="116" spans="1:8" s="1330" customFormat="1" ht="14.25" customHeight="1" thickBot="1">
      <c r="A116" s="1342" t="s">
        <v>208</v>
      </c>
      <c r="B116" s="1336" t="s">
        <v>1177</v>
      </c>
      <c r="C116" s="1336">
        <v>9150</v>
      </c>
      <c r="D116" s="1336">
        <v>9120</v>
      </c>
      <c r="E116" s="1336">
        <v>9380</v>
      </c>
      <c r="F116" s="1354">
        <v>1750</v>
      </c>
      <c r="H116" s="1361"/>
    </row>
    <row r="117" spans="1:8" s="1330" customFormat="1" ht="14.25" customHeight="1" thickBot="1">
      <c r="A117" s="1342" t="s">
        <v>208</v>
      </c>
      <c r="B117" s="1336" t="s">
        <v>1189</v>
      </c>
      <c r="C117" s="1336">
        <v>10680</v>
      </c>
      <c r="D117" s="1336">
        <v>10650</v>
      </c>
      <c r="E117" s="1336">
        <v>10970</v>
      </c>
      <c r="F117" s="1354">
        <v>1730</v>
      </c>
      <c r="H117" s="1361"/>
    </row>
    <row r="118" spans="1:8" s="1330" customFormat="1" ht="14.25" customHeight="1" thickBot="1">
      <c r="A118" s="1342" t="s">
        <v>208</v>
      </c>
      <c r="B118" s="1336" t="s">
        <v>1202</v>
      </c>
      <c r="C118" s="1336">
        <v>10080</v>
      </c>
      <c r="D118" s="1336">
        <v>10050</v>
      </c>
      <c r="E118" s="1336">
        <v>10350</v>
      </c>
      <c r="F118" s="1354">
        <v>1920</v>
      </c>
      <c r="H118" s="1361"/>
    </row>
    <row r="119" spans="1:8" s="1330" customFormat="1" ht="14.25" customHeight="1" thickBot="1">
      <c r="A119" s="1342" t="s">
        <v>208</v>
      </c>
      <c r="B119" s="1336" t="s">
        <v>1213</v>
      </c>
      <c r="C119" s="1336">
        <v>9450</v>
      </c>
      <c r="D119" s="1336">
        <v>9410</v>
      </c>
      <c r="E119" s="1336">
        <v>9680</v>
      </c>
      <c r="F119" s="1354">
        <v>1880</v>
      </c>
      <c r="H119" s="1361"/>
    </row>
    <row r="120" spans="1:8" s="1330" customFormat="1" ht="14.25" customHeight="1" thickBot="1">
      <c r="A120" s="1342" t="s">
        <v>208</v>
      </c>
      <c r="B120" s="1336" t="s">
        <v>1224</v>
      </c>
      <c r="C120" s="1336">
        <v>8730</v>
      </c>
      <c r="D120" s="1336">
        <v>8700</v>
      </c>
      <c r="E120" s="1336">
        <v>8950</v>
      </c>
      <c r="F120" s="1354">
        <v>1830</v>
      </c>
      <c r="H120" s="1361"/>
    </row>
    <row r="121" spans="1:8" s="1330" customFormat="1" ht="14.25" customHeight="1" thickBot="1">
      <c r="A121" s="1342" t="s">
        <v>208</v>
      </c>
      <c r="B121" s="1336" t="s">
        <v>1235</v>
      </c>
      <c r="C121" s="1336">
        <v>10070</v>
      </c>
      <c r="D121" s="1336">
        <v>10040</v>
      </c>
      <c r="E121" s="1336">
        <v>10270</v>
      </c>
      <c r="F121" s="1354">
        <v>1960</v>
      </c>
      <c r="H121" s="1361"/>
    </row>
    <row r="122" spans="1:8" s="1330" customFormat="1" ht="14.25" customHeight="1" thickBot="1">
      <c r="A122" s="1342" t="s">
        <v>208</v>
      </c>
      <c r="B122" s="1336" t="s">
        <v>1246</v>
      </c>
      <c r="C122" s="1336">
        <v>10500</v>
      </c>
      <c r="D122" s="1336">
        <v>10470</v>
      </c>
      <c r="E122" s="1336">
        <v>10780</v>
      </c>
      <c r="F122" s="1354">
        <v>2180</v>
      </c>
      <c r="H122" s="1361"/>
    </row>
    <row r="123" spans="1:8" s="1330" customFormat="1" ht="14.25" customHeight="1" thickBot="1">
      <c r="A123" s="1342" t="s">
        <v>208</v>
      </c>
      <c r="B123" s="1336" t="s">
        <v>1257</v>
      </c>
      <c r="C123" s="1336">
        <v>10390</v>
      </c>
      <c r="D123" s="1336">
        <v>10360</v>
      </c>
      <c r="E123" s="1336">
        <v>10660</v>
      </c>
      <c r="F123" s="1354">
        <v>2040</v>
      </c>
      <c r="H123" s="1361"/>
    </row>
    <row r="124" spans="1:8" s="1330" customFormat="1" ht="14.25" customHeight="1" thickBot="1">
      <c r="A124" s="1342" t="s">
        <v>208</v>
      </c>
      <c r="B124" s="1336" t="s">
        <v>1268</v>
      </c>
      <c r="C124" s="1336">
        <v>10390</v>
      </c>
      <c r="D124" s="1336">
        <v>10360</v>
      </c>
      <c r="E124" s="1336">
        <v>10680</v>
      </c>
      <c r="F124" s="1363"/>
      <c r="H124" s="1361"/>
    </row>
    <row r="125" spans="1:8" s="1330" customFormat="1" ht="14.25" customHeight="1" thickBot="1">
      <c r="A125" s="1342" t="s">
        <v>208</v>
      </c>
      <c r="B125" s="1336" t="s">
        <v>1278</v>
      </c>
      <c r="C125" s="1336">
        <v>10440</v>
      </c>
      <c r="D125" s="1336">
        <v>10410</v>
      </c>
      <c r="E125" s="1336">
        <v>10710</v>
      </c>
      <c r="F125" s="1363"/>
      <c r="H125" s="1361"/>
    </row>
    <row r="126" spans="1:8" s="1330" customFormat="1" ht="14.25" customHeight="1" thickBot="1">
      <c r="A126" s="1342" t="s">
        <v>208</v>
      </c>
      <c r="B126" s="1336" t="s">
        <v>1288</v>
      </c>
      <c r="C126" s="1336">
        <v>10780</v>
      </c>
      <c r="D126" s="1336">
        <v>10750</v>
      </c>
      <c r="E126" s="1336">
        <v>11080</v>
      </c>
      <c r="F126" s="1363"/>
      <c r="H126" s="1361"/>
    </row>
    <row r="127" spans="1:8" s="1330" customFormat="1" ht="14.25" customHeight="1" thickBot="1">
      <c r="A127" s="1342" t="s">
        <v>208</v>
      </c>
      <c r="B127" s="1336" t="s">
        <v>1298</v>
      </c>
      <c r="C127" s="1336">
        <v>10100</v>
      </c>
      <c r="D127" s="1336">
        <v>10070</v>
      </c>
      <c r="E127" s="1336">
        <v>10350</v>
      </c>
      <c r="F127" s="1363"/>
      <c r="H127" s="1361"/>
    </row>
    <row r="128" spans="1:8" s="1330" customFormat="1" ht="14.25" customHeight="1" thickBot="1">
      <c r="A128" s="1342" t="s">
        <v>208</v>
      </c>
      <c r="B128" s="1336" t="s">
        <v>1308</v>
      </c>
      <c r="C128" s="1336">
        <v>9200</v>
      </c>
      <c r="D128" s="1336">
        <v>9160</v>
      </c>
      <c r="E128" s="1336">
        <v>9660</v>
      </c>
      <c r="F128" s="1363"/>
      <c r="H128" s="1361"/>
    </row>
    <row r="129" spans="1:8" s="1330" customFormat="1" ht="14.25" customHeight="1" thickBot="1">
      <c r="A129" s="1342" t="s">
        <v>208</v>
      </c>
      <c r="B129" s="1336" t="s">
        <v>1317</v>
      </c>
      <c r="C129" s="1336">
        <v>10340</v>
      </c>
      <c r="D129" s="1336">
        <v>10310</v>
      </c>
      <c r="E129" s="1336">
        <v>10580</v>
      </c>
      <c r="F129" s="1363"/>
      <c r="H129" s="1361"/>
    </row>
    <row r="130" spans="1:8" s="1330" customFormat="1" ht="14.25" customHeight="1" thickBot="1">
      <c r="A130" s="1342" t="s">
        <v>208</v>
      </c>
      <c r="B130" s="1336" t="s">
        <v>1326</v>
      </c>
      <c r="C130" s="1336">
        <v>9680</v>
      </c>
      <c r="D130" s="1336">
        <v>9660</v>
      </c>
      <c r="E130" s="1336">
        <v>9950</v>
      </c>
      <c r="F130" s="1363"/>
      <c r="H130" s="1361"/>
    </row>
    <row r="131" spans="1:8" s="1330" customFormat="1" ht="14.25" customHeight="1" thickBot="1">
      <c r="A131" s="1342" t="s">
        <v>208</v>
      </c>
      <c r="B131" s="1336" t="s">
        <v>1334</v>
      </c>
      <c r="C131" s="1336">
        <v>9540</v>
      </c>
      <c r="D131" s="1336">
        <v>9510</v>
      </c>
      <c r="E131" s="1336">
        <v>9790</v>
      </c>
      <c r="F131" s="1363"/>
      <c r="H131" s="1361"/>
    </row>
    <row r="132" spans="1:8" s="1330" customFormat="1" ht="14.25" customHeight="1" thickBot="1">
      <c r="A132" s="1342" t="s">
        <v>208</v>
      </c>
      <c r="B132" s="1336" t="s">
        <v>1341</v>
      </c>
      <c r="C132" s="1336">
        <v>9320</v>
      </c>
      <c r="D132" s="1336">
        <v>9290</v>
      </c>
      <c r="E132" s="1336">
        <v>9570</v>
      </c>
      <c r="F132" s="1363"/>
      <c r="H132" s="1361"/>
    </row>
    <row r="133" spans="1:8" s="1330" customFormat="1" ht="14.25" customHeight="1" thickBot="1">
      <c r="A133" s="1342" t="s">
        <v>208</v>
      </c>
      <c r="B133" s="1336" t="s">
        <v>1348</v>
      </c>
      <c r="C133" s="1336">
        <v>10310</v>
      </c>
      <c r="D133" s="1336">
        <v>10280</v>
      </c>
      <c r="E133" s="1336">
        <v>10530</v>
      </c>
      <c r="F133" s="1363"/>
      <c r="H133" s="1361"/>
    </row>
    <row r="134" spans="1:8" s="1330" customFormat="1" ht="14.25" customHeight="1" thickBot="1">
      <c r="A134" s="1342" t="s">
        <v>208</v>
      </c>
      <c r="B134" s="1336" t="s">
        <v>1355</v>
      </c>
      <c r="C134" s="1336">
        <v>10370</v>
      </c>
      <c r="D134" s="1336">
        <v>10310</v>
      </c>
      <c r="E134" s="1336">
        <v>10240</v>
      </c>
      <c r="F134" s="1354">
        <v>2060</v>
      </c>
      <c r="H134" s="1361"/>
    </row>
    <row r="135" spans="1:8" s="1330" customFormat="1" ht="14.25" customHeight="1" thickBot="1">
      <c r="A135" s="1342" t="s">
        <v>208</v>
      </c>
      <c r="B135" s="1336" t="s">
        <v>1362</v>
      </c>
      <c r="C135" s="1336">
        <v>9300</v>
      </c>
      <c r="D135" s="1336">
        <v>9270</v>
      </c>
      <c r="E135" s="1336">
        <v>9350</v>
      </c>
      <c r="F135" s="1363"/>
      <c r="H135" s="1361"/>
    </row>
    <row r="136" spans="1:8" s="1330" customFormat="1" ht="14.25" customHeight="1" thickBot="1">
      <c r="A136" s="1342" t="s">
        <v>208</v>
      </c>
      <c r="B136" s="1336" t="s">
        <v>1369</v>
      </c>
      <c r="C136" s="1336">
        <v>10160</v>
      </c>
      <c r="D136" s="1336">
        <v>10110</v>
      </c>
      <c r="E136" s="1336">
        <v>10080</v>
      </c>
      <c r="F136" s="1363"/>
      <c r="H136" s="1361"/>
    </row>
    <row r="137" spans="1:8" s="1330" customFormat="1" ht="14.25" customHeight="1" thickBot="1">
      <c r="A137" s="1342" t="s">
        <v>208</v>
      </c>
      <c r="B137" s="1336" t="s">
        <v>1376</v>
      </c>
      <c r="C137" s="1336">
        <v>9200</v>
      </c>
      <c r="D137" s="1336">
        <v>9170</v>
      </c>
      <c r="E137" s="1336">
        <v>9450</v>
      </c>
      <c r="F137" s="1363"/>
      <c r="H137" s="1361"/>
    </row>
    <row r="138" spans="1:8" s="1330" customFormat="1" ht="14.25" customHeight="1" thickBot="1">
      <c r="A138" s="1342" t="s">
        <v>208</v>
      </c>
      <c r="B138" s="1336" t="s">
        <v>1381</v>
      </c>
      <c r="C138" s="1336">
        <v>9690</v>
      </c>
      <c r="D138" s="1336">
        <v>9660</v>
      </c>
      <c r="E138" s="1336">
        <v>9840</v>
      </c>
      <c r="F138" s="1363"/>
      <c r="H138" s="1361"/>
    </row>
    <row r="139" spans="1:8" s="1330" customFormat="1" ht="14.25" customHeight="1" thickBot="1">
      <c r="A139" s="1342" t="s">
        <v>208</v>
      </c>
      <c r="B139" s="1336" t="s">
        <v>1385</v>
      </c>
      <c r="C139" s="1336">
        <v>10290</v>
      </c>
      <c r="D139" s="1336">
        <v>10260</v>
      </c>
      <c r="E139" s="1336">
        <v>10550</v>
      </c>
      <c r="F139" s="1354">
        <v>1700</v>
      </c>
      <c r="H139" s="1361"/>
    </row>
    <row r="140" spans="1:8" s="1330" customFormat="1" ht="14.25" customHeight="1" thickBot="1">
      <c r="A140" s="1342" t="s">
        <v>208</v>
      </c>
      <c r="B140" s="1336" t="s">
        <v>1390</v>
      </c>
      <c r="C140" s="1336">
        <v>9740</v>
      </c>
      <c r="D140" s="1336">
        <v>9710</v>
      </c>
      <c r="E140" s="1336">
        <v>10000</v>
      </c>
      <c r="F140" s="1354">
        <v>2000</v>
      </c>
      <c r="H140" s="1361"/>
    </row>
    <row r="141" spans="1:8" s="1330" customFormat="1" ht="14.25" customHeight="1" thickBot="1">
      <c r="A141" s="1342" t="s">
        <v>208</v>
      </c>
      <c r="B141" s="1336" t="s">
        <v>1395</v>
      </c>
      <c r="C141" s="1336">
        <v>9810</v>
      </c>
      <c r="D141" s="1336">
        <v>9770</v>
      </c>
      <c r="E141" s="1336">
        <v>10060</v>
      </c>
      <c r="F141" s="1363"/>
      <c r="H141" s="1361"/>
    </row>
    <row r="142" spans="1:8" s="1330" customFormat="1" ht="14.25" customHeight="1" thickBot="1">
      <c r="A142" s="1342" t="s">
        <v>208</v>
      </c>
      <c r="B142" s="1336" t="s">
        <v>1400</v>
      </c>
      <c r="C142" s="1336">
        <v>9300</v>
      </c>
      <c r="D142" s="1336">
        <v>9270</v>
      </c>
      <c r="E142" s="1336">
        <v>9530</v>
      </c>
      <c r="F142" s="1363"/>
      <c r="H142" s="1361"/>
    </row>
    <row r="143" spans="1:8" s="1330" customFormat="1" ht="14.25" customHeight="1" thickBot="1">
      <c r="A143" s="1342" t="s">
        <v>208</v>
      </c>
      <c r="B143" s="1336" t="s">
        <v>1405</v>
      </c>
      <c r="C143" s="1336">
        <v>10080</v>
      </c>
      <c r="D143" s="1336">
        <v>10050</v>
      </c>
      <c r="E143" s="1336">
        <v>10340</v>
      </c>
      <c r="F143" s="1363"/>
      <c r="H143" s="1361"/>
    </row>
    <row r="144" spans="1:8" s="1330" customFormat="1" ht="14.25" customHeight="1" thickBot="1">
      <c r="A144" s="1342" t="s">
        <v>208</v>
      </c>
      <c r="B144" s="1336" t="s">
        <v>1409</v>
      </c>
      <c r="C144" s="1336">
        <v>9820</v>
      </c>
      <c r="D144" s="1336">
        <v>9750</v>
      </c>
      <c r="E144" s="1336">
        <v>9900</v>
      </c>
      <c r="F144" s="1363"/>
      <c r="H144" s="1361"/>
    </row>
    <row r="145" spans="1:8" s="1330" customFormat="1" ht="14.25" customHeight="1" thickBot="1">
      <c r="A145" s="1342" t="s">
        <v>208</v>
      </c>
      <c r="B145" s="1336" t="s">
        <v>1413</v>
      </c>
      <c r="C145" s="1336"/>
      <c r="D145" s="1336"/>
      <c r="E145" s="1336"/>
      <c r="F145" s="1354">
        <v>1740</v>
      </c>
      <c r="H145" s="1361"/>
    </row>
    <row r="146" spans="1:8" s="1330" customFormat="1" ht="14.25" customHeight="1" thickBot="1">
      <c r="A146" s="1342" t="s">
        <v>208</v>
      </c>
      <c r="B146" s="1336" t="s">
        <v>1417</v>
      </c>
      <c r="C146" s="1336"/>
      <c r="D146" s="1336"/>
      <c r="E146" s="1336"/>
      <c r="F146" s="1354">
        <v>1740</v>
      </c>
      <c r="H146" s="1361"/>
    </row>
    <row r="147" spans="1:8" s="1330" customFormat="1" ht="14.25" customHeight="1" thickBot="1">
      <c r="A147" s="1342" t="s">
        <v>208</v>
      </c>
      <c r="B147" s="1336" t="s">
        <v>1421</v>
      </c>
      <c r="C147" s="1336"/>
      <c r="D147" s="1336"/>
      <c r="E147" s="1336"/>
      <c r="F147" s="1354">
        <v>1740</v>
      </c>
      <c r="H147" s="1361"/>
    </row>
    <row r="148" spans="1:8" s="1330" customFormat="1" ht="14.25" customHeight="1" thickBot="1">
      <c r="A148" s="1342" t="s">
        <v>208</v>
      </c>
      <c r="B148" s="1336" t="s">
        <v>1425</v>
      </c>
      <c r="C148" s="1336"/>
      <c r="D148" s="1336"/>
      <c r="E148" s="1336"/>
      <c r="F148" s="1354">
        <v>1740</v>
      </c>
      <c r="H148" s="1361"/>
    </row>
    <row r="149" spans="1:8" s="1330" customFormat="1" ht="14.25" customHeight="1" thickBot="1">
      <c r="A149" s="1342" t="s">
        <v>208</v>
      </c>
      <c r="B149" s="1336" t="s">
        <v>1429</v>
      </c>
      <c r="C149" s="1336"/>
      <c r="D149" s="1336"/>
      <c r="E149" s="1336"/>
      <c r="F149" s="1354">
        <v>1740</v>
      </c>
      <c r="H149" s="1361"/>
    </row>
    <row r="150" spans="1:8" s="1330" customFormat="1" ht="14.25" customHeight="1" thickBot="1">
      <c r="A150" s="1342" t="s">
        <v>208</v>
      </c>
      <c r="B150" s="1336" t="s">
        <v>1432</v>
      </c>
      <c r="C150" s="1336"/>
      <c r="D150" s="1336"/>
      <c r="E150" s="1336"/>
      <c r="F150" s="1354">
        <v>1610</v>
      </c>
      <c r="H150" s="1361"/>
    </row>
    <row r="151" spans="1:8" s="1330" customFormat="1" ht="14.25" customHeight="1" thickBot="1">
      <c r="A151" s="1342" t="s">
        <v>208</v>
      </c>
      <c r="B151" s="1336" t="s">
        <v>1435</v>
      </c>
      <c r="C151" s="1336"/>
      <c r="D151" s="1336"/>
      <c r="E151" s="1336"/>
      <c r="F151" s="1354">
        <v>1610</v>
      </c>
      <c r="H151" s="1361"/>
    </row>
    <row r="152" spans="1:8" s="1330" customFormat="1" ht="14.25" customHeight="1" thickBot="1">
      <c r="A152" s="1342" t="s">
        <v>208</v>
      </c>
      <c r="B152" s="1336" t="s">
        <v>1438</v>
      </c>
      <c r="C152" s="1336"/>
      <c r="D152" s="1336"/>
      <c r="E152" s="1336"/>
      <c r="F152" s="1354">
        <v>1610</v>
      </c>
      <c r="H152" s="1361"/>
    </row>
    <row r="153" spans="1:8" s="1330" customFormat="1" ht="14.25" customHeight="1" thickBot="1">
      <c r="A153" s="1342" t="s">
        <v>208</v>
      </c>
      <c r="B153" s="1336" t="s">
        <v>1441</v>
      </c>
      <c r="C153" s="1336"/>
      <c r="D153" s="1336"/>
      <c r="E153" s="1336"/>
      <c r="F153" s="1354">
        <v>1610</v>
      </c>
      <c r="H153" s="1361"/>
    </row>
    <row r="154" spans="1:8" s="1330" customFormat="1" ht="14.25" customHeight="1" thickBot="1">
      <c r="A154" s="1342" t="s">
        <v>208</v>
      </c>
      <c r="B154" s="1336" t="s">
        <v>1444</v>
      </c>
      <c r="C154" s="1336"/>
      <c r="D154" s="1336"/>
      <c r="E154" s="1336"/>
      <c r="F154" s="1354">
        <v>1610</v>
      </c>
      <c r="H154" s="1361"/>
    </row>
    <row r="155" spans="1:8" s="1330" customFormat="1" ht="14.25" customHeight="1" thickBot="1">
      <c r="A155" s="1342" t="s">
        <v>208</v>
      </c>
      <c r="B155" s="1336" t="s">
        <v>1447</v>
      </c>
      <c r="C155" s="1336"/>
      <c r="D155" s="1336"/>
      <c r="E155" s="1336"/>
      <c r="F155" s="1354">
        <v>1800</v>
      </c>
      <c r="H155" s="1361"/>
    </row>
    <row r="156" spans="1:8" s="1330" customFormat="1" ht="14.25" customHeight="1" thickBot="1">
      <c r="A156" s="1342" t="s">
        <v>208</v>
      </c>
      <c r="B156" s="1336" t="s">
        <v>1449</v>
      </c>
      <c r="C156" s="1336"/>
      <c r="D156" s="1336"/>
      <c r="E156" s="1336"/>
      <c r="F156" s="1354">
        <v>1910</v>
      </c>
      <c r="H156" s="1361"/>
    </row>
    <row r="157" spans="1:8" s="1330" customFormat="1" ht="14.25" customHeight="1" thickBot="1">
      <c r="A157" s="1342" t="s">
        <v>208</v>
      </c>
      <c r="B157" s="1352" t="s">
        <v>1452</v>
      </c>
      <c r="C157" s="1352"/>
      <c r="D157" s="1352"/>
      <c r="E157" s="1352"/>
      <c r="F157" s="1362">
        <v>1500</v>
      </c>
      <c r="H157" s="1361"/>
    </row>
    <row r="158" spans="1:8" s="1330" customFormat="1" ht="14.25" customHeight="1" thickBot="1">
      <c r="A158" s="1342" t="s">
        <v>1457</v>
      </c>
      <c r="B158" s="1343" t="s">
        <v>1458</v>
      </c>
      <c r="C158" s="1343">
        <v>8170</v>
      </c>
      <c r="D158" s="1343">
        <v>8140</v>
      </c>
      <c r="E158" s="1343">
        <v>8590</v>
      </c>
      <c r="F158" s="1344">
        <v>1450</v>
      </c>
      <c r="H158" s="1361"/>
    </row>
    <row r="159" spans="1:8" s="1330" customFormat="1" ht="14.25" customHeight="1" thickBot="1">
      <c r="A159" s="1342" t="s">
        <v>1457</v>
      </c>
      <c r="B159" s="1336" t="s">
        <v>1116</v>
      </c>
      <c r="C159" s="1336">
        <v>7410</v>
      </c>
      <c r="D159" s="1336">
        <v>7370</v>
      </c>
      <c r="E159" s="1336">
        <v>8030</v>
      </c>
      <c r="F159" s="1354">
        <v>1510</v>
      </c>
      <c r="H159" s="1361"/>
    </row>
    <row r="160" spans="1:8" s="1330" customFormat="1" ht="14.25" customHeight="1" thickBot="1">
      <c r="A160" s="1342" t="s">
        <v>1457</v>
      </c>
      <c r="B160" s="1336" t="s">
        <v>1129</v>
      </c>
      <c r="C160" s="1336">
        <v>7240</v>
      </c>
      <c r="D160" s="1336">
        <v>7210</v>
      </c>
      <c r="E160" s="1336">
        <v>7860</v>
      </c>
      <c r="F160" s="1354">
        <v>1370</v>
      </c>
      <c r="H160" s="1361"/>
    </row>
    <row r="161" spans="1:8" s="1330" customFormat="1" ht="14.25" customHeight="1" thickBot="1">
      <c r="A161" s="1342" t="s">
        <v>1457</v>
      </c>
      <c r="B161" s="1336" t="s">
        <v>1142</v>
      </c>
      <c r="C161" s="1336">
        <v>7720</v>
      </c>
      <c r="D161" s="1336">
        <v>7690</v>
      </c>
      <c r="E161" s="1336">
        <v>8200</v>
      </c>
      <c r="F161" s="1354">
        <v>1190</v>
      </c>
      <c r="H161" s="1361"/>
    </row>
    <row r="162" spans="1:8" s="1330" customFormat="1" ht="14.25" customHeight="1" thickBot="1">
      <c r="A162" s="1342" t="s">
        <v>1457</v>
      </c>
      <c r="B162" s="1336" t="s">
        <v>1154</v>
      </c>
      <c r="C162" s="1336">
        <v>6900</v>
      </c>
      <c r="D162" s="1336">
        <v>6870</v>
      </c>
      <c r="E162" s="1336">
        <v>7500</v>
      </c>
      <c r="F162" s="1354">
        <v>1390</v>
      </c>
      <c r="H162" s="1361"/>
    </row>
    <row r="163" spans="1:8" s="1330" customFormat="1" ht="14.25" customHeight="1" thickBot="1">
      <c r="A163" s="1342" t="s">
        <v>1457</v>
      </c>
      <c r="B163" s="1336" t="s">
        <v>1166</v>
      </c>
      <c r="C163" s="1336">
        <v>7120</v>
      </c>
      <c r="D163" s="1336">
        <v>7090</v>
      </c>
      <c r="E163" s="1336">
        <v>7690</v>
      </c>
      <c r="F163" s="1354">
        <v>1230</v>
      </c>
      <c r="H163" s="1361"/>
    </row>
    <row r="164" spans="1:8" s="1330" customFormat="1" ht="14.25" customHeight="1" thickBot="1">
      <c r="A164" s="1342" t="s">
        <v>1457</v>
      </c>
      <c r="B164" s="1336" t="s">
        <v>1178</v>
      </c>
      <c r="C164" s="1336">
        <v>6560</v>
      </c>
      <c r="D164" s="1336">
        <v>6530</v>
      </c>
      <c r="E164" s="1336">
        <v>7110</v>
      </c>
      <c r="F164" s="1354">
        <v>1340</v>
      </c>
      <c r="H164" s="1361"/>
    </row>
    <row r="165" spans="1:8" s="1330" customFormat="1" ht="14.25" customHeight="1" thickBot="1">
      <c r="A165" s="1342" t="s">
        <v>1457</v>
      </c>
      <c r="B165" s="1336" t="s">
        <v>1190</v>
      </c>
      <c r="C165" s="1336">
        <v>7450</v>
      </c>
      <c r="D165" s="1336">
        <v>7430</v>
      </c>
      <c r="E165" s="1336">
        <v>8110</v>
      </c>
      <c r="F165" s="1354">
        <v>1290</v>
      </c>
      <c r="H165" s="1361"/>
    </row>
    <row r="166" spans="1:8" s="1330" customFormat="1" ht="14.25" customHeight="1" thickBot="1">
      <c r="A166" s="1342" t="s">
        <v>1457</v>
      </c>
      <c r="B166" s="1336" t="s">
        <v>1203</v>
      </c>
      <c r="C166" s="1336">
        <v>7490</v>
      </c>
      <c r="D166" s="1336">
        <v>7460</v>
      </c>
      <c r="E166" s="1336">
        <v>8150</v>
      </c>
      <c r="F166" s="1354">
        <v>1350</v>
      </c>
      <c r="H166" s="1361"/>
    </row>
    <row r="167" spans="1:8" s="1330" customFormat="1" ht="14.25" customHeight="1" thickBot="1">
      <c r="A167" s="1342" t="s">
        <v>1457</v>
      </c>
      <c r="B167" s="1336" t="s">
        <v>1214</v>
      </c>
      <c r="C167" s="1336">
        <v>7540</v>
      </c>
      <c r="D167" s="1336">
        <v>7510</v>
      </c>
      <c r="E167" s="1336">
        <v>8030</v>
      </c>
      <c r="F167" s="1363"/>
      <c r="H167" s="1361"/>
    </row>
    <row r="168" spans="1:8" s="1330" customFormat="1" ht="14.25" customHeight="1" thickBot="1">
      <c r="A168" s="1342" t="s">
        <v>1457</v>
      </c>
      <c r="B168" s="1336" t="s">
        <v>1225</v>
      </c>
      <c r="C168" s="1336">
        <v>7210</v>
      </c>
      <c r="D168" s="1336">
        <v>7180</v>
      </c>
      <c r="E168" s="1336">
        <v>7830</v>
      </c>
      <c r="F168" s="1363"/>
      <c r="H168" s="1361"/>
    </row>
    <row r="169" spans="1:8" s="1330" customFormat="1" ht="14.25" customHeight="1" thickBot="1">
      <c r="A169" s="1342" t="s">
        <v>1457</v>
      </c>
      <c r="B169" s="1336" t="s">
        <v>1236</v>
      </c>
      <c r="C169" s="1336">
        <v>7040</v>
      </c>
      <c r="D169" s="1336">
        <v>7020</v>
      </c>
      <c r="E169" s="1336">
        <v>7670</v>
      </c>
      <c r="F169" s="1363"/>
      <c r="H169" s="1361"/>
    </row>
    <row r="170" spans="1:8" s="1330" customFormat="1" ht="14.25" customHeight="1" thickBot="1">
      <c r="A170" s="1342" t="s">
        <v>1457</v>
      </c>
      <c r="B170" s="1336" t="s">
        <v>1247</v>
      </c>
      <c r="C170" s="1336">
        <v>8040</v>
      </c>
      <c r="D170" s="1336">
        <v>7190</v>
      </c>
      <c r="E170" s="1336">
        <v>7850</v>
      </c>
      <c r="F170" s="1363"/>
      <c r="H170" s="1361"/>
    </row>
    <row r="171" spans="1:8" s="1330" customFormat="1" ht="14.25" customHeight="1" thickBot="1">
      <c r="A171" s="1342" t="s">
        <v>1457</v>
      </c>
      <c r="B171" s="1336" t="s">
        <v>1258</v>
      </c>
      <c r="C171" s="1336">
        <v>7860</v>
      </c>
      <c r="D171" s="1336">
        <v>7720</v>
      </c>
      <c r="E171" s="1336">
        <v>8150</v>
      </c>
      <c r="F171" s="1354">
        <v>1110</v>
      </c>
      <c r="H171" s="1361"/>
    </row>
    <row r="172" spans="1:8" s="1330" customFormat="1" ht="14.25" customHeight="1" thickBot="1">
      <c r="A172" s="1342" t="s">
        <v>1457</v>
      </c>
      <c r="B172" s="1336" t="s">
        <v>1269</v>
      </c>
      <c r="C172" s="1336">
        <v>7210</v>
      </c>
      <c r="D172" s="1336">
        <v>7170</v>
      </c>
      <c r="E172" s="1336">
        <v>7320</v>
      </c>
      <c r="F172" s="1363"/>
      <c r="H172" s="1361"/>
    </row>
    <row r="173" spans="1:8" s="1330" customFormat="1" ht="14.25" customHeight="1" thickBot="1">
      <c r="A173" s="1342" t="s">
        <v>1457</v>
      </c>
      <c r="B173" s="1336" t="s">
        <v>1279</v>
      </c>
      <c r="C173" s="1336">
        <v>6860</v>
      </c>
      <c r="D173" s="1336">
        <v>6810</v>
      </c>
      <c r="E173" s="1336">
        <v>7440</v>
      </c>
      <c r="F173" s="1363"/>
      <c r="H173" s="1361"/>
    </row>
    <row r="174" spans="1:8" s="1330" customFormat="1" ht="14.25" customHeight="1" thickBot="1">
      <c r="A174" s="1342" t="s">
        <v>1457</v>
      </c>
      <c r="B174" s="1336" t="s">
        <v>1289</v>
      </c>
      <c r="C174" s="1336">
        <v>7120</v>
      </c>
      <c r="D174" s="1336">
        <v>7090</v>
      </c>
      <c r="E174" s="1336">
        <v>7500</v>
      </c>
      <c r="F174" s="1354">
        <v>1490</v>
      </c>
      <c r="H174" s="1361"/>
    </row>
    <row r="175" spans="1:8" s="1330" customFormat="1" ht="14.25" customHeight="1" thickBot="1">
      <c r="A175" s="1342" t="s">
        <v>1457</v>
      </c>
      <c r="B175" s="1336" t="s">
        <v>1299</v>
      </c>
      <c r="C175" s="1336">
        <v>7850</v>
      </c>
      <c r="D175" s="1336">
        <v>7820</v>
      </c>
      <c r="E175" s="1336">
        <v>8120</v>
      </c>
      <c r="F175" s="1354">
        <v>1530</v>
      </c>
      <c r="H175" s="1361"/>
    </row>
    <row r="176" spans="1:8" s="1330" customFormat="1" ht="14.25" customHeight="1" thickBot="1">
      <c r="A176" s="1342" t="s">
        <v>1457</v>
      </c>
      <c r="B176" s="1336" t="s">
        <v>1309</v>
      </c>
      <c r="C176" s="1336">
        <v>7620</v>
      </c>
      <c r="D176" s="1336">
        <v>7570</v>
      </c>
      <c r="E176" s="1336">
        <v>7990</v>
      </c>
      <c r="F176" s="1354">
        <v>1480</v>
      </c>
      <c r="H176" s="1361"/>
    </row>
    <row r="177" spans="1:8" s="1330" customFormat="1" ht="14.25" customHeight="1" thickBot="1">
      <c r="A177" s="1342" t="s">
        <v>1457</v>
      </c>
      <c r="B177" s="1336" t="s">
        <v>1318</v>
      </c>
      <c r="C177" s="1336">
        <v>8590</v>
      </c>
      <c r="D177" s="1336">
        <v>8570</v>
      </c>
      <c r="E177" s="1336">
        <v>8740</v>
      </c>
      <c r="F177" s="1354">
        <v>1540</v>
      </c>
      <c r="H177" s="1361"/>
    </row>
    <row r="178" spans="1:8" s="1330" customFormat="1" ht="14.25" customHeight="1" thickBot="1">
      <c r="A178" s="1342" t="s">
        <v>1457</v>
      </c>
      <c r="B178" s="1336" t="s">
        <v>1327</v>
      </c>
      <c r="C178" s="1336">
        <v>7510</v>
      </c>
      <c r="D178" s="1336">
        <v>7470</v>
      </c>
      <c r="E178" s="1336">
        <v>8090</v>
      </c>
      <c r="F178" s="1354">
        <v>1320</v>
      </c>
      <c r="H178" s="1361"/>
    </row>
    <row r="179" spans="1:8" s="1330" customFormat="1" ht="14.25" customHeight="1" thickBot="1">
      <c r="A179" s="1342" t="s">
        <v>1457</v>
      </c>
      <c r="B179" s="1336" t="s">
        <v>1335</v>
      </c>
      <c r="C179" s="1336">
        <v>6380</v>
      </c>
      <c r="D179" s="1336">
        <v>6340</v>
      </c>
      <c r="E179" s="1336">
        <v>6810</v>
      </c>
      <c r="F179" s="1363"/>
      <c r="H179" s="1361"/>
    </row>
    <row r="180" spans="1:8" s="1330" customFormat="1" ht="14.25" customHeight="1" thickBot="1">
      <c r="A180" s="1342" t="s">
        <v>1457</v>
      </c>
      <c r="B180" s="1336" t="s">
        <v>1342</v>
      </c>
      <c r="C180" s="1336">
        <v>7830</v>
      </c>
      <c r="D180" s="1336">
        <v>7800</v>
      </c>
      <c r="E180" s="1336">
        <v>7780</v>
      </c>
      <c r="F180" s="1354">
        <v>1440</v>
      </c>
      <c r="H180" s="1361"/>
    </row>
    <row r="181" spans="1:8" s="1330" customFormat="1" ht="14.25" customHeight="1" thickBot="1">
      <c r="A181" s="1342" t="s">
        <v>1457</v>
      </c>
      <c r="B181" s="1336" t="s">
        <v>1349</v>
      </c>
      <c r="C181" s="1336">
        <v>7110</v>
      </c>
      <c r="D181" s="1336">
        <v>7080</v>
      </c>
      <c r="E181" s="1336">
        <v>7730</v>
      </c>
      <c r="F181" s="1354">
        <v>1350</v>
      </c>
      <c r="H181" s="1361"/>
    </row>
    <row r="182" spans="1:8" s="1330" customFormat="1" ht="14.25" customHeight="1" thickBot="1">
      <c r="A182" s="1342" t="s">
        <v>1457</v>
      </c>
      <c r="B182" s="1336" t="s">
        <v>1356</v>
      </c>
      <c r="C182" s="1336">
        <v>7310</v>
      </c>
      <c r="D182" s="1336">
        <v>7280</v>
      </c>
      <c r="E182" s="1336">
        <v>7950</v>
      </c>
      <c r="F182" s="1354">
        <v>1220</v>
      </c>
      <c r="H182" s="1361"/>
    </row>
    <row r="183" spans="1:8" s="1330" customFormat="1" ht="14.25" customHeight="1" thickBot="1">
      <c r="A183" s="1342" t="s">
        <v>1457</v>
      </c>
      <c r="B183" s="1336" t="s">
        <v>1363</v>
      </c>
      <c r="C183" s="1336">
        <v>7470</v>
      </c>
      <c r="D183" s="1336">
        <v>7440</v>
      </c>
      <c r="E183" s="1336">
        <v>7880</v>
      </c>
      <c r="F183" s="1363"/>
      <c r="H183" s="1361"/>
    </row>
    <row r="184" spans="1:8" s="1330" customFormat="1" ht="14.25" customHeight="1" thickBot="1">
      <c r="A184" s="1342" t="s">
        <v>1457</v>
      </c>
      <c r="B184" s="1336" t="s">
        <v>1370</v>
      </c>
      <c r="C184" s="1336">
        <v>6960</v>
      </c>
      <c r="D184" s="1336">
        <v>6930</v>
      </c>
      <c r="E184" s="1336">
        <v>7570</v>
      </c>
      <c r="F184" s="1363"/>
      <c r="H184" s="1361"/>
    </row>
    <row r="185" spans="1:8" s="1330" customFormat="1" ht="14.25" customHeight="1" thickBot="1">
      <c r="A185" s="1342" t="s">
        <v>1457</v>
      </c>
      <c r="B185" s="1336" t="s">
        <v>1377</v>
      </c>
      <c r="C185" s="1336">
        <v>7260</v>
      </c>
      <c r="D185" s="1336">
        <v>7230</v>
      </c>
      <c r="E185" s="1336">
        <v>7710</v>
      </c>
      <c r="F185" s="1354">
        <v>1360</v>
      </c>
      <c r="H185" s="1361"/>
    </row>
    <row r="186" spans="1:8" s="1330" customFormat="1" ht="14.25" customHeight="1" thickBot="1">
      <c r="A186" s="1342" t="s">
        <v>1457</v>
      </c>
      <c r="B186" s="1336" t="s">
        <v>1382</v>
      </c>
      <c r="C186" s="1336"/>
      <c r="D186" s="1336"/>
      <c r="E186" s="1336"/>
      <c r="F186" s="1354">
        <v>1560</v>
      </c>
      <c r="H186" s="1361"/>
    </row>
    <row r="187" spans="1:8" s="1330" customFormat="1" ht="14.25" customHeight="1" thickBot="1">
      <c r="A187" s="1342" t="s">
        <v>1457</v>
      </c>
      <c r="B187" s="1336" t="s">
        <v>1386</v>
      </c>
      <c r="C187" s="1336"/>
      <c r="D187" s="1336"/>
      <c r="E187" s="1336"/>
      <c r="F187" s="1354">
        <v>1560</v>
      </c>
      <c r="H187" s="1361"/>
    </row>
    <row r="188" spans="1:8" s="1330" customFormat="1" ht="14.25" customHeight="1" thickBot="1">
      <c r="A188" s="1342" t="s">
        <v>1457</v>
      </c>
      <c r="B188" s="1336" t="s">
        <v>1391</v>
      </c>
      <c r="C188" s="1336"/>
      <c r="D188" s="1336"/>
      <c r="E188" s="1336"/>
      <c r="F188" s="1354">
        <v>1560</v>
      </c>
      <c r="H188" s="1361"/>
    </row>
    <row r="189" spans="1:8" s="1330" customFormat="1" ht="14.25" customHeight="1" thickBot="1">
      <c r="A189" s="1342" t="s">
        <v>1457</v>
      </c>
      <c r="B189" s="1336" t="s">
        <v>1396</v>
      </c>
      <c r="C189" s="1336"/>
      <c r="D189" s="1336"/>
      <c r="E189" s="1336"/>
      <c r="F189" s="1354">
        <v>1320</v>
      </c>
      <c r="H189" s="1361"/>
    </row>
    <row r="190" spans="1:8" s="1330" customFormat="1" ht="14.25" customHeight="1" thickBot="1">
      <c r="A190" s="1342" t="s">
        <v>1457</v>
      </c>
      <c r="B190" s="1336" t="s">
        <v>1401</v>
      </c>
      <c r="C190" s="1336"/>
      <c r="D190" s="1336"/>
      <c r="E190" s="1336"/>
      <c r="F190" s="1354">
        <v>1320</v>
      </c>
      <c r="H190" s="1361"/>
    </row>
    <row r="191" spans="1:8" s="1330" customFormat="1" ht="14.25" customHeight="1" thickBot="1">
      <c r="A191" s="1342" t="s">
        <v>1457</v>
      </c>
      <c r="B191" s="1336" t="s">
        <v>1406</v>
      </c>
      <c r="C191" s="1336"/>
      <c r="D191" s="1336"/>
      <c r="E191" s="1336"/>
      <c r="F191" s="1354">
        <v>1320</v>
      </c>
      <c r="H191" s="1361"/>
    </row>
    <row r="192" spans="1:8" s="1330" customFormat="1" ht="14.25" customHeight="1" thickBot="1">
      <c r="A192" s="1342" t="s">
        <v>1457</v>
      </c>
      <c r="B192" s="1336" t="s">
        <v>1410</v>
      </c>
      <c r="C192" s="1336"/>
      <c r="D192" s="1336"/>
      <c r="E192" s="1336"/>
      <c r="F192" s="1354">
        <v>1100</v>
      </c>
      <c r="H192" s="1361"/>
    </row>
    <row r="193" spans="1:8" s="1330" customFormat="1" ht="14.25" customHeight="1" thickBot="1">
      <c r="A193" s="1342" t="s">
        <v>1457</v>
      </c>
      <c r="B193" s="1336" t="s">
        <v>1414</v>
      </c>
      <c r="C193" s="1336"/>
      <c r="D193" s="1336"/>
      <c r="E193" s="1336"/>
      <c r="F193" s="1354">
        <v>1100</v>
      </c>
      <c r="H193" s="1361"/>
    </row>
    <row r="194" spans="1:8" s="1330" customFormat="1" ht="14.25" customHeight="1" thickBot="1">
      <c r="A194" s="1342" t="s">
        <v>1457</v>
      </c>
      <c r="B194" s="1336" t="s">
        <v>1418</v>
      </c>
      <c r="C194" s="1336"/>
      <c r="D194" s="1336"/>
      <c r="E194" s="1336"/>
      <c r="F194" s="1354">
        <v>1080</v>
      </c>
      <c r="H194" s="1361"/>
    </row>
    <row r="195" spans="1:8" s="1330" customFormat="1" ht="14.25" customHeight="1" thickBot="1">
      <c r="A195" s="1342" t="s">
        <v>1457</v>
      </c>
      <c r="B195" s="1336" t="s">
        <v>1422</v>
      </c>
      <c r="C195" s="1336"/>
      <c r="D195" s="1336"/>
      <c r="E195" s="1336"/>
      <c r="F195" s="1354">
        <v>1270</v>
      </c>
      <c r="H195" s="1361"/>
    </row>
    <row r="196" spans="1:8" s="1330" customFormat="1" ht="14.25" customHeight="1" thickBot="1">
      <c r="A196" s="1342" t="s">
        <v>1457</v>
      </c>
      <c r="B196" s="1336" t="s">
        <v>1426</v>
      </c>
      <c r="C196" s="1336"/>
      <c r="D196" s="1336"/>
      <c r="E196" s="1336"/>
      <c r="F196" s="1354">
        <v>1150</v>
      </c>
      <c r="H196" s="1361"/>
    </row>
    <row r="197" spans="1:8" s="1330" customFormat="1" ht="14.25" customHeight="1" thickBot="1">
      <c r="A197" s="1342" t="s">
        <v>1457</v>
      </c>
      <c r="B197" s="1336" t="s">
        <v>1430</v>
      </c>
      <c r="C197" s="1336"/>
      <c r="D197" s="1336"/>
      <c r="E197" s="1336"/>
      <c r="F197" s="1354">
        <v>1330</v>
      </c>
      <c r="H197" s="1361"/>
    </row>
    <row r="198" spans="1:8" s="1330" customFormat="1" ht="14.25" customHeight="1" thickBot="1">
      <c r="A198" s="1342" t="s">
        <v>1457</v>
      </c>
      <c r="B198" s="1336" t="s">
        <v>1433</v>
      </c>
      <c r="C198" s="1336"/>
      <c r="D198" s="1336"/>
      <c r="E198" s="1336"/>
      <c r="F198" s="1354">
        <v>1170</v>
      </c>
      <c r="H198" s="1361"/>
    </row>
    <row r="199" spans="1:8" s="1330" customFormat="1" ht="14.25" customHeight="1" thickBot="1">
      <c r="A199" s="1342" t="s">
        <v>1457</v>
      </c>
      <c r="B199" s="1336" t="s">
        <v>1436</v>
      </c>
      <c r="C199" s="1336"/>
      <c r="D199" s="1336"/>
      <c r="E199" s="1336"/>
      <c r="F199" s="1354">
        <v>1120</v>
      </c>
      <c r="H199" s="1361"/>
    </row>
    <row r="200" spans="1:8" s="1330" customFormat="1" ht="14.25" customHeight="1" thickBot="1">
      <c r="A200" s="1342" t="s">
        <v>1457</v>
      </c>
      <c r="B200" s="1336" t="s">
        <v>1439</v>
      </c>
      <c r="C200" s="1336"/>
      <c r="D200" s="1336"/>
      <c r="E200" s="1336"/>
      <c r="F200" s="1354">
        <v>1120</v>
      </c>
      <c r="H200" s="1361"/>
    </row>
    <row r="201" spans="1:8" s="1330" customFormat="1" ht="14.25" customHeight="1" thickBot="1">
      <c r="A201" s="1342" t="s">
        <v>1457</v>
      </c>
      <c r="B201" s="1336" t="s">
        <v>1442</v>
      </c>
      <c r="C201" s="1336"/>
      <c r="D201" s="1336"/>
      <c r="E201" s="1336"/>
      <c r="F201" s="1354">
        <v>1540</v>
      </c>
      <c r="H201" s="1361"/>
    </row>
    <row r="202" spans="1:8" s="1330" customFormat="1" ht="14.25" customHeight="1" thickBot="1">
      <c r="A202" s="1342" t="s">
        <v>1457</v>
      </c>
      <c r="B202" s="1336" t="s">
        <v>1445</v>
      </c>
      <c r="C202" s="1336"/>
      <c r="D202" s="1336"/>
      <c r="E202" s="1336"/>
      <c r="F202" s="1354">
        <v>1310</v>
      </c>
      <c r="H202" s="1361"/>
    </row>
    <row r="203" spans="1:8" s="1330" customFormat="1" ht="14.25" customHeight="1" thickBot="1">
      <c r="A203" s="1342" t="s">
        <v>1457</v>
      </c>
      <c r="B203" s="1336" t="s">
        <v>1448</v>
      </c>
      <c r="C203" s="1336"/>
      <c r="D203" s="1336"/>
      <c r="E203" s="1336"/>
      <c r="F203" s="1354">
        <v>1310</v>
      </c>
      <c r="H203" s="1361"/>
    </row>
    <row r="204" spans="1:8" s="1330" customFormat="1" ht="14.25" customHeight="1" thickBot="1">
      <c r="A204" s="1342" t="s">
        <v>1457</v>
      </c>
      <c r="B204" s="1336" t="s">
        <v>1450</v>
      </c>
      <c r="C204" s="1336"/>
      <c r="D204" s="1336"/>
      <c r="E204" s="1336"/>
      <c r="F204" s="1354">
        <v>1080</v>
      </c>
      <c r="H204" s="1361"/>
    </row>
    <row r="205" spans="1:8" s="1330" customFormat="1" ht="14.25" customHeight="1" thickBot="1">
      <c r="A205" s="1342" t="s">
        <v>1457</v>
      </c>
      <c r="B205" s="1336" t="s">
        <v>1453</v>
      </c>
      <c r="C205" s="1336"/>
      <c r="D205" s="1336"/>
      <c r="E205" s="1336"/>
      <c r="F205" s="1354">
        <v>1080</v>
      </c>
      <c r="H205" s="1361"/>
    </row>
    <row r="206" spans="1:8" s="1330" customFormat="1" ht="14.25" customHeight="1" thickBot="1">
      <c r="A206" s="1342" t="s">
        <v>1459</v>
      </c>
      <c r="B206" s="1343" t="s">
        <v>1460</v>
      </c>
      <c r="C206" s="1343">
        <v>5450</v>
      </c>
      <c r="D206" s="1343">
        <v>5430</v>
      </c>
      <c r="E206" s="1343">
        <v>5700</v>
      </c>
      <c r="F206" s="1344">
        <v>1020</v>
      </c>
      <c r="H206" s="1361"/>
    </row>
    <row r="207" spans="1:8" s="1330" customFormat="1" ht="14.25" customHeight="1" thickBot="1">
      <c r="A207" s="1342" t="s">
        <v>1459</v>
      </c>
      <c r="B207" s="1336" t="s">
        <v>1117</v>
      </c>
      <c r="C207" s="1336">
        <v>5860</v>
      </c>
      <c r="D207" s="1336">
        <v>5820</v>
      </c>
      <c r="E207" s="1336">
        <v>6050</v>
      </c>
      <c r="F207" s="1354">
        <v>1080</v>
      </c>
      <c r="H207" s="1361"/>
    </row>
    <row r="208" spans="1:8" s="1330" customFormat="1" ht="14.25" customHeight="1" thickBot="1">
      <c r="A208" s="1342" t="s">
        <v>1459</v>
      </c>
      <c r="B208" s="1336" t="s">
        <v>1130</v>
      </c>
      <c r="C208" s="1336">
        <v>4630</v>
      </c>
      <c r="D208" s="1336">
        <v>4600</v>
      </c>
      <c r="E208" s="1336">
        <v>4840</v>
      </c>
      <c r="F208" s="1354">
        <v>900</v>
      </c>
      <c r="H208" s="1361"/>
    </row>
    <row r="209" spans="1:8" s="1330" customFormat="1" ht="14.25" customHeight="1" thickBot="1">
      <c r="A209" s="1342" t="s">
        <v>1459</v>
      </c>
      <c r="B209" s="1336" t="s">
        <v>1143</v>
      </c>
      <c r="C209" s="1336">
        <v>5320</v>
      </c>
      <c r="D209" s="1336">
        <v>5270</v>
      </c>
      <c r="E209" s="1336">
        <v>5540</v>
      </c>
      <c r="F209" s="1354">
        <v>980</v>
      </c>
      <c r="H209" s="1361"/>
    </row>
    <row r="210" spans="1:8" s="1330" customFormat="1" ht="14.25" customHeight="1" thickBot="1">
      <c r="A210" s="1342" t="s">
        <v>1459</v>
      </c>
      <c r="B210" s="1336" t="s">
        <v>1155</v>
      </c>
      <c r="C210" s="1336">
        <v>5760</v>
      </c>
      <c r="D210" s="1336">
        <v>5710</v>
      </c>
      <c r="E210" s="1336">
        <v>6010</v>
      </c>
      <c r="F210" s="1354">
        <v>870</v>
      </c>
      <c r="H210" s="1361"/>
    </row>
    <row r="211" spans="1:8" s="1330" customFormat="1" ht="14.25" customHeight="1" thickBot="1">
      <c r="A211" s="1342" t="s">
        <v>1459</v>
      </c>
      <c r="B211" s="1336" t="s">
        <v>1167</v>
      </c>
      <c r="C211" s="1336">
        <v>4160</v>
      </c>
      <c r="D211" s="1336">
        <v>4100</v>
      </c>
      <c r="E211" s="1336">
        <v>4270</v>
      </c>
      <c r="F211" s="1354">
        <v>790</v>
      </c>
      <c r="H211" s="1361"/>
    </row>
    <row r="212" spans="1:8" s="1330" customFormat="1" ht="14.25" customHeight="1" thickBot="1">
      <c r="A212" s="1342" t="s">
        <v>1459</v>
      </c>
      <c r="B212" s="1336" t="s">
        <v>1179</v>
      </c>
      <c r="C212" s="1336">
        <v>4880</v>
      </c>
      <c r="D212" s="1336">
        <v>4850</v>
      </c>
      <c r="E212" s="1336">
        <v>5110</v>
      </c>
      <c r="F212" s="1354">
        <v>940</v>
      </c>
      <c r="H212" s="1361"/>
    </row>
    <row r="213" spans="1:8" s="1330" customFormat="1" ht="14.25" customHeight="1" thickBot="1">
      <c r="A213" s="1342" t="s">
        <v>1459</v>
      </c>
      <c r="B213" s="1336" t="s">
        <v>1191</v>
      </c>
      <c r="C213" s="1336">
        <v>4640</v>
      </c>
      <c r="D213" s="1336">
        <v>4590</v>
      </c>
      <c r="E213" s="1336">
        <v>4700</v>
      </c>
      <c r="F213" s="1354">
        <v>1030</v>
      </c>
      <c r="H213" s="1361"/>
    </row>
    <row r="214" spans="1:8" s="1330" customFormat="1" ht="14.25" customHeight="1" thickBot="1">
      <c r="A214" s="1342" t="s">
        <v>1459</v>
      </c>
      <c r="B214" s="1336" t="s">
        <v>1204</v>
      </c>
      <c r="C214" s="1336">
        <v>4540</v>
      </c>
      <c r="D214" s="1336">
        <v>4490</v>
      </c>
      <c r="E214" s="1336">
        <v>4610</v>
      </c>
      <c r="F214" s="1363"/>
      <c r="H214" s="1361"/>
    </row>
    <row r="215" spans="1:8" s="1330" customFormat="1" ht="14.25" customHeight="1" thickBot="1">
      <c r="A215" s="1342" t="s">
        <v>1459</v>
      </c>
      <c r="B215" s="1336" t="s">
        <v>1215</v>
      </c>
      <c r="C215" s="1336">
        <v>5280</v>
      </c>
      <c r="D215" s="1336">
        <v>5250</v>
      </c>
      <c r="E215" s="1336">
        <v>5520</v>
      </c>
      <c r="F215" s="1354">
        <v>1000</v>
      </c>
      <c r="H215" s="1361"/>
    </row>
    <row r="216" spans="1:8" s="1330" customFormat="1" ht="14.25" customHeight="1" thickBot="1">
      <c r="A216" s="1342" t="s">
        <v>1459</v>
      </c>
      <c r="B216" s="1336" t="s">
        <v>1226</v>
      </c>
      <c r="C216" s="1336">
        <v>5100</v>
      </c>
      <c r="D216" s="1336">
        <v>5050</v>
      </c>
      <c r="E216" s="1336">
        <v>5300</v>
      </c>
      <c r="F216" s="1354">
        <v>950</v>
      </c>
      <c r="H216" s="1361"/>
    </row>
    <row r="217" spans="1:8" s="1330" customFormat="1" ht="14.25" customHeight="1" thickBot="1">
      <c r="A217" s="1342" t="s">
        <v>1459</v>
      </c>
      <c r="B217" s="1336" t="s">
        <v>1237</v>
      </c>
      <c r="C217" s="1336">
        <v>5370</v>
      </c>
      <c r="D217" s="1336">
        <v>5320</v>
      </c>
      <c r="E217" s="1336">
        <v>5410</v>
      </c>
      <c r="F217" s="1354">
        <v>950</v>
      </c>
      <c r="H217" s="1361"/>
    </row>
    <row r="218" spans="1:8" s="1330" customFormat="1" ht="14.25" customHeight="1" thickBot="1">
      <c r="A218" s="1342" t="s">
        <v>1459</v>
      </c>
      <c r="B218" s="1336" t="s">
        <v>1248</v>
      </c>
      <c r="C218" s="1336">
        <v>5540</v>
      </c>
      <c r="D218" s="1336">
        <v>5480</v>
      </c>
      <c r="E218" s="1336">
        <v>5740</v>
      </c>
      <c r="F218" s="1354">
        <v>1020</v>
      </c>
      <c r="H218" s="1361"/>
    </row>
    <row r="219" spans="1:8" s="1330" customFormat="1" ht="14.25" customHeight="1" thickBot="1">
      <c r="A219" s="1342" t="s">
        <v>1459</v>
      </c>
      <c r="B219" s="1336" t="s">
        <v>1259</v>
      </c>
      <c r="C219" s="1336">
        <v>5140</v>
      </c>
      <c r="D219" s="1336">
        <v>5100</v>
      </c>
      <c r="E219" s="1336">
        <v>5350</v>
      </c>
      <c r="F219" s="1354">
        <v>1120</v>
      </c>
      <c r="H219" s="1361"/>
    </row>
    <row r="220" spans="1:8" s="1330" customFormat="1" ht="14.25" customHeight="1" thickBot="1">
      <c r="A220" s="1342" t="s">
        <v>1459</v>
      </c>
      <c r="B220" s="1336" t="s">
        <v>1270</v>
      </c>
      <c r="C220" s="1336">
        <v>5040</v>
      </c>
      <c r="D220" s="1336">
        <v>5000</v>
      </c>
      <c r="E220" s="1336">
        <v>5240</v>
      </c>
      <c r="F220" s="1354">
        <v>980</v>
      </c>
      <c r="H220" s="1361"/>
    </row>
    <row r="221" spans="1:8" s="1330" customFormat="1" ht="14.25" customHeight="1" thickBot="1">
      <c r="A221" s="1342" t="s">
        <v>1459</v>
      </c>
      <c r="B221" s="1336" t="s">
        <v>1280</v>
      </c>
      <c r="C221" s="1364"/>
      <c r="D221" s="1364"/>
      <c r="E221" s="1364"/>
      <c r="F221" s="1354">
        <v>1070</v>
      </c>
      <c r="H221" s="1361"/>
    </row>
    <row r="222" spans="1:8" s="1330" customFormat="1" ht="14.25" customHeight="1" thickBot="1">
      <c r="A222" s="1342" t="s">
        <v>1459</v>
      </c>
      <c r="B222" s="1336" t="s">
        <v>1290</v>
      </c>
      <c r="C222" s="1364"/>
      <c r="D222" s="1364"/>
      <c r="E222" s="1364"/>
      <c r="F222" s="1354">
        <v>870</v>
      </c>
      <c r="H222" s="1361"/>
    </row>
    <row r="223" spans="1:8" s="1330" customFormat="1" ht="14.25" customHeight="1" thickBot="1">
      <c r="A223" s="1342" t="s">
        <v>1459</v>
      </c>
      <c r="B223" s="1336" t="s">
        <v>1300</v>
      </c>
      <c r="C223" s="1364"/>
      <c r="D223" s="1364"/>
      <c r="E223" s="1364"/>
      <c r="F223" s="1354">
        <v>940</v>
      </c>
      <c r="H223" s="1361"/>
    </row>
    <row r="224" spans="1:8" s="1330" customFormat="1" ht="14.25" customHeight="1" thickBot="1">
      <c r="A224" s="1342" t="s">
        <v>1459</v>
      </c>
      <c r="B224" s="1336" t="s">
        <v>1310</v>
      </c>
      <c r="C224" s="1364"/>
      <c r="D224" s="1364"/>
      <c r="E224" s="1364"/>
      <c r="F224" s="1354">
        <v>990</v>
      </c>
      <c r="H224" s="1361"/>
    </row>
    <row r="225" spans="1:8" s="1330" customFormat="1" ht="14.25" customHeight="1" thickBot="1">
      <c r="A225" s="1342" t="s">
        <v>1459</v>
      </c>
      <c r="B225" s="1336" t="s">
        <v>1319</v>
      </c>
      <c r="C225" s="1336">
        <v>5730</v>
      </c>
      <c r="D225" s="1336">
        <v>5680</v>
      </c>
      <c r="E225" s="1336">
        <v>6020</v>
      </c>
      <c r="F225" s="1354">
        <v>1000</v>
      </c>
      <c r="H225" s="1361"/>
    </row>
    <row r="226" spans="1:8" s="1330" customFormat="1" ht="14.25" customHeight="1" thickBot="1">
      <c r="A226" s="1342" t="s">
        <v>1459</v>
      </c>
      <c r="B226" s="1336" t="s">
        <v>1328</v>
      </c>
      <c r="C226" s="1336">
        <v>4970</v>
      </c>
      <c r="D226" s="1336">
        <v>4940</v>
      </c>
      <c r="E226" s="1336">
        <v>5180</v>
      </c>
      <c r="F226" s="1354">
        <v>960</v>
      </c>
      <c r="H226" s="1361"/>
    </row>
    <row r="227" spans="1:8" s="1330" customFormat="1" ht="14.25" customHeight="1" thickBot="1">
      <c r="A227" s="1342" t="s">
        <v>1459</v>
      </c>
      <c r="B227" s="1336" t="s">
        <v>1336</v>
      </c>
      <c r="C227" s="1336">
        <v>5550</v>
      </c>
      <c r="D227" s="1336">
        <v>5500</v>
      </c>
      <c r="E227" s="1336">
        <v>5780</v>
      </c>
      <c r="F227" s="1354">
        <v>940</v>
      </c>
      <c r="H227" s="1361"/>
    </row>
    <row r="228" spans="1:8" s="1330" customFormat="1" ht="14.25" customHeight="1" thickBot="1">
      <c r="A228" s="1342" t="s">
        <v>1459</v>
      </c>
      <c r="B228" s="1336" t="s">
        <v>1343</v>
      </c>
      <c r="C228" s="1336">
        <v>5460</v>
      </c>
      <c r="D228" s="1336">
        <v>5420</v>
      </c>
      <c r="E228" s="1336">
        <v>5690</v>
      </c>
      <c r="F228" s="1354">
        <v>910</v>
      </c>
      <c r="H228" s="1361"/>
    </row>
    <row r="229" spans="1:8" s="1330" customFormat="1" ht="14.25" customHeight="1" thickBot="1">
      <c r="A229" s="1342" t="s">
        <v>1459</v>
      </c>
      <c r="B229" s="1336" t="s">
        <v>1350</v>
      </c>
      <c r="C229" s="1336">
        <v>5310</v>
      </c>
      <c r="D229" s="1336">
        <v>5270</v>
      </c>
      <c r="E229" s="1336">
        <v>5510</v>
      </c>
      <c r="F229" s="1363"/>
      <c r="H229" s="1361"/>
    </row>
    <row r="230" spans="1:8" s="1330" customFormat="1" ht="14.25" customHeight="1" thickBot="1">
      <c r="A230" s="1342" t="s">
        <v>1459</v>
      </c>
      <c r="B230" s="1336" t="s">
        <v>1357</v>
      </c>
      <c r="C230" s="1336">
        <v>4540</v>
      </c>
      <c r="D230" s="1336">
        <v>4500</v>
      </c>
      <c r="E230" s="1336">
        <v>4730</v>
      </c>
      <c r="F230" s="1363"/>
      <c r="H230" s="1361"/>
    </row>
    <row r="231" spans="1:8" s="1330" customFormat="1" ht="14.25" customHeight="1" thickBot="1">
      <c r="A231" s="1342" t="s">
        <v>1459</v>
      </c>
      <c r="B231" s="1336" t="s">
        <v>1364</v>
      </c>
      <c r="C231" s="1336">
        <v>4480</v>
      </c>
      <c r="D231" s="1336">
        <v>4410</v>
      </c>
      <c r="E231" s="1336">
        <v>4640</v>
      </c>
      <c r="F231" s="1363"/>
      <c r="H231" s="1361"/>
    </row>
    <row r="232" spans="1:8" s="1330" customFormat="1" ht="14.25" customHeight="1" thickBot="1">
      <c r="A232" s="1342" t="s">
        <v>1459</v>
      </c>
      <c r="B232" s="1336" t="s">
        <v>1371</v>
      </c>
      <c r="C232" s="1336">
        <v>5670</v>
      </c>
      <c r="D232" s="1336">
        <v>5600</v>
      </c>
      <c r="E232" s="1336">
        <v>5890</v>
      </c>
      <c r="F232" s="1354">
        <v>1150</v>
      </c>
      <c r="H232" s="1361"/>
    </row>
    <row r="233" spans="1:8" s="1330" customFormat="1" ht="14.25" customHeight="1" thickBot="1">
      <c r="A233" s="1342" t="s">
        <v>1459</v>
      </c>
      <c r="B233" s="1336" t="s">
        <v>1378</v>
      </c>
      <c r="C233" s="1336">
        <v>4590</v>
      </c>
      <c r="D233" s="1336">
        <v>4500</v>
      </c>
      <c r="E233" s="1336">
        <v>4600</v>
      </c>
      <c r="F233" s="1363"/>
      <c r="H233" s="1361"/>
    </row>
    <row r="234" spans="1:8" s="1330" customFormat="1" ht="14.25" customHeight="1" thickBot="1">
      <c r="A234" s="1342" t="s">
        <v>1459</v>
      </c>
      <c r="B234" s="1336" t="s">
        <v>2408</v>
      </c>
      <c r="C234" s="1336">
        <v>3990</v>
      </c>
      <c r="D234" s="1336">
        <v>3950</v>
      </c>
      <c r="E234" s="1336">
        <v>4180</v>
      </c>
      <c r="F234" s="1363"/>
      <c r="H234" s="1361"/>
    </row>
    <row r="235" spans="1:8" s="1330" customFormat="1" ht="14.25" customHeight="1" thickBot="1">
      <c r="A235" s="1342" t="s">
        <v>1459</v>
      </c>
      <c r="B235" s="1336" t="s">
        <v>1387</v>
      </c>
      <c r="C235" s="1336">
        <v>5590</v>
      </c>
      <c r="D235" s="1336">
        <v>5540</v>
      </c>
      <c r="E235" s="1336">
        <v>5810</v>
      </c>
      <c r="F235" s="1354">
        <v>970</v>
      </c>
      <c r="H235" s="1361"/>
    </row>
    <row r="236" spans="1:8" s="1330" customFormat="1" ht="14.25" customHeight="1" thickBot="1">
      <c r="A236" s="1342" t="s">
        <v>1459</v>
      </c>
      <c r="B236" s="1336" t="s">
        <v>1392</v>
      </c>
      <c r="C236" s="1336"/>
      <c r="D236" s="1336"/>
      <c r="E236" s="1336"/>
      <c r="F236" s="1354">
        <v>1020</v>
      </c>
      <c r="H236" s="1361"/>
    </row>
    <row r="237" spans="1:8" s="1330" customFormat="1" ht="14.25" customHeight="1" thickBot="1">
      <c r="A237" s="1342" t="s">
        <v>1459</v>
      </c>
      <c r="B237" s="1336" t="s">
        <v>1397</v>
      </c>
      <c r="C237" s="1336"/>
      <c r="D237" s="1336"/>
      <c r="E237" s="1336"/>
      <c r="F237" s="1354">
        <v>960</v>
      </c>
      <c r="H237" s="1361"/>
    </row>
    <row r="238" spans="1:8" s="1330" customFormat="1" ht="14.25" customHeight="1" thickBot="1">
      <c r="A238" s="1342" t="s">
        <v>1459</v>
      </c>
      <c r="B238" s="1336" t="s">
        <v>1402</v>
      </c>
      <c r="C238" s="1336"/>
      <c r="D238" s="1336"/>
      <c r="E238" s="1336"/>
      <c r="F238" s="1354">
        <v>960</v>
      </c>
      <c r="H238" s="1361"/>
    </row>
    <row r="239" spans="1:8" s="1330" customFormat="1" ht="14.25" customHeight="1" thickBot="1">
      <c r="A239" s="1342" t="s">
        <v>1459</v>
      </c>
      <c r="B239" s="1336" t="s">
        <v>1407</v>
      </c>
      <c r="C239" s="1336"/>
      <c r="D239" s="1336"/>
      <c r="E239" s="1336"/>
      <c r="F239" s="1354">
        <v>960</v>
      </c>
      <c r="H239" s="1361"/>
    </row>
    <row r="240" spans="1:8" s="1330" customFormat="1" ht="14.25" customHeight="1" thickBot="1">
      <c r="A240" s="1342" t="s">
        <v>1459</v>
      </c>
      <c r="B240" s="1336" t="s">
        <v>1411</v>
      </c>
      <c r="C240" s="1336"/>
      <c r="D240" s="1336"/>
      <c r="E240" s="1336"/>
      <c r="F240" s="1354">
        <v>990</v>
      </c>
      <c r="H240" s="1361"/>
    </row>
    <row r="241" spans="1:8" s="1330" customFormat="1" ht="14.25" customHeight="1" thickBot="1">
      <c r="A241" s="1342" t="s">
        <v>1459</v>
      </c>
      <c r="B241" s="1336" t="s">
        <v>1415</v>
      </c>
      <c r="C241" s="1336"/>
      <c r="D241" s="1336"/>
      <c r="E241" s="1336"/>
      <c r="F241" s="1354">
        <v>1000</v>
      </c>
      <c r="H241" s="1361"/>
    </row>
    <row r="242" spans="1:8" s="1330" customFormat="1" ht="14.25" customHeight="1" thickBot="1">
      <c r="A242" s="1342" t="s">
        <v>1459</v>
      </c>
      <c r="B242" s="1336" t="s">
        <v>1419</v>
      </c>
      <c r="C242" s="1336"/>
      <c r="D242" s="1336"/>
      <c r="E242" s="1336"/>
      <c r="F242" s="1354">
        <v>980</v>
      </c>
      <c r="H242" s="1361"/>
    </row>
    <row r="243" spans="1:8" s="1330" customFormat="1" ht="14.25" customHeight="1" thickBot="1">
      <c r="A243" s="1342" t="s">
        <v>1459</v>
      </c>
      <c r="B243" s="1336" t="s">
        <v>1423</v>
      </c>
      <c r="C243" s="1336"/>
      <c r="D243" s="1336"/>
      <c r="E243" s="1336"/>
      <c r="F243" s="1354">
        <v>970</v>
      </c>
      <c r="H243" s="1361"/>
    </row>
    <row r="244" spans="1:8" s="1330" customFormat="1" ht="14.25" customHeight="1" thickBot="1">
      <c r="A244" s="1342" t="s">
        <v>1459</v>
      </c>
      <c r="B244" s="1352" t="s">
        <v>1427</v>
      </c>
      <c r="C244" s="1352"/>
      <c r="D244" s="1352"/>
      <c r="E244" s="1352"/>
      <c r="F244" s="1362">
        <v>970</v>
      </c>
      <c r="H244" s="1361"/>
    </row>
    <row r="245" spans="1:8" s="1330" customFormat="1" ht="14.25" customHeight="1" thickBot="1">
      <c r="A245" s="1342" t="s">
        <v>1461</v>
      </c>
      <c r="B245" s="1343" t="s">
        <v>1462</v>
      </c>
      <c r="C245" s="1343">
        <v>4050</v>
      </c>
      <c r="D245" s="1343">
        <v>4020</v>
      </c>
      <c r="E245" s="1343">
        <v>4160</v>
      </c>
      <c r="F245" s="1344">
        <v>840</v>
      </c>
      <c r="H245" s="1361"/>
    </row>
    <row r="246" spans="1:8" s="1330" customFormat="1" ht="14.25" customHeight="1" thickBot="1">
      <c r="A246" s="1342" t="s">
        <v>1461</v>
      </c>
      <c r="B246" s="1336" t="s">
        <v>1118</v>
      </c>
      <c r="C246" s="1336">
        <v>4010</v>
      </c>
      <c r="D246" s="1336">
        <v>3960</v>
      </c>
      <c r="E246" s="1336">
        <v>4130</v>
      </c>
      <c r="F246" s="1354">
        <v>840</v>
      </c>
      <c r="H246" s="1361"/>
    </row>
    <row r="247" spans="1:8" s="1330" customFormat="1" ht="14.25" customHeight="1" thickBot="1">
      <c r="A247" s="1342" t="s">
        <v>1461</v>
      </c>
      <c r="B247" s="1336" t="s">
        <v>1463</v>
      </c>
      <c r="C247" s="1336">
        <v>3170</v>
      </c>
      <c r="D247" s="1336">
        <v>3140</v>
      </c>
      <c r="E247" s="1336">
        <v>3270</v>
      </c>
      <c r="F247" s="1354">
        <v>640</v>
      </c>
      <c r="H247" s="1361"/>
    </row>
    <row r="248" spans="1:8" s="1330" customFormat="1" ht="14.25" customHeight="1" thickBot="1">
      <c r="A248" s="1342" t="s">
        <v>1461</v>
      </c>
      <c r="B248" s="1336" t="s">
        <v>1464</v>
      </c>
      <c r="C248" s="1336">
        <v>3140</v>
      </c>
      <c r="D248" s="1336">
        <v>3120</v>
      </c>
      <c r="E248" s="1336">
        <v>3240</v>
      </c>
      <c r="F248" s="1354">
        <v>620</v>
      </c>
      <c r="H248" s="1361"/>
    </row>
    <row r="249" spans="1:8" s="1330" customFormat="1" ht="14.25" customHeight="1" thickBot="1">
      <c r="A249" s="1342" t="s">
        <v>1461</v>
      </c>
      <c r="B249" s="1336" t="s">
        <v>1156</v>
      </c>
      <c r="C249" s="1336">
        <v>3200</v>
      </c>
      <c r="D249" s="1336">
        <v>3100</v>
      </c>
      <c r="E249" s="1336">
        <v>3230</v>
      </c>
      <c r="F249" s="1354">
        <v>750</v>
      </c>
      <c r="H249" s="1361"/>
    </row>
    <row r="250" spans="1:8" s="1330" customFormat="1" ht="14.25" customHeight="1" thickBot="1">
      <c r="A250" s="1342" t="s">
        <v>1461</v>
      </c>
      <c r="B250" s="1336" t="s">
        <v>1168</v>
      </c>
      <c r="C250" s="1336">
        <v>4060</v>
      </c>
      <c r="D250" s="1336">
        <v>4000</v>
      </c>
      <c r="E250" s="1336">
        <v>4140</v>
      </c>
      <c r="F250" s="1354">
        <v>790</v>
      </c>
      <c r="H250" s="1361"/>
    </row>
    <row r="251" spans="1:8" s="1330" customFormat="1" ht="14.25" customHeight="1" thickBot="1">
      <c r="A251" s="1342" t="s">
        <v>1461</v>
      </c>
      <c r="B251" s="1336" t="s">
        <v>1180</v>
      </c>
      <c r="C251" s="1336">
        <v>3990</v>
      </c>
      <c r="D251" s="1336">
        <v>3970</v>
      </c>
      <c r="E251" s="1336">
        <v>4110</v>
      </c>
      <c r="F251" s="1354">
        <v>730</v>
      </c>
      <c r="H251" s="1361"/>
    </row>
    <row r="252" spans="1:8" s="1330" customFormat="1" ht="14.25" customHeight="1" thickBot="1">
      <c r="A252" s="1342" t="s">
        <v>1461</v>
      </c>
      <c r="B252" s="1336" t="s">
        <v>1192</v>
      </c>
      <c r="C252" s="1336">
        <v>3560</v>
      </c>
      <c r="D252" s="1336">
        <v>3530</v>
      </c>
      <c r="E252" s="1336">
        <v>3650</v>
      </c>
      <c r="F252" s="1354">
        <v>750</v>
      </c>
      <c r="H252" s="1361"/>
    </row>
    <row r="253" spans="1:8" s="1330" customFormat="1" ht="14.25" customHeight="1" thickBot="1">
      <c r="A253" s="1342" t="s">
        <v>1461</v>
      </c>
      <c r="B253" s="1336" t="s">
        <v>1205</v>
      </c>
      <c r="C253" s="1336">
        <v>3780</v>
      </c>
      <c r="D253" s="1336">
        <v>3750</v>
      </c>
      <c r="E253" s="1336">
        <v>3870</v>
      </c>
      <c r="F253" s="1354">
        <v>770</v>
      </c>
      <c r="H253" s="1361"/>
    </row>
    <row r="254" spans="1:8" s="1330" customFormat="1" ht="14.25" customHeight="1" thickBot="1">
      <c r="A254" s="1342" t="s">
        <v>1461</v>
      </c>
      <c r="B254" s="1336" t="s">
        <v>1216</v>
      </c>
      <c r="C254" s="1364"/>
      <c r="D254" s="1364"/>
      <c r="E254" s="1364"/>
      <c r="F254" s="1354">
        <v>740</v>
      </c>
      <c r="H254" s="1361"/>
    </row>
    <row r="255" spans="1:8" s="1330" customFormat="1" ht="14.25" customHeight="1" thickBot="1">
      <c r="A255" s="1342" t="s">
        <v>1461</v>
      </c>
      <c r="B255" s="1336" t="s">
        <v>1227</v>
      </c>
      <c r="C255" s="1364"/>
      <c r="D255" s="1364"/>
      <c r="E255" s="1364"/>
      <c r="F255" s="1354">
        <v>760</v>
      </c>
      <c r="H255" s="1361"/>
    </row>
    <row r="256" spans="1:8" s="1330" customFormat="1" ht="14.25" customHeight="1" thickBot="1">
      <c r="A256" s="1342" t="s">
        <v>1461</v>
      </c>
      <c r="B256" s="1336" t="s">
        <v>1238</v>
      </c>
      <c r="C256" s="1336">
        <v>3760</v>
      </c>
      <c r="D256" s="1336">
        <v>3730</v>
      </c>
      <c r="E256" s="1336">
        <v>3870</v>
      </c>
      <c r="F256" s="1354">
        <v>830</v>
      </c>
      <c r="H256" s="1361"/>
    </row>
    <row r="257" spans="1:8" s="1330" customFormat="1" ht="14.25" customHeight="1" thickBot="1">
      <c r="A257" s="1342" t="s">
        <v>1461</v>
      </c>
      <c r="B257" s="1336" t="s">
        <v>1249</v>
      </c>
      <c r="C257" s="1336">
        <v>3570</v>
      </c>
      <c r="D257" s="1336">
        <v>3540</v>
      </c>
      <c r="E257" s="1336">
        <v>3650</v>
      </c>
      <c r="F257" s="1354">
        <v>790</v>
      </c>
      <c r="H257" s="1361"/>
    </row>
    <row r="258" spans="1:8" s="1330" customFormat="1" ht="14.25" customHeight="1" thickBot="1">
      <c r="A258" s="1342" t="s">
        <v>1461</v>
      </c>
      <c r="B258" s="1336" t="s">
        <v>1260</v>
      </c>
      <c r="C258" s="1336">
        <v>3410</v>
      </c>
      <c r="D258" s="1336">
        <v>3380</v>
      </c>
      <c r="E258" s="1336">
        <v>3500</v>
      </c>
      <c r="F258" s="1354">
        <v>830</v>
      </c>
      <c r="H258" s="1361"/>
    </row>
    <row r="259" spans="1:8" s="1330" customFormat="1" ht="14.25" customHeight="1" thickBot="1">
      <c r="A259" s="1342" t="s">
        <v>1461</v>
      </c>
      <c r="B259" s="1336" t="s">
        <v>1271</v>
      </c>
      <c r="C259" s="1336">
        <v>3870</v>
      </c>
      <c r="D259" s="1336">
        <v>3840</v>
      </c>
      <c r="E259" s="1336">
        <v>3970</v>
      </c>
      <c r="F259" s="1354">
        <v>830</v>
      </c>
      <c r="H259" s="1361"/>
    </row>
    <row r="260" spans="1:8" s="1330" customFormat="1" ht="14.25" customHeight="1" thickBot="1">
      <c r="A260" s="1342" t="s">
        <v>1461</v>
      </c>
      <c r="B260" s="1336" t="s">
        <v>1281</v>
      </c>
      <c r="C260" s="1336">
        <v>3700</v>
      </c>
      <c r="D260" s="1336">
        <v>3660</v>
      </c>
      <c r="E260" s="1336">
        <v>3810</v>
      </c>
      <c r="F260" s="1354">
        <v>790</v>
      </c>
      <c r="H260" s="1361"/>
    </row>
    <row r="261" spans="1:8" s="1330" customFormat="1" ht="14.25" customHeight="1" thickBot="1">
      <c r="A261" s="1342" t="s">
        <v>1461</v>
      </c>
      <c r="B261" s="1336" t="s">
        <v>1291</v>
      </c>
      <c r="C261" s="1336">
        <v>3470</v>
      </c>
      <c r="D261" s="1336">
        <v>3430</v>
      </c>
      <c r="E261" s="1336">
        <v>3640</v>
      </c>
      <c r="F261" s="1354">
        <v>760</v>
      </c>
      <c r="H261" s="1361"/>
    </row>
    <row r="262" spans="1:8" s="1330" customFormat="1" ht="14.25" customHeight="1" thickBot="1">
      <c r="A262" s="1342" t="s">
        <v>1461</v>
      </c>
      <c r="B262" s="1336" t="s">
        <v>1301</v>
      </c>
      <c r="C262" s="1336">
        <v>3510</v>
      </c>
      <c r="D262" s="1336">
        <v>3470</v>
      </c>
      <c r="E262" s="1336">
        <v>3680</v>
      </c>
      <c r="F262" s="1363"/>
      <c r="H262" s="1361"/>
    </row>
    <row r="263" spans="1:8" s="1330" customFormat="1" ht="14.25" customHeight="1" thickBot="1">
      <c r="A263" s="1342" t="s">
        <v>1461</v>
      </c>
      <c r="B263" s="1336" t="s">
        <v>1311</v>
      </c>
      <c r="C263" s="1336">
        <v>3960</v>
      </c>
      <c r="D263" s="1336">
        <v>3930</v>
      </c>
      <c r="E263" s="1336">
        <v>4070</v>
      </c>
      <c r="F263" s="1354">
        <v>830</v>
      </c>
      <c r="H263" s="1361"/>
    </row>
    <row r="264" spans="1:8" s="1330" customFormat="1" ht="14.25" customHeight="1" thickBot="1">
      <c r="A264" s="1342" t="s">
        <v>1461</v>
      </c>
      <c r="B264" s="1336" t="s">
        <v>1320</v>
      </c>
      <c r="C264" s="1336">
        <v>4010</v>
      </c>
      <c r="D264" s="1336">
        <v>3980</v>
      </c>
      <c r="E264" s="1336">
        <v>4150</v>
      </c>
      <c r="F264" s="1354">
        <v>760</v>
      </c>
      <c r="H264" s="1361"/>
    </row>
    <row r="265" spans="1:8" s="1330" customFormat="1" ht="14.25" customHeight="1" thickBot="1">
      <c r="A265" s="1342" t="s">
        <v>1461</v>
      </c>
      <c r="B265" s="1336" t="s">
        <v>1329</v>
      </c>
      <c r="C265" s="1336">
        <v>3910</v>
      </c>
      <c r="D265" s="1336">
        <v>3890</v>
      </c>
      <c r="E265" s="1336">
        <v>4040</v>
      </c>
      <c r="F265" s="1354">
        <v>780</v>
      </c>
      <c r="H265" s="1361"/>
    </row>
    <row r="266" spans="1:8" s="1330" customFormat="1" ht="14.25" customHeight="1" thickBot="1">
      <c r="A266" s="1342" t="s">
        <v>1461</v>
      </c>
      <c r="B266" s="1336" t="s">
        <v>1337</v>
      </c>
      <c r="C266" s="1336">
        <v>3930</v>
      </c>
      <c r="D266" s="1336">
        <v>3900</v>
      </c>
      <c r="E266" s="1336">
        <v>4080</v>
      </c>
      <c r="F266" s="1354">
        <v>770</v>
      </c>
      <c r="H266" s="1361"/>
    </row>
    <row r="267" spans="1:8" s="1330" customFormat="1" ht="14.25" customHeight="1" thickBot="1">
      <c r="A267" s="1342" t="s">
        <v>1461</v>
      </c>
      <c r="B267" s="1336" t="s">
        <v>1344</v>
      </c>
      <c r="C267" s="1336">
        <v>3800</v>
      </c>
      <c r="D267" s="1336">
        <v>3780</v>
      </c>
      <c r="E267" s="1336">
        <v>3930</v>
      </c>
      <c r="F267" s="1363"/>
      <c r="H267" s="1361"/>
    </row>
    <row r="268" spans="1:8" s="1330" customFormat="1" ht="14.25" customHeight="1" thickBot="1">
      <c r="A268" s="1342" t="s">
        <v>1461</v>
      </c>
      <c r="B268" s="1336" t="s">
        <v>1351</v>
      </c>
      <c r="C268" s="1336">
        <v>3460</v>
      </c>
      <c r="D268" s="1336">
        <v>3430</v>
      </c>
      <c r="E268" s="1336">
        <v>3560</v>
      </c>
      <c r="F268" s="1354">
        <v>840</v>
      </c>
      <c r="H268" s="1361"/>
    </row>
    <row r="269" spans="1:8" s="1330" customFormat="1" ht="14.25" customHeight="1" thickBot="1">
      <c r="A269" s="1342" t="s">
        <v>1461</v>
      </c>
      <c r="B269" s="1336" t="s">
        <v>1358</v>
      </c>
      <c r="C269" s="1336">
        <v>3210</v>
      </c>
      <c r="D269" s="1336">
        <v>3190</v>
      </c>
      <c r="E269" s="1336">
        <v>3310</v>
      </c>
      <c r="F269" s="1354">
        <v>730</v>
      </c>
      <c r="H269" s="1361"/>
    </row>
    <row r="270" spans="1:8" s="1330" customFormat="1" ht="14.25" customHeight="1" thickBot="1">
      <c r="A270" s="1342" t="s">
        <v>1461</v>
      </c>
      <c r="B270" s="1336" t="s">
        <v>1365</v>
      </c>
      <c r="C270" s="1336">
        <v>3240</v>
      </c>
      <c r="D270" s="1336">
        <v>3210</v>
      </c>
      <c r="E270" s="1336">
        <v>3390</v>
      </c>
      <c r="F270" s="1354">
        <v>820</v>
      </c>
      <c r="H270" s="1361"/>
    </row>
    <row r="271" spans="1:8" s="1330" customFormat="1" ht="14.25" customHeight="1" thickBot="1">
      <c r="A271" s="1342" t="s">
        <v>1461</v>
      </c>
      <c r="B271" s="1336" t="s">
        <v>1372</v>
      </c>
      <c r="C271" s="1336">
        <v>3300</v>
      </c>
      <c r="D271" s="1336">
        <v>3270</v>
      </c>
      <c r="E271" s="1336">
        <v>3380</v>
      </c>
      <c r="F271" s="1354">
        <v>750</v>
      </c>
      <c r="H271" s="1361"/>
    </row>
    <row r="272" spans="1:8" s="1330" customFormat="1" ht="14.25" customHeight="1" thickBot="1">
      <c r="A272" s="1342" t="s">
        <v>1461</v>
      </c>
      <c r="B272" s="1336" t="s">
        <v>1379</v>
      </c>
      <c r="C272" s="1364"/>
      <c r="D272" s="1364"/>
      <c r="E272" s="1364"/>
      <c r="F272" s="1354">
        <v>740</v>
      </c>
      <c r="H272" s="1361"/>
    </row>
    <row r="273" spans="1:8" s="1330" customFormat="1" ht="14.25" customHeight="1" thickBot="1">
      <c r="A273" s="1342" t="s">
        <v>1461</v>
      </c>
      <c r="B273" s="1336" t="s">
        <v>1383</v>
      </c>
      <c r="C273" s="1336">
        <v>3130</v>
      </c>
      <c r="D273" s="1336">
        <v>3100</v>
      </c>
      <c r="E273" s="1336">
        <v>3230</v>
      </c>
      <c r="F273" s="1354">
        <v>700</v>
      </c>
      <c r="H273" s="1361"/>
    </row>
    <row r="274" spans="1:8" s="1330" customFormat="1" ht="14.25" customHeight="1" thickBot="1">
      <c r="A274" s="1342" t="s">
        <v>1461</v>
      </c>
      <c r="B274" s="1336" t="s">
        <v>1388</v>
      </c>
      <c r="C274" s="1336">
        <v>3460</v>
      </c>
      <c r="D274" s="1336">
        <v>3430</v>
      </c>
      <c r="E274" s="1336">
        <v>3560</v>
      </c>
      <c r="F274" s="1354">
        <v>690</v>
      </c>
      <c r="H274" s="1361"/>
    </row>
    <row r="275" spans="1:8" s="1330" customFormat="1" ht="14.25" customHeight="1" thickBot="1">
      <c r="A275" s="1342" t="s">
        <v>1461</v>
      </c>
      <c r="B275" s="1336" t="s">
        <v>1393</v>
      </c>
      <c r="C275" s="1336">
        <v>4040</v>
      </c>
      <c r="D275" s="1336">
        <v>4020</v>
      </c>
      <c r="E275" s="1336">
        <v>4160</v>
      </c>
      <c r="F275" s="1354">
        <v>820</v>
      </c>
      <c r="H275" s="1361"/>
    </row>
    <row r="276" spans="1:8" s="1330" customFormat="1" ht="14.25" customHeight="1" thickBot="1">
      <c r="A276" s="1342" t="s">
        <v>1461</v>
      </c>
      <c r="B276" s="1336" t="s">
        <v>1398</v>
      </c>
      <c r="C276" s="1336">
        <v>3270</v>
      </c>
      <c r="D276" s="1336">
        <v>3240</v>
      </c>
      <c r="E276" s="1336">
        <v>3350</v>
      </c>
      <c r="F276" s="1354">
        <v>680</v>
      </c>
      <c r="H276" s="1361"/>
    </row>
    <row r="277" spans="1:8" s="1330" customFormat="1" ht="14.25" customHeight="1" thickBot="1">
      <c r="A277" s="1342" t="s">
        <v>1461</v>
      </c>
      <c r="B277" s="1336" t="s">
        <v>1403</v>
      </c>
      <c r="C277" s="1336">
        <v>2930</v>
      </c>
      <c r="D277" s="1336">
        <v>2900</v>
      </c>
      <c r="E277" s="1336">
        <v>3000</v>
      </c>
      <c r="F277" s="1354">
        <v>640</v>
      </c>
      <c r="H277" s="1361"/>
    </row>
    <row r="278" spans="1:8" s="1330" customFormat="1" ht="14.25" customHeight="1" thickBot="1">
      <c r="A278" s="1342" t="s">
        <v>1461</v>
      </c>
      <c r="B278" s="1336" t="s">
        <v>1408</v>
      </c>
      <c r="C278" s="1336">
        <v>4080</v>
      </c>
      <c r="D278" s="1336">
        <v>4030</v>
      </c>
      <c r="E278" s="1336">
        <v>4140</v>
      </c>
      <c r="F278" s="1354">
        <v>850</v>
      </c>
      <c r="H278" s="1361"/>
    </row>
    <row r="279" spans="1:8" s="1330" customFormat="1" ht="14.25" customHeight="1" thickBot="1">
      <c r="A279" s="1342" t="s">
        <v>1461</v>
      </c>
      <c r="B279" s="1336" t="s">
        <v>1412</v>
      </c>
      <c r="C279" s="1336"/>
      <c r="D279" s="1336"/>
      <c r="E279" s="1336"/>
      <c r="F279" s="1354">
        <v>760</v>
      </c>
      <c r="H279" s="1361"/>
    </row>
    <row r="280" spans="1:8" s="1330" customFormat="1" ht="14.25" customHeight="1" thickBot="1">
      <c r="A280" s="1342" t="s">
        <v>1461</v>
      </c>
      <c r="B280" s="1336" t="s">
        <v>1416</v>
      </c>
      <c r="C280" s="1336"/>
      <c r="D280" s="1336"/>
      <c r="E280" s="1336"/>
      <c r="F280" s="1354">
        <v>760</v>
      </c>
      <c r="H280" s="1361"/>
    </row>
    <row r="281" spans="1:8" s="1330" customFormat="1" ht="14.25" customHeight="1" thickBot="1">
      <c r="A281" s="1342" t="s">
        <v>1461</v>
      </c>
      <c r="B281" s="1336" t="s">
        <v>1420</v>
      </c>
      <c r="C281" s="1336"/>
      <c r="D281" s="1336"/>
      <c r="E281" s="1336"/>
      <c r="F281" s="1354">
        <v>780</v>
      </c>
      <c r="H281" s="1361"/>
    </row>
    <row r="282" spans="1:8" s="1330" customFormat="1" ht="14.25" customHeight="1" thickBot="1">
      <c r="A282" s="1342" t="s">
        <v>1461</v>
      </c>
      <c r="B282" s="1336" t="s">
        <v>1424</v>
      </c>
      <c r="C282" s="1336"/>
      <c r="D282" s="1336"/>
      <c r="E282" s="1336"/>
      <c r="F282" s="1354">
        <v>730</v>
      </c>
      <c r="H282" s="1361"/>
    </row>
    <row r="283" spans="1:8" s="1330" customFormat="1" ht="14.25" customHeight="1" thickBot="1">
      <c r="A283" s="1342" t="s">
        <v>1461</v>
      </c>
      <c r="B283" s="1336" t="s">
        <v>1428</v>
      </c>
      <c r="C283" s="1336"/>
      <c r="D283" s="1336"/>
      <c r="E283" s="1336"/>
      <c r="F283" s="1354">
        <v>770</v>
      </c>
      <c r="H283" s="1361"/>
    </row>
    <row r="284" spans="1:8" s="1330" customFormat="1" ht="14.25" customHeight="1" thickBot="1">
      <c r="A284" s="1342" t="s">
        <v>1461</v>
      </c>
      <c r="B284" s="1336" t="s">
        <v>1431</v>
      </c>
      <c r="C284" s="1336"/>
      <c r="D284" s="1336"/>
      <c r="E284" s="1336"/>
      <c r="F284" s="1354">
        <v>640</v>
      </c>
      <c r="H284" s="1361"/>
    </row>
    <row r="285" spans="1:8" s="1330" customFormat="1" ht="14.25" customHeight="1" thickBot="1">
      <c r="A285" s="1342" t="s">
        <v>1461</v>
      </c>
      <c r="B285" s="1336" t="s">
        <v>1434</v>
      </c>
      <c r="C285" s="1336"/>
      <c r="D285" s="1336"/>
      <c r="E285" s="1336"/>
      <c r="F285" s="1354">
        <v>640</v>
      </c>
      <c r="H285" s="1361"/>
    </row>
    <row r="286" spans="1:8" s="1330" customFormat="1" ht="14.25" customHeight="1" thickBot="1">
      <c r="A286" s="1342" t="s">
        <v>1461</v>
      </c>
      <c r="B286" s="1336" t="s">
        <v>1437</v>
      </c>
      <c r="C286" s="1336"/>
      <c r="D286" s="1336"/>
      <c r="E286" s="1336"/>
      <c r="F286" s="1354">
        <v>850</v>
      </c>
      <c r="H286" s="1361"/>
    </row>
    <row r="287" spans="1:8" s="1330" customFormat="1" ht="14.25" customHeight="1" thickBot="1">
      <c r="A287" s="1342" t="s">
        <v>1461</v>
      </c>
      <c r="B287" s="1336" t="s">
        <v>1440</v>
      </c>
      <c r="C287" s="1336"/>
      <c r="D287" s="1336"/>
      <c r="E287" s="1336"/>
      <c r="F287" s="1354">
        <v>760</v>
      </c>
      <c r="H287" s="1361"/>
    </row>
    <row r="288" spans="1:8" s="1330" customFormat="1" ht="14.25" customHeight="1" thickBot="1">
      <c r="A288" s="1342" t="s">
        <v>1461</v>
      </c>
      <c r="B288" s="1336" t="s">
        <v>1443</v>
      </c>
      <c r="C288" s="1336"/>
      <c r="D288" s="1336"/>
      <c r="E288" s="1336"/>
      <c r="F288" s="1354">
        <v>830</v>
      </c>
      <c r="H288" s="1361"/>
    </row>
    <row r="289" spans="1:8" s="1330" customFormat="1" ht="14.25" customHeight="1" thickBot="1">
      <c r="A289" s="1342" t="s">
        <v>1461</v>
      </c>
      <c r="B289" s="1352" t="s">
        <v>1446</v>
      </c>
      <c r="C289" s="1352"/>
      <c r="D289" s="1352"/>
      <c r="E289" s="1352"/>
      <c r="F289" s="1362">
        <v>680</v>
      </c>
      <c r="H289" s="1361"/>
    </row>
    <row r="290" spans="1:8" s="1330" customFormat="1" ht="14.25" customHeight="1" thickBot="1">
      <c r="A290" s="1342" t="s">
        <v>1465</v>
      </c>
      <c r="B290" s="1343" t="s">
        <v>1466</v>
      </c>
      <c r="C290" s="1343">
        <v>2770</v>
      </c>
      <c r="D290" s="1343">
        <v>2740</v>
      </c>
      <c r="E290" s="1343">
        <v>2720</v>
      </c>
      <c r="F290" s="1365"/>
      <c r="H290" s="1361"/>
    </row>
    <row r="291" spans="1:8" s="1330" customFormat="1" ht="14.25" customHeight="1" thickBot="1">
      <c r="A291" s="1342" t="s">
        <v>1465</v>
      </c>
      <c r="B291" s="1336" t="s">
        <v>1119</v>
      </c>
      <c r="C291" s="1336">
        <v>2670</v>
      </c>
      <c r="D291" s="1336">
        <v>2640</v>
      </c>
      <c r="E291" s="1336">
        <v>2620</v>
      </c>
      <c r="F291" s="1363"/>
      <c r="H291" s="1361"/>
    </row>
    <row r="292" spans="1:8" s="1330" customFormat="1" ht="14.25" customHeight="1" thickBot="1">
      <c r="A292" s="1342" t="s">
        <v>1465</v>
      </c>
      <c r="B292" s="1336" t="s">
        <v>1467</v>
      </c>
      <c r="C292" s="1336">
        <v>2180</v>
      </c>
      <c r="D292" s="1336">
        <v>2140</v>
      </c>
      <c r="E292" s="1336">
        <v>2120</v>
      </c>
      <c r="F292" s="1354">
        <v>490</v>
      </c>
      <c r="H292" s="1361"/>
    </row>
    <row r="293" spans="1:8" s="1330" customFormat="1" ht="14.25" customHeight="1" thickBot="1">
      <c r="A293" s="1342" t="s">
        <v>1465</v>
      </c>
      <c r="B293" s="1336" t="s">
        <v>1468</v>
      </c>
      <c r="C293" s="1336"/>
      <c r="D293" s="1336"/>
      <c r="E293" s="1336"/>
      <c r="F293" s="1354">
        <v>470</v>
      </c>
      <c r="H293" s="1361"/>
    </row>
    <row r="294" spans="1:8" s="1330" customFormat="1" ht="14.25" customHeight="1" thickBot="1">
      <c r="A294" s="1342" t="s">
        <v>1465</v>
      </c>
      <c r="B294" s="1336" t="s">
        <v>1469</v>
      </c>
      <c r="C294" s="1336">
        <v>2730</v>
      </c>
      <c r="D294" s="1336">
        <v>2700</v>
      </c>
      <c r="E294" s="1336">
        <v>2680</v>
      </c>
      <c r="F294" s="1354">
        <v>490</v>
      </c>
      <c r="H294" s="1361"/>
    </row>
    <row r="295" spans="1:8" s="1330" customFormat="1" ht="14.25" customHeight="1" thickBot="1">
      <c r="A295" s="1342" t="s">
        <v>1465</v>
      </c>
      <c r="B295" s="1336" t="s">
        <v>1157</v>
      </c>
      <c r="C295" s="1336">
        <v>2380</v>
      </c>
      <c r="D295" s="1336">
        <v>2350</v>
      </c>
      <c r="E295" s="1336">
        <v>2330</v>
      </c>
      <c r="F295" s="1354">
        <v>530</v>
      </c>
      <c r="H295" s="1361"/>
    </row>
    <row r="296" spans="1:8" s="1330" customFormat="1" ht="14.25" customHeight="1" thickBot="1">
      <c r="A296" s="1342" t="s">
        <v>1465</v>
      </c>
      <c r="B296" s="1336" t="s">
        <v>1169</v>
      </c>
      <c r="C296" s="1336">
        <v>2650</v>
      </c>
      <c r="D296" s="1336">
        <v>2620</v>
      </c>
      <c r="E296" s="1336">
        <v>2590</v>
      </c>
      <c r="F296" s="1354">
        <v>590</v>
      </c>
      <c r="H296" s="1361"/>
    </row>
    <row r="297" spans="1:8" s="1330" customFormat="1" ht="14.25" customHeight="1" thickBot="1">
      <c r="A297" s="1342" t="s">
        <v>1465</v>
      </c>
      <c r="B297" s="1336" t="s">
        <v>1181</v>
      </c>
      <c r="C297" s="1336">
        <v>2700</v>
      </c>
      <c r="D297" s="1336">
        <v>2670</v>
      </c>
      <c r="E297" s="1336">
        <v>2650</v>
      </c>
      <c r="F297" s="1354">
        <v>630</v>
      </c>
      <c r="H297" s="1361"/>
    </row>
    <row r="298" spans="1:8" s="1330" customFormat="1" ht="14.25" customHeight="1" thickBot="1">
      <c r="A298" s="1342" t="s">
        <v>1465</v>
      </c>
      <c r="B298" s="1336" t="s">
        <v>1193</v>
      </c>
      <c r="C298" s="1336">
        <v>2650</v>
      </c>
      <c r="D298" s="1336">
        <v>2620</v>
      </c>
      <c r="E298" s="1336">
        <v>2590</v>
      </c>
      <c r="F298" s="1354">
        <v>640</v>
      </c>
      <c r="H298" s="1361"/>
    </row>
    <row r="299" spans="1:8" s="1330" customFormat="1" ht="14.25" customHeight="1" thickBot="1">
      <c r="A299" s="1342" t="s">
        <v>1465</v>
      </c>
      <c r="B299" s="1336" t="s">
        <v>1206</v>
      </c>
      <c r="C299" s="1336">
        <v>2500</v>
      </c>
      <c r="D299" s="1336">
        <v>2480</v>
      </c>
      <c r="E299" s="1336">
        <v>2460</v>
      </c>
      <c r="F299" s="1363"/>
      <c r="H299" s="1361"/>
    </row>
    <row r="300" spans="1:8" s="1330" customFormat="1" ht="14.25" customHeight="1" thickBot="1">
      <c r="A300" s="1342" t="s">
        <v>1465</v>
      </c>
      <c r="B300" s="1336" t="s">
        <v>1217</v>
      </c>
      <c r="C300" s="1336">
        <v>2760</v>
      </c>
      <c r="D300" s="1336">
        <v>2730</v>
      </c>
      <c r="E300" s="1336">
        <v>2700</v>
      </c>
      <c r="F300" s="1354">
        <v>630</v>
      </c>
      <c r="H300" s="1361"/>
    </row>
    <row r="301" spans="1:8" s="1330" customFormat="1" ht="14.25" customHeight="1" thickBot="1">
      <c r="A301" s="1342" t="s">
        <v>1465</v>
      </c>
      <c r="B301" s="1336" t="s">
        <v>1228</v>
      </c>
      <c r="C301" s="1336">
        <v>2510</v>
      </c>
      <c r="D301" s="1336">
        <v>2480</v>
      </c>
      <c r="E301" s="1336">
        <v>2460</v>
      </c>
      <c r="F301" s="1363"/>
      <c r="H301" s="1361"/>
    </row>
    <row r="302" spans="1:8" s="1330" customFormat="1" ht="14.25" customHeight="1" thickBot="1">
      <c r="A302" s="1342" t="s">
        <v>1465</v>
      </c>
      <c r="B302" s="1336" t="s">
        <v>1239</v>
      </c>
      <c r="C302" s="1336">
        <v>2480</v>
      </c>
      <c r="D302" s="1336">
        <v>2450</v>
      </c>
      <c r="E302" s="1336">
        <v>2420</v>
      </c>
      <c r="F302" s="1354">
        <v>600</v>
      </c>
      <c r="H302" s="1361"/>
    </row>
    <row r="303" spans="1:8" s="1330" customFormat="1" ht="14.25" customHeight="1" thickBot="1">
      <c r="A303" s="1342" t="s">
        <v>1465</v>
      </c>
      <c r="B303" s="1336" t="s">
        <v>1250</v>
      </c>
      <c r="C303" s="1336">
        <v>2270</v>
      </c>
      <c r="D303" s="1336">
        <v>2240</v>
      </c>
      <c r="E303" s="1336">
        <v>2210</v>
      </c>
      <c r="F303" s="1354">
        <v>540</v>
      </c>
      <c r="H303" s="1361"/>
    </row>
    <row r="304" spans="1:8" s="1330" customFormat="1" ht="14.25" customHeight="1" thickBot="1">
      <c r="A304" s="1342" t="s">
        <v>1465</v>
      </c>
      <c r="B304" s="1336" t="s">
        <v>1261</v>
      </c>
      <c r="C304" s="1336">
        <v>2310</v>
      </c>
      <c r="D304" s="1336">
        <v>2290</v>
      </c>
      <c r="E304" s="1336">
        <v>2270</v>
      </c>
      <c r="F304" s="1363"/>
      <c r="H304" s="1361"/>
    </row>
    <row r="305" spans="1:8" s="1330" customFormat="1" ht="14.25" customHeight="1" thickBot="1">
      <c r="A305" s="1342" t="s">
        <v>1465</v>
      </c>
      <c r="B305" s="1336" t="s">
        <v>1272</v>
      </c>
      <c r="C305" s="1336">
        <v>2490</v>
      </c>
      <c r="D305" s="1336">
        <v>2470</v>
      </c>
      <c r="E305" s="1336">
        <v>2440</v>
      </c>
      <c r="F305" s="1354">
        <v>560</v>
      </c>
      <c r="H305" s="1361"/>
    </row>
    <row r="306" spans="1:8" s="1330" customFormat="1" ht="14.25" customHeight="1" thickBot="1">
      <c r="A306" s="1342" t="s">
        <v>1465</v>
      </c>
      <c r="B306" s="1336" t="s">
        <v>1282</v>
      </c>
      <c r="C306" s="1336">
        <v>2420</v>
      </c>
      <c r="D306" s="1336">
        <v>2400</v>
      </c>
      <c r="E306" s="1336">
        <v>2380</v>
      </c>
      <c r="F306" s="1363"/>
      <c r="H306" s="1361"/>
    </row>
    <row r="307" spans="1:8" s="1330" customFormat="1" ht="14.25" customHeight="1" thickBot="1">
      <c r="A307" s="1342" t="s">
        <v>1465</v>
      </c>
      <c r="B307" s="1336" t="s">
        <v>1292</v>
      </c>
      <c r="C307" s="1336">
        <v>2770</v>
      </c>
      <c r="D307" s="1336">
        <v>2740</v>
      </c>
      <c r="E307" s="1336">
        <v>2710</v>
      </c>
      <c r="F307" s="1354">
        <v>650</v>
      </c>
      <c r="H307" s="1361"/>
    </row>
    <row r="308" spans="1:8" s="1330" customFormat="1" ht="14.25" customHeight="1" thickBot="1">
      <c r="A308" s="1342" t="s">
        <v>1465</v>
      </c>
      <c r="B308" s="1336" t="s">
        <v>1302</v>
      </c>
      <c r="C308" s="1336">
        <v>2610</v>
      </c>
      <c r="D308" s="1336">
        <v>2580</v>
      </c>
      <c r="E308" s="1336">
        <v>2550</v>
      </c>
      <c r="F308" s="1354">
        <v>580</v>
      </c>
      <c r="H308" s="1361"/>
    </row>
    <row r="309" spans="1:8" s="1330" customFormat="1" ht="14.25" customHeight="1" thickBot="1">
      <c r="A309" s="1342" t="s">
        <v>1465</v>
      </c>
      <c r="B309" s="1336" t="s">
        <v>1312</v>
      </c>
      <c r="C309" s="1336">
        <v>2690</v>
      </c>
      <c r="D309" s="1336">
        <v>2670</v>
      </c>
      <c r="E309" s="1336">
        <v>2650</v>
      </c>
      <c r="F309" s="1363"/>
      <c r="H309" s="1361"/>
    </row>
    <row r="310" spans="1:8" s="1330" customFormat="1" ht="14.25" customHeight="1" thickBot="1">
      <c r="A310" s="1342" t="s">
        <v>1465</v>
      </c>
      <c r="B310" s="1336" t="s">
        <v>1321</v>
      </c>
      <c r="C310" s="1336">
        <v>2360</v>
      </c>
      <c r="D310" s="1336">
        <v>2330</v>
      </c>
      <c r="E310" s="1336">
        <v>2310</v>
      </c>
      <c r="F310" s="1354">
        <v>560</v>
      </c>
      <c r="H310" s="1361"/>
    </row>
    <row r="311" spans="1:8" s="1330" customFormat="1" ht="14.25" customHeight="1" thickBot="1">
      <c r="A311" s="1342" t="s">
        <v>1465</v>
      </c>
      <c r="B311" s="1336" t="s">
        <v>1330</v>
      </c>
      <c r="C311" s="1336">
        <v>1970</v>
      </c>
      <c r="D311" s="1336">
        <v>1950</v>
      </c>
      <c r="E311" s="1336">
        <v>1920</v>
      </c>
      <c r="F311" s="1354">
        <v>470</v>
      </c>
      <c r="H311" s="1361"/>
    </row>
    <row r="312" spans="1:8" s="1330" customFormat="1" ht="14.25" customHeight="1" thickBot="1">
      <c r="A312" s="1342" t="s">
        <v>1465</v>
      </c>
      <c r="B312" s="1336" t="s">
        <v>1338</v>
      </c>
      <c r="C312" s="1336">
        <v>2230</v>
      </c>
      <c r="D312" s="1336">
        <v>2200</v>
      </c>
      <c r="E312" s="1336">
        <v>2170</v>
      </c>
      <c r="F312" s="1354">
        <v>460</v>
      </c>
      <c r="H312" s="1361"/>
    </row>
    <row r="313" spans="1:8" s="1330" customFormat="1" ht="14.25" customHeight="1" thickBot="1">
      <c r="A313" s="1342" t="s">
        <v>1465</v>
      </c>
      <c r="B313" s="1336" t="s">
        <v>1345</v>
      </c>
      <c r="C313" s="1336">
        <v>2770</v>
      </c>
      <c r="D313" s="1336">
        <v>2740</v>
      </c>
      <c r="E313" s="1336">
        <v>2710</v>
      </c>
      <c r="F313" s="1354">
        <v>610</v>
      </c>
      <c r="H313" s="1361"/>
    </row>
    <row r="314" spans="1:8" s="1330" customFormat="1" ht="14.25" customHeight="1" thickBot="1">
      <c r="A314" s="1342" t="s">
        <v>1465</v>
      </c>
      <c r="B314" s="1336" t="s">
        <v>1352</v>
      </c>
      <c r="C314" s="1336"/>
      <c r="D314" s="1336"/>
      <c r="E314" s="1336"/>
      <c r="F314" s="1354">
        <v>490</v>
      </c>
      <c r="H314" s="1361"/>
    </row>
    <row r="315" spans="1:8" s="1330" customFormat="1" ht="14.25" customHeight="1" thickBot="1">
      <c r="A315" s="1342" t="s">
        <v>1465</v>
      </c>
      <c r="B315" s="1336" t="s">
        <v>1359</v>
      </c>
      <c r="C315" s="1336"/>
      <c r="D315" s="1336"/>
      <c r="E315" s="1336"/>
      <c r="F315" s="1354">
        <v>520</v>
      </c>
      <c r="H315" s="1361"/>
    </row>
    <row r="316" spans="1:8" s="1330" customFormat="1" ht="14.25" customHeight="1" thickBot="1">
      <c r="A316" s="1342" t="s">
        <v>1465</v>
      </c>
      <c r="B316" s="1352" t="s">
        <v>1366</v>
      </c>
      <c r="C316" s="1352"/>
      <c r="D316" s="1352"/>
      <c r="E316" s="1352"/>
      <c r="F316" s="1362">
        <v>460</v>
      </c>
      <c r="H316" s="1361"/>
    </row>
    <row r="317" spans="1:8" s="1330" customFormat="1" ht="14.25" customHeight="1" thickBot="1">
      <c r="A317" s="1342" t="s">
        <v>1252</v>
      </c>
      <c r="B317" s="1343" t="s">
        <v>1470</v>
      </c>
      <c r="C317" s="1343">
        <v>1200</v>
      </c>
      <c r="D317" s="1343">
        <v>1180</v>
      </c>
      <c r="E317" s="1343">
        <v>1160</v>
      </c>
      <c r="F317" s="1344">
        <v>370</v>
      </c>
      <c r="H317" s="1299"/>
    </row>
    <row r="318" spans="1:8" s="1330" customFormat="1" ht="14.25" customHeight="1" thickBot="1">
      <c r="A318" s="1342" t="s">
        <v>1252</v>
      </c>
      <c r="B318" s="1336" t="s">
        <v>1471</v>
      </c>
      <c r="C318" s="1336">
        <v>1090</v>
      </c>
      <c r="D318" s="1336">
        <v>1060</v>
      </c>
      <c r="E318" s="1336">
        <v>1040</v>
      </c>
      <c r="F318" s="1363"/>
      <c r="H318" s="1299"/>
    </row>
    <row r="319" spans="1:8" s="1330" customFormat="1" ht="14.25" customHeight="1" thickBot="1">
      <c r="A319" s="1342" t="s">
        <v>1252</v>
      </c>
      <c r="B319" s="1336" t="s">
        <v>1472</v>
      </c>
      <c r="C319" s="1336">
        <v>1520</v>
      </c>
      <c r="D319" s="1336">
        <v>1470</v>
      </c>
      <c r="E319" s="1336">
        <v>1440</v>
      </c>
      <c r="F319" s="1354">
        <v>370</v>
      </c>
      <c r="H319" s="1299"/>
    </row>
    <row r="320" spans="1:8" s="1330" customFormat="1" ht="14.25" customHeight="1" thickBot="1">
      <c r="A320" s="1342" t="s">
        <v>1252</v>
      </c>
      <c r="B320" s="1336" t="s">
        <v>1146</v>
      </c>
      <c r="C320" s="1336">
        <v>1360</v>
      </c>
      <c r="D320" s="1336">
        <v>1300</v>
      </c>
      <c r="E320" s="1336">
        <v>1270</v>
      </c>
      <c r="F320" s="1363"/>
      <c r="H320" s="1299"/>
    </row>
    <row r="321" spans="1:8" s="1330" customFormat="1" ht="14.25" customHeight="1" thickBot="1">
      <c r="A321" s="1342" t="s">
        <v>1252</v>
      </c>
      <c r="B321" s="1336" t="s">
        <v>1158</v>
      </c>
      <c r="C321" s="1336">
        <v>1750</v>
      </c>
      <c r="D321" s="1336">
        <v>1690</v>
      </c>
      <c r="E321" s="1336">
        <v>1660</v>
      </c>
      <c r="F321" s="1363"/>
      <c r="H321" s="1299"/>
    </row>
    <row r="322" spans="1:8" s="1330" customFormat="1" ht="14.25" customHeight="1" thickBot="1">
      <c r="A322" s="1342" t="s">
        <v>1252</v>
      </c>
      <c r="B322" s="1336" t="s">
        <v>1170</v>
      </c>
      <c r="C322" s="1336">
        <v>1650</v>
      </c>
      <c r="D322" s="1336">
        <v>1610</v>
      </c>
      <c r="E322" s="1336">
        <v>1580</v>
      </c>
      <c r="F322" s="1354">
        <v>500</v>
      </c>
      <c r="H322" s="1299"/>
    </row>
    <row r="323" spans="1:8" s="1330" customFormat="1" ht="14.25" customHeight="1" thickBot="1">
      <c r="A323" s="1342" t="s">
        <v>1252</v>
      </c>
      <c r="B323" s="1336" t="s">
        <v>1182</v>
      </c>
      <c r="C323" s="1336">
        <v>1780</v>
      </c>
      <c r="D323" s="1336">
        <v>1740</v>
      </c>
      <c r="E323" s="1336">
        <v>1720</v>
      </c>
      <c r="F323" s="1363"/>
      <c r="H323" s="1299"/>
    </row>
    <row r="324" spans="1:8" s="1330" customFormat="1" ht="14.25" customHeight="1" thickBot="1">
      <c r="A324" s="1342" t="s">
        <v>1252</v>
      </c>
      <c r="B324" s="1336" t="s">
        <v>1194</v>
      </c>
      <c r="C324" s="1336">
        <v>1650</v>
      </c>
      <c r="D324" s="1336">
        <v>1610</v>
      </c>
      <c r="E324" s="1336">
        <v>1580</v>
      </c>
      <c r="F324" s="1363"/>
      <c r="H324" s="1299"/>
    </row>
    <row r="325" spans="1:8" s="1330" customFormat="1" ht="14.25" customHeight="1" thickBot="1">
      <c r="A325" s="1342" t="s">
        <v>1252</v>
      </c>
      <c r="B325" s="1336" t="s">
        <v>1207</v>
      </c>
      <c r="C325" s="1336">
        <v>1330</v>
      </c>
      <c r="D325" s="1336">
        <v>1270</v>
      </c>
      <c r="E325" s="1336">
        <v>1240</v>
      </c>
      <c r="F325" s="1354">
        <v>430</v>
      </c>
      <c r="H325" s="1299"/>
    </row>
    <row r="326" spans="1:8" s="1330" customFormat="1" ht="14.25" customHeight="1" thickBot="1">
      <c r="A326" s="1342" t="s">
        <v>1252</v>
      </c>
      <c r="B326" s="1336" t="s">
        <v>1218</v>
      </c>
      <c r="C326" s="1336">
        <v>1470</v>
      </c>
      <c r="D326" s="1336">
        <v>1430</v>
      </c>
      <c r="E326" s="1336">
        <v>1400</v>
      </c>
      <c r="F326" s="1363"/>
      <c r="H326" s="1299"/>
    </row>
    <row r="327" spans="1:8" s="1330" customFormat="1" ht="14.25" customHeight="1" thickBot="1">
      <c r="A327" s="1342" t="s">
        <v>1252</v>
      </c>
      <c r="B327" s="1336" t="s">
        <v>1229</v>
      </c>
      <c r="C327" s="1336">
        <v>1420</v>
      </c>
      <c r="D327" s="1336">
        <v>1380</v>
      </c>
      <c r="E327" s="1336">
        <v>1360</v>
      </c>
      <c r="F327" s="1354">
        <v>420</v>
      </c>
      <c r="H327" s="1299"/>
    </row>
    <row r="328" spans="1:8" s="1330" customFormat="1" ht="14.25" customHeight="1" thickBot="1">
      <c r="A328" s="1342" t="s">
        <v>1252</v>
      </c>
      <c r="B328" s="1336" t="s">
        <v>1240</v>
      </c>
      <c r="C328" s="1336">
        <v>1400</v>
      </c>
      <c r="D328" s="1336">
        <v>1360</v>
      </c>
      <c r="E328" s="1336">
        <v>1330</v>
      </c>
      <c r="F328" s="1354">
        <v>460</v>
      </c>
      <c r="H328" s="1299"/>
    </row>
    <row r="329" spans="1:8" s="1330" customFormat="1" ht="14.25" customHeight="1" thickBot="1">
      <c r="A329" s="1342" t="s">
        <v>1252</v>
      </c>
      <c r="B329" s="1336" t="s">
        <v>1251</v>
      </c>
      <c r="C329" s="1336">
        <v>1640</v>
      </c>
      <c r="D329" s="1336">
        <v>1610</v>
      </c>
      <c r="E329" s="1336">
        <v>1580</v>
      </c>
      <c r="F329" s="1354">
        <v>410</v>
      </c>
      <c r="H329" s="1299"/>
    </row>
    <row r="330" spans="1:8" s="1330" customFormat="1" ht="14.25" customHeight="1" thickBot="1">
      <c r="A330" s="1342" t="s">
        <v>1252</v>
      </c>
      <c r="B330" s="1336" t="s">
        <v>1262</v>
      </c>
      <c r="C330" s="1336">
        <v>1260</v>
      </c>
      <c r="D330" s="1336">
        <v>1220</v>
      </c>
      <c r="E330" s="1336">
        <v>1200</v>
      </c>
      <c r="F330" s="1363"/>
      <c r="H330" s="1299"/>
    </row>
    <row r="331" spans="1:8" s="1330" customFormat="1" ht="14.25" customHeight="1" thickBot="1">
      <c r="A331" s="1342" t="s">
        <v>1252</v>
      </c>
      <c r="B331" s="1336" t="s">
        <v>1273</v>
      </c>
      <c r="C331" s="1336">
        <v>1620</v>
      </c>
      <c r="D331" s="1336">
        <v>1560</v>
      </c>
      <c r="E331" s="1336">
        <v>1530</v>
      </c>
      <c r="F331" s="1354">
        <v>490</v>
      </c>
      <c r="H331" s="1299"/>
    </row>
    <row r="332" spans="1:8" s="1330" customFormat="1" ht="14.25" customHeight="1" thickBot="1">
      <c r="A332" s="1342" t="s">
        <v>1252</v>
      </c>
      <c r="B332" s="1336" t="s">
        <v>1283</v>
      </c>
      <c r="C332" s="1336">
        <v>1520</v>
      </c>
      <c r="D332" s="1336">
        <v>1470</v>
      </c>
      <c r="E332" s="1336">
        <v>1440</v>
      </c>
      <c r="F332" s="1354">
        <v>440</v>
      </c>
      <c r="H332" s="1299"/>
    </row>
    <row r="333" spans="1:8" s="1330" customFormat="1" ht="14.25" customHeight="1" thickBot="1">
      <c r="A333" s="1342" t="s">
        <v>1252</v>
      </c>
      <c r="B333" s="1336" t="s">
        <v>1293</v>
      </c>
      <c r="C333" s="1336">
        <v>1370</v>
      </c>
      <c r="D333" s="1336">
        <v>1320</v>
      </c>
      <c r="E333" s="1336">
        <v>1300</v>
      </c>
      <c r="F333" s="1354">
        <v>460</v>
      </c>
      <c r="H333" s="1299"/>
    </row>
    <row r="334" spans="1:8" s="1330" customFormat="1" ht="14.25" customHeight="1" thickBot="1">
      <c r="A334" s="1342" t="s">
        <v>1252</v>
      </c>
      <c r="B334" s="1336" t="s">
        <v>1303</v>
      </c>
      <c r="C334" s="1336">
        <v>1410</v>
      </c>
      <c r="D334" s="1336">
        <v>1340</v>
      </c>
      <c r="E334" s="1336">
        <v>1310</v>
      </c>
      <c r="F334" s="1354">
        <v>410</v>
      </c>
      <c r="H334" s="1299"/>
    </row>
    <row r="335" spans="1:8" s="1330" customFormat="1" ht="14.25" customHeight="1" thickBot="1">
      <c r="A335" s="1342" t="s">
        <v>1252</v>
      </c>
      <c r="B335" s="1336" t="s">
        <v>1313</v>
      </c>
      <c r="C335" s="1336">
        <v>1260</v>
      </c>
      <c r="D335" s="1336">
        <v>1220</v>
      </c>
      <c r="E335" s="1336">
        <v>1200</v>
      </c>
      <c r="F335" s="1363"/>
      <c r="H335" s="1299"/>
    </row>
    <row r="336" spans="1:8" s="1330" customFormat="1" ht="14.25" customHeight="1" thickBot="1">
      <c r="A336" s="1342" t="s">
        <v>1252</v>
      </c>
      <c r="B336" s="1336" t="s">
        <v>1322</v>
      </c>
      <c r="C336" s="1336">
        <v>1160</v>
      </c>
      <c r="D336" s="1336">
        <v>1140</v>
      </c>
      <c r="E336" s="1336">
        <v>1120</v>
      </c>
      <c r="F336" s="1354">
        <v>430</v>
      </c>
      <c r="H336" s="1299"/>
    </row>
    <row r="337" spans="1:8" s="1330" customFormat="1" ht="14.25" customHeight="1" thickBot="1">
      <c r="A337" s="1342" t="s">
        <v>1252</v>
      </c>
      <c r="B337" s="1352" t="s">
        <v>1331</v>
      </c>
      <c r="C337" s="1352"/>
      <c r="D337" s="1352"/>
      <c r="E337" s="1352"/>
      <c r="F337" s="1362">
        <v>380</v>
      </c>
      <c r="H337" s="1299"/>
    </row>
    <row r="338" spans="1:8" s="1330" customFormat="1" ht="14.25" customHeight="1" thickBot="1">
      <c r="A338" s="1342" t="s">
        <v>1263</v>
      </c>
      <c r="B338" s="1343" t="s">
        <v>1473</v>
      </c>
      <c r="C338" s="1343">
        <v>880</v>
      </c>
      <c r="D338" s="1343">
        <v>850</v>
      </c>
      <c r="E338" s="1343">
        <v>830</v>
      </c>
      <c r="F338" s="1365"/>
      <c r="H338" s="1299"/>
    </row>
    <row r="339" spans="1:8" s="1330" customFormat="1" ht="14.25" customHeight="1" thickBot="1">
      <c r="A339" s="1342" t="s">
        <v>1263</v>
      </c>
      <c r="B339" s="1336" t="s">
        <v>1474</v>
      </c>
      <c r="C339" s="1336">
        <v>830</v>
      </c>
      <c r="D339" s="1336">
        <v>800</v>
      </c>
      <c r="E339" s="1336">
        <v>780</v>
      </c>
      <c r="F339" s="1363"/>
      <c r="H339" s="1299"/>
    </row>
    <row r="340" spans="1:8" s="1330" customFormat="1" ht="14.25" customHeight="1" thickBot="1">
      <c r="A340" s="1342" t="s">
        <v>1263</v>
      </c>
      <c r="B340" s="1336" t="s">
        <v>1475</v>
      </c>
      <c r="C340" s="1336">
        <v>980</v>
      </c>
      <c r="D340" s="1336">
        <v>950</v>
      </c>
      <c r="E340" s="1336">
        <v>920</v>
      </c>
      <c r="F340" s="1363"/>
      <c r="H340" s="1299"/>
    </row>
    <row r="341" spans="1:8" s="1330" customFormat="1" ht="14.25" customHeight="1" thickBot="1">
      <c r="A341" s="1342" t="s">
        <v>1263</v>
      </c>
      <c r="B341" s="1336" t="s">
        <v>1476</v>
      </c>
      <c r="C341" s="1336">
        <v>760</v>
      </c>
      <c r="D341" s="1336">
        <v>720</v>
      </c>
      <c r="E341" s="1336">
        <v>690</v>
      </c>
      <c r="F341" s="1354">
        <v>350</v>
      </c>
      <c r="H341" s="1299"/>
    </row>
    <row r="342" spans="1:8" s="1330" customFormat="1" ht="14.25" customHeight="1" thickBot="1">
      <c r="A342" s="1342" t="s">
        <v>1263</v>
      </c>
      <c r="B342" s="1336" t="s">
        <v>1159</v>
      </c>
      <c r="C342" s="1336">
        <v>910</v>
      </c>
      <c r="D342" s="1336">
        <v>870</v>
      </c>
      <c r="E342" s="1336">
        <v>850</v>
      </c>
      <c r="F342" s="1354">
        <v>370</v>
      </c>
      <c r="H342" s="1299"/>
    </row>
    <row r="343" spans="1:8" s="1330" customFormat="1" ht="14.25" customHeight="1" thickBot="1">
      <c r="A343" s="1342" t="s">
        <v>1263</v>
      </c>
      <c r="B343" s="1336" t="s">
        <v>1171</v>
      </c>
      <c r="C343" s="1336">
        <v>800</v>
      </c>
      <c r="D343" s="1336">
        <v>760</v>
      </c>
      <c r="E343" s="1336">
        <v>730</v>
      </c>
      <c r="F343" s="1354">
        <v>340</v>
      </c>
      <c r="H343" s="1299"/>
    </row>
    <row r="344" spans="1:8" s="1330" customFormat="1" ht="14.25" customHeight="1" thickBot="1">
      <c r="A344" s="1342" t="s">
        <v>1263</v>
      </c>
      <c r="B344" s="1352" t="s">
        <v>1183</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1477</v>
      </c>
      <c r="B1" s="1333" t="s">
        <v>1080</v>
      </c>
      <c r="C1" s="1333" t="s">
        <v>1081</v>
      </c>
      <c r="D1" s="1333" t="s">
        <v>1082</v>
      </c>
      <c r="E1" s="1333" t="s">
        <v>1083</v>
      </c>
      <c r="F1" s="1333" t="s">
        <v>1084</v>
      </c>
      <c r="G1" s="1333" t="s">
        <v>1085</v>
      </c>
      <c r="H1" s="1333" t="s">
        <v>1086</v>
      </c>
      <c r="I1" s="1333" t="s">
        <v>1087</v>
      </c>
      <c r="J1" s="1333" t="s">
        <v>1088</v>
      </c>
      <c r="K1" s="1333" t="s">
        <v>1089</v>
      </c>
      <c r="L1" s="1333" t="s">
        <v>1090</v>
      </c>
      <c r="M1" s="1334" t="s">
        <v>1091</v>
      </c>
    </row>
    <row r="2" spans="1:13" ht="19.5" customHeight="1">
      <c r="A2" s="1368" t="s">
        <v>1106</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1107</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1760</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1109</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1478</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1479</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1480</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1481</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1482</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1483</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1484</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1485</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1486</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1487</v>
      </c>
      <c r="B16" s="1387"/>
      <c r="C16" s="1388"/>
      <c r="D16" s="1388"/>
      <c r="E16" s="1387"/>
      <c r="F16" s="1388"/>
      <c r="G16" s="1388"/>
    </row>
    <row r="17" spans="1:9" ht="19.5" customHeight="1">
      <c r="A17" s="1307" t="s">
        <v>1488</v>
      </c>
      <c r="B17" s="1390" t="s">
        <v>1489</v>
      </c>
      <c r="C17" s="1576" t="s">
        <v>1788</v>
      </c>
      <c r="D17" s="1391"/>
      <c r="E17" s="1307" t="s">
        <v>1490</v>
      </c>
      <c r="F17" s="1392"/>
      <c r="G17" s="1392"/>
    </row>
    <row r="18" spans="1:9" s="1398" customFormat="1" ht="19.5" customHeight="1">
      <c r="A18" s="3607" t="s">
        <v>1106</v>
      </c>
      <c r="B18" s="1393" t="s">
        <v>1491</v>
      </c>
      <c r="C18" s="1394" t="s">
        <v>1492</v>
      </c>
      <c r="D18" s="1395"/>
      <c r="E18" s="1393">
        <v>1</v>
      </c>
      <c r="F18" s="1396" t="s">
        <v>1493</v>
      </c>
      <c r="G18" s="1397"/>
      <c r="H18" s="1389"/>
      <c r="I18" s="1389"/>
    </row>
    <row r="19" spans="1:9" s="1398" customFormat="1" ht="19.5" customHeight="1">
      <c r="A19" s="3607"/>
      <c r="B19" s="3607" t="s">
        <v>1494</v>
      </c>
      <c r="C19" s="1394" t="s">
        <v>1495</v>
      </c>
      <c r="D19" s="1395"/>
      <c r="E19" s="1393">
        <v>0.9</v>
      </c>
      <c r="F19" s="1396" t="s">
        <v>1496</v>
      </c>
      <c r="G19" s="1397"/>
      <c r="H19" s="1389"/>
      <c r="I19" s="1389"/>
    </row>
    <row r="20" spans="1:9" s="1398" customFormat="1" ht="19.5" customHeight="1">
      <c r="A20" s="3607"/>
      <c r="B20" s="3607"/>
      <c r="C20" s="1394" t="s">
        <v>1497</v>
      </c>
      <c r="D20" s="1395"/>
      <c r="E20" s="1393">
        <v>1.1000000000000001</v>
      </c>
      <c r="F20" s="1396" t="s">
        <v>1498</v>
      </c>
      <c r="G20" s="1397"/>
      <c r="H20" s="1389"/>
      <c r="I20" s="1389"/>
    </row>
    <row r="21" spans="1:9" s="1398" customFormat="1" ht="19.5" customHeight="1">
      <c r="A21" s="3607"/>
      <c r="B21" s="3607"/>
      <c r="C21" s="1394" t="s">
        <v>1499</v>
      </c>
      <c r="D21" s="1395"/>
      <c r="E21" s="1393">
        <v>0.8</v>
      </c>
      <c r="F21" s="1396" t="s">
        <v>1500</v>
      </c>
      <c r="G21" s="1397"/>
      <c r="H21" s="1389"/>
      <c r="I21" s="1389"/>
    </row>
    <row r="22" spans="1:9" s="1398" customFormat="1" ht="19.5" customHeight="1">
      <c r="A22" s="3607"/>
      <c r="B22" s="3607"/>
      <c r="C22" s="1394" t="s">
        <v>1501</v>
      </c>
      <c r="D22" s="1395"/>
      <c r="E22" s="1393">
        <v>0.5</v>
      </c>
      <c r="F22" s="1396"/>
      <c r="G22" s="1397"/>
      <c r="H22" s="1389"/>
      <c r="I22" s="1389"/>
    </row>
    <row r="23" spans="1:9" s="1398" customFormat="1" ht="19.5" customHeight="1">
      <c r="A23" s="3607" t="s">
        <v>1107</v>
      </c>
      <c r="B23" s="1393" t="s">
        <v>1491</v>
      </c>
      <c r="C23" s="1394" t="s">
        <v>1502</v>
      </c>
      <c r="D23" s="1395"/>
      <c r="E23" s="1393">
        <v>1</v>
      </c>
      <c r="F23" s="1396" t="s">
        <v>1503</v>
      </c>
      <c r="G23" s="1397"/>
      <c r="H23" s="1389"/>
      <c r="I23" s="1389"/>
    </row>
    <row r="24" spans="1:9" s="1398" customFormat="1" ht="19.5" customHeight="1">
      <c r="A24" s="3607"/>
      <c r="B24" s="3607" t="s">
        <v>1494</v>
      </c>
      <c r="C24" s="1394" t="s">
        <v>1504</v>
      </c>
      <c r="D24" s="1395"/>
      <c r="E24" s="1393">
        <v>0.5</v>
      </c>
      <c r="F24" s="1396"/>
      <c r="G24" s="1397"/>
      <c r="H24" s="1389"/>
      <c r="I24" s="1389"/>
    </row>
    <row r="25" spans="1:9" s="1398" customFormat="1" ht="19.5" customHeight="1">
      <c r="A25" s="3607"/>
      <c r="B25" s="3607"/>
      <c r="C25" s="1394" t="s">
        <v>1505</v>
      </c>
      <c r="D25" s="1395"/>
      <c r="E25" s="1393">
        <v>1.1000000000000001</v>
      </c>
      <c r="F25" s="1396"/>
      <c r="G25" s="1397"/>
      <c r="H25" s="1389"/>
      <c r="I25" s="1389"/>
    </row>
    <row r="26" spans="1:9" s="1398" customFormat="1" ht="19.5" customHeight="1">
      <c r="A26" s="3607"/>
      <c r="B26" s="3607"/>
      <c r="C26" s="1394" t="s">
        <v>1506</v>
      </c>
      <c r="D26" s="1395"/>
      <c r="E26" s="1393">
        <v>1.1000000000000001</v>
      </c>
      <c r="F26" s="1396"/>
      <c r="G26" s="1397"/>
      <c r="H26" s="1389"/>
      <c r="I26" s="1389"/>
    </row>
    <row r="27" spans="1:9" s="1398" customFormat="1" ht="19.5" customHeight="1">
      <c r="A27" s="3607"/>
      <c r="B27" s="3607"/>
      <c r="C27" s="1394" t="s">
        <v>1507</v>
      </c>
      <c r="D27" s="1395"/>
      <c r="E27" s="1393">
        <v>0.9</v>
      </c>
      <c r="F27" s="1396" t="s">
        <v>1508</v>
      </c>
      <c r="G27" s="1397"/>
      <c r="H27" s="1389"/>
      <c r="I27" s="1389"/>
    </row>
    <row r="28" spans="1:9" s="1398" customFormat="1" ht="19.5" customHeight="1">
      <c r="A28" s="3607"/>
      <c r="B28" s="3607"/>
      <c r="C28" s="1394" t="s">
        <v>1509</v>
      </c>
      <c r="D28" s="1395"/>
      <c r="E28" s="1393">
        <v>0.9</v>
      </c>
      <c r="F28" s="1396" t="s">
        <v>1510</v>
      </c>
      <c r="G28" s="1397"/>
      <c r="H28" s="1389"/>
      <c r="I28" s="1389"/>
    </row>
    <row r="29" spans="1:9" s="1398" customFormat="1" ht="19.5" customHeight="1">
      <c r="A29" s="3607"/>
      <c r="B29" s="3607"/>
      <c r="C29" s="1394" t="s">
        <v>1511</v>
      </c>
      <c r="D29" s="1395"/>
      <c r="E29" s="1393">
        <v>0.9</v>
      </c>
      <c r="F29" s="1396" t="s">
        <v>1512</v>
      </c>
      <c r="G29" s="1397"/>
      <c r="H29" s="1389"/>
      <c r="I29" s="1389"/>
    </row>
    <row r="30" spans="1:9" s="1398" customFormat="1" ht="19.5" customHeight="1">
      <c r="A30" s="3607"/>
      <c r="B30" s="3607"/>
      <c r="C30" s="1394" t="s">
        <v>1513</v>
      </c>
      <c r="D30" s="1395"/>
      <c r="E30" s="1393">
        <v>0.9</v>
      </c>
      <c r="F30" s="1396" t="s">
        <v>1514</v>
      </c>
      <c r="G30" s="1397"/>
      <c r="H30" s="1389"/>
      <c r="I30" s="1389"/>
    </row>
    <row r="31" spans="1:9" s="1398" customFormat="1" ht="19.5" customHeight="1">
      <c r="A31" s="3607"/>
      <c r="B31" s="3607"/>
      <c r="C31" s="1394" t="s">
        <v>1515</v>
      </c>
      <c r="D31" s="1395"/>
      <c r="E31" s="1393">
        <v>0.8</v>
      </c>
      <c r="F31" s="1396" t="s">
        <v>1516</v>
      </c>
      <c r="G31" s="1397"/>
      <c r="H31" s="1389"/>
      <c r="I31" s="1389"/>
    </row>
    <row r="32" spans="1:9" s="1398" customFormat="1" ht="19.5" customHeight="1">
      <c r="A32" s="3607"/>
      <c r="B32" s="3607"/>
      <c r="C32" s="1394" t="s">
        <v>1517</v>
      </c>
      <c r="D32" s="1395"/>
      <c r="E32" s="1393">
        <v>0.8</v>
      </c>
      <c r="F32" s="1396" t="s">
        <v>1518</v>
      </c>
      <c r="G32" s="1397"/>
      <c r="H32" s="1389"/>
      <c r="I32" s="1389"/>
    </row>
    <row r="33" spans="1:9" s="1398" customFormat="1" ht="19.5" customHeight="1">
      <c r="A33" s="3607" t="s">
        <v>1108</v>
      </c>
      <c r="B33" s="1393" t="s">
        <v>1491</v>
      </c>
      <c r="C33" s="1394" t="s">
        <v>1519</v>
      </c>
      <c r="D33" s="1395"/>
      <c r="E33" s="1393">
        <v>1</v>
      </c>
      <c r="F33" s="1396" t="s">
        <v>1520</v>
      </c>
      <c r="G33" s="1397"/>
      <c r="H33" s="1389"/>
      <c r="I33" s="1389"/>
    </row>
    <row r="34" spans="1:9" s="1398" customFormat="1" ht="19.5" customHeight="1">
      <c r="A34" s="3607"/>
      <c r="B34" s="1393" t="s">
        <v>1494</v>
      </c>
      <c r="C34" s="1394" t="s">
        <v>1521</v>
      </c>
      <c r="D34" s="1395"/>
      <c r="E34" s="1393">
        <v>1.5</v>
      </c>
      <c r="F34" s="1396" t="s">
        <v>1522</v>
      </c>
      <c r="G34" s="1397"/>
      <c r="H34" s="1389"/>
      <c r="I34" s="1389"/>
    </row>
    <row r="35" spans="1:9" s="1398" customFormat="1" ht="19.5" customHeight="1">
      <c r="A35" s="3607" t="s">
        <v>1109</v>
      </c>
      <c r="B35" s="1393" t="s">
        <v>1491</v>
      </c>
      <c r="C35" s="1394" t="s">
        <v>1523</v>
      </c>
      <c r="D35" s="1395"/>
      <c r="E35" s="1393">
        <v>1</v>
      </c>
      <c r="F35" s="1396" t="s">
        <v>1524</v>
      </c>
      <c r="G35" s="1397"/>
      <c r="H35" s="1389"/>
      <c r="I35" s="1389"/>
    </row>
    <row r="36" spans="1:9" s="1398" customFormat="1" ht="19.5" customHeight="1">
      <c r="A36" s="3607"/>
      <c r="B36" s="3607" t="s">
        <v>1494</v>
      </c>
      <c r="C36" s="1394" t="s">
        <v>1525</v>
      </c>
      <c r="D36" s="1395"/>
      <c r="E36" s="1393">
        <v>1</v>
      </c>
      <c r="F36" s="1396" t="s">
        <v>1526</v>
      </c>
      <c r="G36" s="1397"/>
      <c r="H36" s="1389"/>
      <c r="I36" s="1389"/>
    </row>
    <row r="37" spans="1:9" s="1398" customFormat="1" ht="19.5" customHeight="1">
      <c r="A37" s="3607"/>
      <c r="B37" s="3607"/>
      <c r="C37" s="1394" t="s">
        <v>1527</v>
      </c>
      <c r="D37" s="1395"/>
      <c r="E37" s="1393">
        <v>1.5</v>
      </c>
      <c r="F37" s="1396" t="s">
        <v>1528</v>
      </c>
      <c r="G37" s="1397"/>
      <c r="H37" s="1389"/>
      <c r="I37" s="1389"/>
    </row>
    <row r="38" spans="1:9" s="1398" customFormat="1" ht="19.5" customHeight="1">
      <c r="A38" s="3607"/>
      <c r="B38" s="3607"/>
      <c r="C38" s="1394" t="s">
        <v>1529</v>
      </c>
      <c r="D38" s="1395"/>
      <c r="E38" s="1393">
        <v>1</v>
      </c>
      <c r="F38" s="1396" t="s">
        <v>1530</v>
      </c>
      <c r="G38" s="1397"/>
      <c r="H38" s="1389"/>
      <c r="I38" s="1389"/>
    </row>
    <row r="39" spans="1:9" s="1398" customFormat="1" ht="19.5" customHeight="1">
      <c r="A39" s="3607"/>
      <c r="B39" s="3607"/>
      <c r="C39" s="1394" t="s">
        <v>1531</v>
      </c>
      <c r="D39" s="1395"/>
      <c r="E39" s="1393">
        <v>1</v>
      </c>
      <c r="F39" s="1396" t="s">
        <v>1532</v>
      </c>
      <c r="G39" s="1397"/>
      <c r="H39" s="1389"/>
      <c r="I39" s="1389"/>
    </row>
    <row r="40" spans="1:9" s="1398" customFormat="1" ht="19.5" customHeight="1">
      <c r="A40" s="1399" t="s">
        <v>1533</v>
      </c>
      <c r="B40" s="1399"/>
      <c r="C40" s="1399"/>
      <c r="D40" s="1399"/>
      <c r="E40" s="1399"/>
      <c r="F40" s="1400"/>
      <c r="G40" s="1400"/>
      <c r="H40" s="1389"/>
      <c r="I40" s="1389"/>
    </row>
    <row r="42" spans="1:9" ht="19.5" customHeight="1">
      <c r="A42" s="1401"/>
      <c r="B42" s="1307" t="s">
        <v>1534</v>
      </c>
      <c r="C42" s="1307" t="s">
        <v>1534</v>
      </c>
      <c r="D42" s="1307" t="s">
        <v>1534</v>
      </c>
      <c r="E42" s="1320" t="s">
        <v>1534</v>
      </c>
      <c r="F42" s="1320" t="s">
        <v>1534</v>
      </c>
      <c r="G42" s="1320" t="s">
        <v>1535</v>
      </c>
      <c r="H42" s="1320" t="s">
        <v>1534</v>
      </c>
    </row>
    <row r="43" spans="1:9" ht="19.5" customHeight="1">
      <c r="A43" s="1402"/>
      <c r="B43" s="1320" t="s">
        <v>1106</v>
      </c>
      <c r="C43" s="1320" t="s">
        <v>1106</v>
      </c>
      <c r="D43" s="1320" t="s">
        <v>1106</v>
      </c>
      <c r="E43" s="1320" t="s">
        <v>1106</v>
      </c>
      <c r="F43" s="1307" t="s">
        <v>1107</v>
      </c>
      <c r="G43" s="1307" t="s">
        <v>1109</v>
      </c>
      <c r="H43" s="1307" t="s">
        <v>1536</v>
      </c>
    </row>
    <row r="44" spans="1:9" ht="19.5" customHeight="1">
      <c r="A44" s="1403"/>
      <c r="B44" s="1307">
        <v>1</v>
      </c>
      <c r="C44" s="1307">
        <v>2</v>
      </c>
      <c r="D44" s="1307">
        <v>3</v>
      </c>
      <c r="E44" s="1320">
        <v>4</v>
      </c>
      <c r="F44" s="1391" t="s">
        <v>1537</v>
      </c>
      <c r="G44" s="1391" t="s">
        <v>1537</v>
      </c>
      <c r="H44" s="1391" t="s">
        <v>1537</v>
      </c>
    </row>
    <row r="45" spans="1:9" ht="19.5" customHeight="1">
      <c r="A45" s="1404" t="s">
        <v>1080</v>
      </c>
      <c r="B45" s="1307">
        <v>0.8</v>
      </c>
      <c r="C45" s="1307">
        <v>0.5</v>
      </c>
      <c r="D45" s="1307">
        <v>0.36</v>
      </c>
      <c r="E45" s="1307">
        <v>0.3</v>
      </c>
      <c r="F45" s="1391">
        <v>0.3</v>
      </c>
      <c r="G45" s="1307">
        <v>0.3</v>
      </c>
      <c r="H45" s="1307">
        <v>0.25</v>
      </c>
    </row>
    <row r="46" spans="1:9" ht="19.5" customHeight="1">
      <c r="A46" s="1404" t="s">
        <v>1081</v>
      </c>
      <c r="B46" s="1307">
        <v>0.8</v>
      </c>
      <c r="C46" s="1307">
        <v>0.5</v>
      </c>
      <c r="D46" s="1307">
        <v>0.36</v>
      </c>
      <c r="E46" s="1307">
        <v>0.3</v>
      </c>
      <c r="F46" s="1307">
        <v>0.3</v>
      </c>
      <c r="G46" s="1307">
        <v>0.3</v>
      </c>
      <c r="H46" s="1307">
        <v>0.25</v>
      </c>
    </row>
    <row r="47" spans="1:9" ht="19.5" customHeight="1">
      <c r="A47" s="1404" t="s">
        <v>1082</v>
      </c>
      <c r="B47" s="1307">
        <v>0.7</v>
      </c>
      <c r="C47" s="1307">
        <v>0.4</v>
      </c>
      <c r="D47" s="1307">
        <v>0.28000000000000003</v>
      </c>
      <c r="E47" s="1307">
        <v>0.25</v>
      </c>
      <c r="F47" s="1307">
        <v>0.25</v>
      </c>
      <c r="G47" s="1307">
        <v>0.25</v>
      </c>
      <c r="H47" s="1307">
        <v>0.2</v>
      </c>
    </row>
    <row r="48" spans="1:9" ht="19.5" customHeight="1">
      <c r="A48" s="1404" t="s">
        <v>1083</v>
      </c>
      <c r="B48" s="1307">
        <v>0.7</v>
      </c>
      <c r="C48" s="1307">
        <v>0.4</v>
      </c>
      <c r="D48" s="1307">
        <v>0.28000000000000003</v>
      </c>
      <c r="E48" s="1307">
        <v>0.25</v>
      </c>
      <c r="F48" s="1307">
        <v>0.25</v>
      </c>
      <c r="G48" s="1307">
        <v>0.25</v>
      </c>
      <c r="H48" s="1307">
        <v>0.2</v>
      </c>
    </row>
    <row r="49" spans="1:8" s="1389" customFormat="1" ht="19.5" customHeight="1">
      <c r="A49" s="1404" t="s">
        <v>1084</v>
      </c>
      <c r="B49" s="1307">
        <v>0.7</v>
      </c>
      <c r="C49" s="1307">
        <v>0.4</v>
      </c>
      <c r="D49" s="1307">
        <v>0.28000000000000003</v>
      </c>
      <c r="E49" s="1307">
        <v>0.25</v>
      </c>
      <c r="F49" s="1307">
        <v>0.25</v>
      </c>
      <c r="G49" s="1307">
        <v>0.25</v>
      </c>
      <c r="H49" s="1307">
        <v>0.2</v>
      </c>
    </row>
    <row r="50" spans="1:8" s="1389" customFormat="1" ht="19.5" customHeight="1">
      <c r="A50" s="1404" t="s">
        <v>1085</v>
      </c>
      <c r="B50" s="1307">
        <v>0.7</v>
      </c>
      <c r="C50" s="1307">
        <v>0.4</v>
      </c>
      <c r="D50" s="1307">
        <v>0.28000000000000003</v>
      </c>
      <c r="E50" s="1307">
        <v>0.25</v>
      </c>
      <c r="F50" s="1307">
        <v>0.25</v>
      </c>
      <c r="G50" s="1307">
        <v>0.25</v>
      </c>
      <c r="H50" s="1307">
        <v>0.2</v>
      </c>
    </row>
    <row r="51" spans="1:8" s="1389" customFormat="1" ht="19.5" customHeight="1">
      <c r="A51" s="1404" t="s">
        <v>1086</v>
      </c>
      <c r="B51" s="1307">
        <v>0.7</v>
      </c>
      <c r="C51" s="1307">
        <v>0.4</v>
      </c>
      <c r="D51" s="1307">
        <v>0.28000000000000003</v>
      </c>
      <c r="E51" s="1307">
        <v>0.25</v>
      </c>
      <c r="F51" s="1307">
        <v>0.25</v>
      </c>
      <c r="G51" s="1307">
        <v>0.25</v>
      </c>
      <c r="H51" s="1307">
        <v>0.2</v>
      </c>
    </row>
    <row r="52" spans="1:8" s="1389" customFormat="1" ht="19.5" customHeight="1">
      <c r="A52" s="1404" t="s">
        <v>1087</v>
      </c>
      <c r="B52" s="1307">
        <v>0.6</v>
      </c>
      <c r="C52" s="1307">
        <v>0.3</v>
      </c>
      <c r="D52" s="1307">
        <v>0.2</v>
      </c>
      <c r="E52" s="1307">
        <v>0.2</v>
      </c>
      <c r="F52" s="1307">
        <v>0.2</v>
      </c>
      <c r="G52" s="1307">
        <v>0.2</v>
      </c>
      <c r="H52" s="1307">
        <v>0.15</v>
      </c>
    </row>
    <row r="53" spans="1:8" s="1389" customFormat="1" ht="19.5" customHeight="1">
      <c r="A53" s="1404" t="s">
        <v>1088</v>
      </c>
      <c r="B53" s="1307">
        <v>0.6</v>
      </c>
      <c r="C53" s="1307">
        <v>0.3</v>
      </c>
      <c r="D53" s="1307">
        <v>0.2</v>
      </c>
      <c r="E53" s="1307">
        <v>0.2</v>
      </c>
      <c r="F53" s="1307">
        <v>0.2</v>
      </c>
      <c r="G53" s="1307">
        <v>0.2</v>
      </c>
      <c r="H53" s="1307">
        <v>0.15</v>
      </c>
    </row>
    <row r="54" spans="1:8" s="1389" customFormat="1" ht="19.5" customHeight="1">
      <c r="A54" s="1404" t="s">
        <v>1089</v>
      </c>
      <c r="B54" s="1307">
        <v>0.6</v>
      </c>
      <c r="C54" s="1307">
        <v>0.3</v>
      </c>
      <c r="D54" s="1307">
        <v>0.2</v>
      </c>
      <c r="E54" s="1307">
        <v>0.2</v>
      </c>
      <c r="F54" s="1307">
        <v>0.2</v>
      </c>
      <c r="G54" s="1307">
        <v>0.2</v>
      </c>
      <c r="H54" s="1307">
        <v>0.15</v>
      </c>
    </row>
    <row r="55" spans="1:8" s="1389" customFormat="1" ht="19.5" customHeight="1">
      <c r="A55" s="1404" t="s">
        <v>1090</v>
      </c>
      <c r="B55" s="1307">
        <v>0.6</v>
      </c>
      <c r="C55" s="1307">
        <v>0.3</v>
      </c>
      <c r="D55" s="1307">
        <v>0.2</v>
      </c>
      <c r="E55" s="1307">
        <v>0.2</v>
      </c>
      <c r="F55" s="1307">
        <v>0.2</v>
      </c>
      <c r="G55" s="1307">
        <v>0.2</v>
      </c>
      <c r="H55" s="1307">
        <v>0.15</v>
      </c>
    </row>
    <row r="56" spans="1:8" s="1389" customFormat="1" ht="19.5" customHeight="1">
      <c r="A56" s="1404" t="s">
        <v>1091</v>
      </c>
      <c r="B56" s="1307">
        <v>0.6</v>
      </c>
      <c r="C56" s="1307">
        <v>0.3</v>
      </c>
      <c r="D56" s="1307">
        <v>0.2</v>
      </c>
      <c r="E56" s="1307">
        <v>0.2</v>
      </c>
      <c r="F56" s="1307">
        <v>0.2</v>
      </c>
      <c r="G56" s="1307">
        <v>0.2</v>
      </c>
      <c r="H56" s="1307">
        <v>0.15</v>
      </c>
    </row>
    <row r="58" spans="1:8" s="1389" customFormat="1" ht="19.5" customHeight="1">
      <c r="A58" s="1405"/>
      <c r="B58" s="1387"/>
      <c r="C58" s="1387"/>
      <c r="D58" s="1387" t="s">
        <v>1538</v>
      </c>
      <c r="E58" s="1387"/>
      <c r="F58" s="1387"/>
    </row>
    <row r="59" spans="1:8" s="1389" customFormat="1" ht="19.5" customHeight="1">
      <c r="A59" s="1393" t="s">
        <v>1539</v>
      </c>
      <c r="B59" s="1393" t="s">
        <v>1540</v>
      </c>
      <c r="C59" s="1393" t="s">
        <v>1541</v>
      </c>
      <c r="D59" s="1393" t="s">
        <v>1542</v>
      </c>
      <c r="E59" s="1393" t="s">
        <v>1543</v>
      </c>
      <c r="F59" s="1393" t="s">
        <v>1544</v>
      </c>
    </row>
    <row r="60" spans="1:8" ht="13.5">
      <c r="A60" s="1601"/>
      <c r="B60" s="1601"/>
      <c r="C60" s="1601" t="s">
        <v>1676</v>
      </c>
      <c r="D60" s="1601"/>
      <c r="E60" s="1406" t="s">
        <v>20</v>
      </c>
      <c r="F60" s="1601" t="s">
        <v>20</v>
      </c>
    </row>
    <row r="61" spans="1:8" s="1389" customFormat="1" ht="24">
      <c r="A61" s="1393">
        <v>1</v>
      </c>
      <c r="B61" s="3607" t="s">
        <v>1545</v>
      </c>
      <c r="C61" s="1307" t="s">
        <v>1546</v>
      </c>
      <c r="D61" s="1307" t="s">
        <v>1547</v>
      </c>
      <c r="E61" s="1406">
        <v>0.5</v>
      </c>
      <c r="F61" s="1393">
        <v>80</v>
      </c>
    </row>
    <row r="62" spans="1:8" s="1389" customFormat="1" ht="24">
      <c r="A62" s="1393">
        <v>2</v>
      </c>
      <c r="B62" s="3607"/>
      <c r="C62" s="1307" t="s">
        <v>1548</v>
      </c>
      <c r="D62" s="1307" t="s">
        <v>1549</v>
      </c>
      <c r="E62" s="1406">
        <v>0.5</v>
      </c>
      <c r="F62" s="1393">
        <v>80</v>
      </c>
    </row>
    <row r="63" spans="1:8" s="1389" customFormat="1" ht="36">
      <c r="A63" s="1393">
        <v>3</v>
      </c>
      <c r="B63" s="3607"/>
      <c r="C63" s="1307" t="s">
        <v>1550</v>
      </c>
      <c r="D63" s="1307" t="s">
        <v>1551</v>
      </c>
      <c r="E63" s="1406">
        <v>0.5</v>
      </c>
      <c r="F63" s="1393">
        <v>80</v>
      </c>
    </row>
    <row r="64" spans="1:8" s="1389" customFormat="1" ht="36">
      <c r="A64" s="1393">
        <v>4</v>
      </c>
      <c r="B64" s="3607"/>
      <c r="C64" s="1307" t="s">
        <v>1552</v>
      </c>
      <c r="D64" s="1307" t="s">
        <v>1553</v>
      </c>
      <c r="E64" s="1406">
        <v>0.4</v>
      </c>
      <c r="F64" s="1393">
        <v>60</v>
      </c>
    </row>
    <row r="65" spans="1:6" s="1389" customFormat="1" ht="36">
      <c r="A65" s="1393">
        <v>5</v>
      </c>
      <c r="B65" s="3607"/>
      <c r="C65" s="1307" t="s">
        <v>1554</v>
      </c>
      <c r="D65" s="1307" t="s">
        <v>1555</v>
      </c>
      <c r="E65" s="1406">
        <v>0.2</v>
      </c>
      <c r="F65" s="1393">
        <v>30</v>
      </c>
    </row>
    <row r="66" spans="1:6" s="1389" customFormat="1" ht="36">
      <c r="A66" s="1393">
        <v>6</v>
      </c>
      <c r="B66" s="3607"/>
      <c r="C66" s="1307" t="s">
        <v>1556</v>
      </c>
      <c r="D66" s="1307" t="s">
        <v>1557</v>
      </c>
      <c r="E66" s="1406">
        <v>0.3</v>
      </c>
      <c r="F66" s="1393">
        <v>50</v>
      </c>
    </row>
    <row r="67" spans="1:6" s="1389" customFormat="1" ht="36">
      <c r="A67" s="1393">
        <v>7</v>
      </c>
      <c r="B67" s="3607"/>
      <c r="C67" s="1307" t="s">
        <v>1558</v>
      </c>
      <c r="D67" s="1307" t="s">
        <v>1559</v>
      </c>
      <c r="E67" s="1406">
        <v>0.2</v>
      </c>
      <c r="F67" s="1393">
        <v>30</v>
      </c>
    </row>
    <row r="68" spans="1:6" s="1389" customFormat="1" ht="36">
      <c r="A68" s="1393">
        <v>8</v>
      </c>
      <c r="B68" s="3607"/>
      <c r="C68" s="1307" t="s">
        <v>1560</v>
      </c>
      <c r="D68" s="1307" t="s">
        <v>1561</v>
      </c>
      <c r="E68" s="1406">
        <v>0.2</v>
      </c>
      <c r="F68" s="1393">
        <v>30</v>
      </c>
    </row>
    <row r="69" spans="1:6" s="1389" customFormat="1" ht="36">
      <c r="A69" s="1393">
        <v>9</v>
      </c>
      <c r="B69" s="3607"/>
      <c r="C69" s="1307" t="s">
        <v>1562</v>
      </c>
      <c r="D69" s="1307" t="s">
        <v>1563</v>
      </c>
      <c r="E69" s="1406">
        <v>0.2</v>
      </c>
      <c r="F69" s="1393">
        <v>30</v>
      </c>
    </row>
    <row r="70" spans="1:6" s="1389" customFormat="1" ht="48">
      <c r="A70" s="1393">
        <v>10</v>
      </c>
      <c r="B70" s="3607"/>
      <c r="C70" s="1307" t="s">
        <v>1564</v>
      </c>
      <c r="D70" s="1307" t="s">
        <v>1565</v>
      </c>
      <c r="E70" s="1406">
        <v>0.2</v>
      </c>
      <c r="F70" s="1393">
        <v>30</v>
      </c>
    </row>
    <row r="71" spans="1:6" s="1389" customFormat="1" ht="48">
      <c r="A71" s="1393">
        <v>11</v>
      </c>
      <c r="B71" s="3607"/>
      <c r="C71" s="1307" t="s">
        <v>1566</v>
      </c>
      <c r="D71" s="1307" t="s">
        <v>1567</v>
      </c>
      <c r="E71" s="1406">
        <v>0.2</v>
      </c>
      <c r="F71" s="1393">
        <v>30</v>
      </c>
    </row>
    <row r="72" spans="1:6" s="1389" customFormat="1" ht="36">
      <c r="A72" s="1393">
        <v>12</v>
      </c>
      <c r="B72" s="3607"/>
      <c r="C72" s="1307" t="s">
        <v>1568</v>
      </c>
      <c r="D72" s="1307" t="s">
        <v>1569</v>
      </c>
      <c r="E72" s="1406">
        <v>0.5</v>
      </c>
      <c r="F72" s="1393">
        <v>80</v>
      </c>
    </row>
    <row r="73" spans="1:6" s="1389" customFormat="1" ht="24">
      <c r="A73" s="1393">
        <v>13</v>
      </c>
      <c r="B73" s="3607"/>
      <c r="C73" s="1307" t="s">
        <v>1570</v>
      </c>
      <c r="D73" s="1307" t="s">
        <v>1571</v>
      </c>
      <c r="E73" s="1406">
        <v>0.4</v>
      </c>
      <c r="F73" s="1393">
        <v>60</v>
      </c>
    </row>
    <row r="74" spans="1:6" s="1389" customFormat="1" ht="24">
      <c r="A74" s="1393">
        <v>14</v>
      </c>
      <c r="B74" s="3607"/>
      <c r="C74" s="1307" t="s">
        <v>1572</v>
      </c>
      <c r="D74" s="1307" t="s">
        <v>1573</v>
      </c>
      <c r="E74" s="1406">
        <v>0.2</v>
      </c>
      <c r="F74" s="1393">
        <v>30</v>
      </c>
    </row>
    <row r="75" spans="1:6" s="1389" customFormat="1" ht="24">
      <c r="A75" s="1393">
        <v>15</v>
      </c>
      <c r="B75" s="3607"/>
      <c r="C75" s="1307" t="s">
        <v>1574</v>
      </c>
      <c r="D75" s="1307" t="s">
        <v>1575</v>
      </c>
      <c r="E75" s="1406">
        <v>0.2</v>
      </c>
      <c r="F75" s="1393">
        <v>30</v>
      </c>
    </row>
    <row r="76" spans="1:6" s="1389" customFormat="1" ht="24">
      <c r="A76" s="1393">
        <v>16</v>
      </c>
      <c r="B76" s="3607" t="s">
        <v>1576</v>
      </c>
      <c r="C76" s="1307" t="s">
        <v>1577</v>
      </c>
      <c r="D76" s="1307" t="s">
        <v>1578</v>
      </c>
      <c r="E76" s="1406">
        <v>0.5</v>
      </c>
      <c r="F76" s="1393">
        <v>80</v>
      </c>
    </row>
    <row r="77" spans="1:6" s="1389" customFormat="1" ht="24">
      <c r="A77" s="1393">
        <v>17</v>
      </c>
      <c r="B77" s="3607"/>
      <c r="C77" s="1307" t="s">
        <v>1579</v>
      </c>
      <c r="D77" s="1307" t="s">
        <v>1580</v>
      </c>
      <c r="E77" s="1406">
        <v>0.5</v>
      </c>
      <c r="F77" s="1393">
        <v>80</v>
      </c>
    </row>
    <row r="78" spans="1:6" s="1389" customFormat="1" ht="24">
      <c r="A78" s="1393">
        <v>18</v>
      </c>
      <c r="B78" s="3607"/>
      <c r="C78" s="1307" t="s">
        <v>1581</v>
      </c>
      <c r="D78" s="1307" t="s">
        <v>1582</v>
      </c>
      <c r="E78" s="1406">
        <v>0.2</v>
      </c>
      <c r="F78" s="1393">
        <v>30</v>
      </c>
    </row>
    <row r="79" spans="1:6" s="1389" customFormat="1" ht="24">
      <c r="A79" s="1393">
        <v>19</v>
      </c>
      <c r="B79" s="3607"/>
      <c r="C79" s="1307" t="s">
        <v>1583</v>
      </c>
      <c r="D79" s="1307" t="s">
        <v>1584</v>
      </c>
      <c r="E79" s="1406">
        <v>0.5</v>
      </c>
      <c r="F79" s="1393">
        <v>80</v>
      </c>
    </row>
    <row r="80" spans="1:6" s="1389" customFormat="1" ht="36">
      <c r="A80" s="1393">
        <v>20</v>
      </c>
      <c r="B80" s="3607"/>
      <c r="C80" s="1307" t="s">
        <v>1585</v>
      </c>
      <c r="D80" s="1307" t="s">
        <v>1586</v>
      </c>
      <c r="E80" s="1406">
        <v>0.2</v>
      </c>
      <c r="F80" s="1393">
        <v>30</v>
      </c>
    </row>
    <row r="81" spans="1:6" s="1389" customFormat="1" ht="36">
      <c r="A81" s="1393">
        <v>21</v>
      </c>
      <c r="B81" s="3607"/>
      <c r="C81" s="1307" t="s">
        <v>1587</v>
      </c>
      <c r="D81" s="1307" t="s">
        <v>1588</v>
      </c>
      <c r="E81" s="1406">
        <v>0.2</v>
      </c>
      <c r="F81" s="1393">
        <v>30</v>
      </c>
    </row>
    <row r="82" spans="1:6" s="1389" customFormat="1" ht="48">
      <c r="A82" s="1393">
        <v>22</v>
      </c>
      <c r="B82" s="3607"/>
      <c r="C82" s="1307" t="s">
        <v>1589</v>
      </c>
      <c r="D82" s="1307" t="s">
        <v>1590</v>
      </c>
      <c r="E82" s="1406">
        <v>0.2</v>
      </c>
      <c r="F82" s="1393">
        <v>30</v>
      </c>
    </row>
    <row r="83" spans="1:6" s="1389" customFormat="1" ht="48">
      <c r="A83" s="1393">
        <v>23</v>
      </c>
      <c r="B83" s="3607"/>
      <c r="C83" s="1307" t="s">
        <v>1591</v>
      </c>
      <c r="D83" s="1307" t="s">
        <v>1592</v>
      </c>
      <c r="E83" s="1406">
        <v>0.2</v>
      </c>
      <c r="F83" s="1393">
        <v>30</v>
      </c>
    </row>
    <row r="84" spans="1:6" s="1389" customFormat="1" ht="36">
      <c r="A84" s="1393">
        <v>24</v>
      </c>
      <c r="B84" s="3607"/>
      <c r="C84" s="1307" t="s">
        <v>1593</v>
      </c>
      <c r="D84" s="1307" t="s">
        <v>1594</v>
      </c>
      <c r="E84" s="1406">
        <v>0.2</v>
      </c>
      <c r="F84" s="1393">
        <v>30</v>
      </c>
    </row>
    <row r="85" spans="1:6" s="1389" customFormat="1" ht="36">
      <c r="A85" s="1393">
        <v>25</v>
      </c>
      <c r="B85" s="3607"/>
      <c r="C85" s="1307" t="s">
        <v>1595</v>
      </c>
      <c r="D85" s="1307" t="s">
        <v>1596</v>
      </c>
      <c r="E85" s="1406">
        <v>0.5</v>
      </c>
      <c r="F85" s="1393">
        <v>80</v>
      </c>
    </row>
    <row r="86" spans="1:6" s="1389" customFormat="1" ht="36">
      <c r="A86" s="1393">
        <v>26</v>
      </c>
      <c r="B86" s="3607"/>
      <c r="C86" s="1307" t="s">
        <v>1597</v>
      </c>
      <c r="D86" s="1307" t="s">
        <v>1598</v>
      </c>
      <c r="E86" s="1406">
        <v>0.2</v>
      </c>
      <c r="F86" s="1393">
        <v>30</v>
      </c>
    </row>
    <row r="87" spans="1:6" s="1389" customFormat="1" ht="36">
      <c r="A87" s="1393">
        <v>27</v>
      </c>
      <c r="B87" s="3607"/>
      <c r="C87" s="1307" t="s">
        <v>1599</v>
      </c>
      <c r="D87" s="1307" t="s">
        <v>1600</v>
      </c>
      <c r="E87" s="1406">
        <v>0.2</v>
      </c>
      <c r="F87" s="1393">
        <v>30</v>
      </c>
    </row>
    <row r="88" spans="1:6" s="1389" customFormat="1" ht="36">
      <c r="A88" s="1393">
        <v>28</v>
      </c>
      <c r="B88" s="3607"/>
      <c r="C88" s="1307" t="s">
        <v>1601</v>
      </c>
      <c r="D88" s="1307" t="s">
        <v>1602</v>
      </c>
      <c r="E88" s="1406">
        <v>0.2</v>
      </c>
      <c r="F88" s="1393">
        <v>30</v>
      </c>
    </row>
    <row r="89" spans="1:6" s="1389" customFormat="1" ht="24">
      <c r="A89" s="1393">
        <v>29</v>
      </c>
      <c r="B89" s="3607"/>
      <c r="C89" s="1307" t="s">
        <v>1603</v>
      </c>
      <c r="D89" s="1307" t="s">
        <v>1604</v>
      </c>
      <c r="E89" s="1406">
        <v>0.2</v>
      </c>
      <c r="F89" s="1393">
        <v>30</v>
      </c>
    </row>
    <row r="90" spans="1:6" s="1389" customFormat="1" ht="24">
      <c r="A90" s="1393">
        <v>30</v>
      </c>
      <c r="B90" s="3607"/>
      <c r="C90" s="1307" t="s">
        <v>1605</v>
      </c>
      <c r="D90" s="1307" t="s">
        <v>1606</v>
      </c>
      <c r="E90" s="1406">
        <v>0.2</v>
      </c>
      <c r="F90" s="1393">
        <v>30</v>
      </c>
    </row>
    <row r="91" spans="1:6" s="1389" customFormat="1" ht="36">
      <c r="A91" s="1393">
        <v>31</v>
      </c>
      <c r="B91" s="3607"/>
      <c r="C91" s="1307" t="s">
        <v>1607</v>
      </c>
      <c r="D91" s="1307" t="s">
        <v>1608</v>
      </c>
      <c r="E91" s="1406">
        <v>0.2</v>
      </c>
      <c r="F91" s="1393">
        <v>30</v>
      </c>
    </row>
    <row r="92" spans="1:6" s="1389" customFormat="1" ht="24">
      <c r="A92" s="1393">
        <v>32</v>
      </c>
      <c r="B92" s="3607" t="s">
        <v>1609</v>
      </c>
      <c r="C92" s="1393" t="s">
        <v>1610</v>
      </c>
      <c r="D92" s="1307" t="s">
        <v>1611</v>
      </c>
      <c r="E92" s="1406">
        <v>0.2</v>
      </c>
      <c r="F92" s="1393">
        <v>30</v>
      </c>
    </row>
    <row r="93" spans="1:6" s="1389" customFormat="1" ht="36">
      <c r="A93" s="1393">
        <v>33</v>
      </c>
      <c r="B93" s="3607"/>
      <c r="C93" s="1393" t="s">
        <v>1612</v>
      </c>
      <c r="D93" s="1307" t="s">
        <v>1613</v>
      </c>
      <c r="E93" s="1406">
        <v>0.2</v>
      </c>
      <c r="F93" s="1393">
        <v>30</v>
      </c>
    </row>
    <row r="94" spans="1:6" s="1389" customFormat="1" ht="48">
      <c r="A94" s="1393">
        <v>34</v>
      </c>
      <c r="B94" s="3607"/>
      <c r="C94" s="1393" t="s">
        <v>1614</v>
      </c>
      <c r="D94" s="1307" t="s">
        <v>1615</v>
      </c>
      <c r="E94" s="1406">
        <v>0.2</v>
      </c>
      <c r="F94" s="1393">
        <v>30</v>
      </c>
    </row>
    <row r="95" spans="1:6" s="1389" customFormat="1" ht="36">
      <c r="A95" s="1393">
        <v>35</v>
      </c>
      <c r="B95" s="3607"/>
      <c r="C95" s="1393" t="s">
        <v>1616</v>
      </c>
      <c r="D95" s="1307" t="s">
        <v>1617</v>
      </c>
      <c r="E95" s="1406">
        <v>0.2</v>
      </c>
      <c r="F95" s="1393">
        <v>30</v>
      </c>
    </row>
    <row r="96" spans="1:6" s="1389" customFormat="1" ht="48">
      <c r="A96" s="1393">
        <v>36</v>
      </c>
      <c r="B96" s="3607"/>
      <c r="C96" s="1307" t="s">
        <v>1618</v>
      </c>
      <c r="D96" s="1307" t="s">
        <v>1619</v>
      </c>
      <c r="E96" s="1406">
        <v>0.2</v>
      </c>
      <c r="F96" s="1393">
        <v>30</v>
      </c>
    </row>
    <row r="97" spans="1:6" s="1389" customFormat="1" ht="36">
      <c r="A97" s="1393">
        <v>37</v>
      </c>
      <c r="B97" s="3607"/>
      <c r="C97" s="1393" t="s">
        <v>1620</v>
      </c>
      <c r="D97" s="1307" t="s">
        <v>1621</v>
      </c>
      <c r="E97" s="1406">
        <v>0.2</v>
      </c>
      <c r="F97" s="1393">
        <v>30</v>
      </c>
    </row>
    <row r="98" spans="1:6" s="1389" customFormat="1" ht="36">
      <c r="A98" s="1393">
        <v>38</v>
      </c>
      <c r="B98" s="3607"/>
      <c r="C98" s="1393" t="s">
        <v>1622</v>
      </c>
      <c r="D98" s="1307" t="s">
        <v>1623</v>
      </c>
      <c r="E98" s="1406">
        <v>0.2</v>
      </c>
      <c r="F98" s="1393">
        <v>30</v>
      </c>
    </row>
    <row r="99" spans="1:6" s="1389" customFormat="1" ht="36">
      <c r="A99" s="1393">
        <v>39</v>
      </c>
      <c r="B99" s="3607" t="s">
        <v>1624</v>
      </c>
      <c r="C99" s="1393" t="s">
        <v>1625</v>
      </c>
      <c r="D99" s="1307" t="s">
        <v>1626</v>
      </c>
      <c r="E99" s="1406">
        <v>0.3</v>
      </c>
      <c r="F99" s="1393">
        <v>50</v>
      </c>
    </row>
    <row r="100" spans="1:6" s="1389" customFormat="1" ht="24">
      <c r="A100" s="1393">
        <v>40</v>
      </c>
      <c r="B100" s="3607"/>
      <c r="C100" s="1393" t="s">
        <v>1627</v>
      </c>
      <c r="D100" s="1307" t="s">
        <v>1628</v>
      </c>
      <c r="E100" s="1406">
        <v>0.2</v>
      </c>
      <c r="F100" s="1393">
        <v>30</v>
      </c>
    </row>
    <row r="101" spans="1:6" s="1389" customFormat="1" ht="36">
      <c r="A101" s="1393">
        <v>41</v>
      </c>
      <c r="B101" s="3607"/>
      <c r="C101" s="1393" t="s">
        <v>1629</v>
      </c>
      <c r="D101" s="1307" t="s">
        <v>1626</v>
      </c>
      <c r="E101" s="1406">
        <v>0.2</v>
      </c>
      <c r="F101" s="1393">
        <v>30</v>
      </c>
    </row>
    <row r="102" spans="1:6" s="1389" customFormat="1" ht="48">
      <c r="A102" s="1393">
        <v>42</v>
      </c>
      <c r="B102" s="1393" t="s">
        <v>1630</v>
      </c>
      <c r="C102" s="1307" t="s">
        <v>1631</v>
      </c>
      <c r="D102" s="1307" t="s">
        <v>1632</v>
      </c>
      <c r="E102" s="1406">
        <v>0.2</v>
      </c>
      <c r="F102" s="1393">
        <v>30</v>
      </c>
    </row>
    <row r="103" spans="1:6" s="1389" customFormat="1" ht="24">
      <c r="A103" s="1393">
        <v>43</v>
      </c>
      <c r="B103" s="1393" t="s">
        <v>1633</v>
      </c>
      <c r="C103" s="1393" t="s">
        <v>1634</v>
      </c>
      <c r="D103" s="1307" t="s">
        <v>1635</v>
      </c>
      <c r="E103" s="1406">
        <v>0.2</v>
      </c>
      <c r="F103" s="1393">
        <v>30</v>
      </c>
    </row>
    <row r="104" spans="1:6" s="1389" customFormat="1" ht="36">
      <c r="A104" s="1393">
        <v>44</v>
      </c>
      <c r="B104" s="1393" t="s">
        <v>1636</v>
      </c>
      <c r="C104" s="1393" t="s">
        <v>1637</v>
      </c>
      <c r="D104" s="1307" t="s">
        <v>1638</v>
      </c>
      <c r="E104" s="1406">
        <v>0.2</v>
      </c>
      <c r="F104" s="1393">
        <v>30</v>
      </c>
    </row>
    <row r="105" spans="1:6" s="1389" customFormat="1" ht="36">
      <c r="A105" s="1393">
        <v>45</v>
      </c>
      <c r="B105" s="3607" t="s">
        <v>1639</v>
      </c>
      <c r="C105" s="1393" t="s">
        <v>1640</v>
      </c>
      <c r="D105" s="1307" t="s">
        <v>1641</v>
      </c>
      <c r="E105" s="1406">
        <v>0.2</v>
      </c>
      <c r="F105" s="1393">
        <v>30</v>
      </c>
    </row>
    <row r="106" spans="1:6" s="1389" customFormat="1" ht="36">
      <c r="A106" s="1393">
        <v>46</v>
      </c>
      <c r="B106" s="3607"/>
      <c r="C106" s="1393" t="s">
        <v>1642</v>
      </c>
      <c r="D106" s="1307" t="s">
        <v>1643</v>
      </c>
      <c r="E106" s="1406">
        <v>0.2</v>
      </c>
      <c r="F106" s="1393">
        <v>30</v>
      </c>
    </row>
    <row r="107" spans="1:6" s="1389" customFormat="1" ht="36">
      <c r="A107" s="1393">
        <v>47</v>
      </c>
      <c r="B107" s="3607" t="s">
        <v>1644</v>
      </c>
      <c r="C107" s="1393" t="s">
        <v>1645</v>
      </c>
      <c r="D107" s="1307" t="s">
        <v>1646</v>
      </c>
      <c r="E107" s="1406">
        <v>0.3</v>
      </c>
      <c r="F107" s="1393">
        <v>50</v>
      </c>
    </row>
    <row r="108" spans="1:6" s="1389" customFormat="1" ht="36">
      <c r="A108" s="1393">
        <v>48</v>
      </c>
      <c r="B108" s="3607"/>
      <c r="C108" s="1393" t="s">
        <v>1647</v>
      </c>
      <c r="D108" s="1307" t="s">
        <v>1648</v>
      </c>
      <c r="E108" s="1406">
        <v>0.2</v>
      </c>
      <c r="F108" s="1393">
        <v>30</v>
      </c>
    </row>
    <row r="109" spans="1:6" s="1389" customFormat="1" ht="36">
      <c r="A109" s="1393">
        <v>49</v>
      </c>
      <c r="B109" s="1393" t="s">
        <v>1649</v>
      </c>
      <c r="C109" s="1393" t="s">
        <v>1650</v>
      </c>
      <c r="D109" s="1307" t="s">
        <v>1651</v>
      </c>
      <c r="E109" s="1406">
        <v>0.2</v>
      </c>
      <c r="F109" s="1393">
        <v>30</v>
      </c>
    </row>
    <row r="110" spans="1:6" s="1389" customFormat="1" ht="36">
      <c r="A110" s="1393">
        <v>50</v>
      </c>
      <c r="B110" s="1393" t="s">
        <v>1652</v>
      </c>
      <c r="C110" s="1393" t="s">
        <v>1653</v>
      </c>
      <c r="D110" s="1307" t="s">
        <v>1654</v>
      </c>
      <c r="E110" s="1406">
        <v>0.2</v>
      </c>
      <c r="F110" s="1393">
        <v>30</v>
      </c>
    </row>
    <row r="111" spans="1:6" s="1389" customFormat="1" ht="36">
      <c r="A111" s="1393">
        <v>51</v>
      </c>
      <c r="B111" s="3607" t="s">
        <v>1655</v>
      </c>
      <c r="C111" s="1393" t="s">
        <v>1656</v>
      </c>
      <c r="D111" s="1307" t="s">
        <v>1657</v>
      </c>
      <c r="E111" s="1406">
        <v>0.2</v>
      </c>
      <c r="F111" s="1393">
        <v>30</v>
      </c>
    </row>
    <row r="112" spans="1:6" s="1389" customFormat="1" ht="24">
      <c r="A112" s="1393">
        <v>52</v>
      </c>
      <c r="B112" s="3607"/>
      <c r="C112" s="1393" t="s">
        <v>1658</v>
      </c>
      <c r="D112" s="1307" t="s">
        <v>1659</v>
      </c>
      <c r="E112" s="1406">
        <v>0.2</v>
      </c>
      <c r="F112" s="1393">
        <v>30</v>
      </c>
    </row>
    <row r="113" spans="1:6" s="1389" customFormat="1" ht="24">
      <c r="A113" s="1393">
        <v>53</v>
      </c>
      <c r="B113" s="3607"/>
      <c r="C113" s="1393" t="s">
        <v>1660</v>
      </c>
      <c r="D113" s="1307" t="s">
        <v>1661</v>
      </c>
      <c r="E113" s="1406">
        <v>0.2</v>
      </c>
      <c r="F113" s="1393">
        <v>30</v>
      </c>
    </row>
    <row r="114" spans="1:6" ht="36">
      <c r="A114" s="1393">
        <v>54</v>
      </c>
      <c r="B114" s="1393" t="s">
        <v>1662</v>
      </c>
      <c r="C114" s="1393" t="s">
        <v>1663</v>
      </c>
      <c r="D114" s="1307" t="s">
        <v>1664</v>
      </c>
      <c r="E114" s="1406">
        <v>0.2</v>
      </c>
      <c r="F114" s="1393">
        <v>30</v>
      </c>
    </row>
    <row r="115" spans="1:6" ht="24">
      <c r="A115" s="1393">
        <v>55</v>
      </c>
      <c r="B115" s="1393" t="s">
        <v>1665</v>
      </c>
      <c r="C115" s="1393" t="s">
        <v>1666</v>
      </c>
      <c r="D115" s="1307" t="s">
        <v>1667</v>
      </c>
      <c r="E115" s="1406">
        <v>0.2</v>
      </c>
      <c r="F115" s="1393">
        <v>30</v>
      </c>
    </row>
    <row r="116" spans="1:6" ht="24">
      <c r="A116" s="1393">
        <v>56</v>
      </c>
      <c r="B116" s="3607" t="s">
        <v>1668</v>
      </c>
      <c r="C116" s="1393" t="s">
        <v>1669</v>
      </c>
      <c r="D116" s="1307" t="s">
        <v>1670</v>
      </c>
      <c r="E116" s="1406">
        <v>0.2</v>
      </c>
      <c r="F116" s="1393">
        <v>30</v>
      </c>
    </row>
    <row r="117" spans="1:6" ht="36">
      <c r="A117" s="1393">
        <v>57</v>
      </c>
      <c r="B117" s="3607"/>
      <c r="C117" s="1393" t="s">
        <v>1671</v>
      </c>
      <c r="D117" s="1307" t="s">
        <v>1672</v>
      </c>
      <c r="E117" s="1406">
        <v>0.2</v>
      </c>
      <c r="F117" s="1393">
        <v>30</v>
      </c>
    </row>
    <row r="118" spans="1:6" ht="36">
      <c r="A118" s="1393">
        <v>58</v>
      </c>
      <c r="B118" s="1393" t="s">
        <v>1673</v>
      </c>
      <c r="C118" s="1393" t="s">
        <v>1674</v>
      </c>
      <c r="D118" s="1307" t="s">
        <v>1675</v>
      </c>
      <c r="E118" s="1406">
        <v>0.2</v>
      </c>
      <c r="F118" s="1393">
        <v>30</v>
      </c>
    </row>
    <row r="119" spans="1:6" ht="13.5">
      <c r="A119" s="1393"/>
      <c r="B119" s="1393"/>
      <c r="C119" s="1393" t="s">
        <v>1676</v>
      </c>
      <c r="D119" s="1393"/>
      <c r="E119" s="1406" t="s">
        <v>1486</v>
      </c>
      <c r="F119" s="1393" t="s">
        <v>1486</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1678</v>
      </c>
      <c r="B1" s="1417"/>
      <c r="C1" s="1417"/>
      <c r="D1" s="1417"/>
      <c r="E1" s="1417"/>
      <c r="F1" s="1417"/>
      <c r="G1" s="1417"/>
      <c r="H1" s="1417"/>
      <c r="I1" s="1417"/>
      <c r="J1" s="1417"/>
      <c r="K1" s="1417"/>
      <c r="L1" s="1417"/>
      <c r="M1" s="1417"/>
      <c r="N1" s="1417"/>
    </row>
    <row r="2" spans="1:14">
      <c r="A2" s="1419" t="s">
        <v>1677</v>
      </c>
      <c r="B2" s="1420" t="s">
        <v>1080</v>
      </c>
      <c r="C2" s="1420" t="s">
        <v>1081</v>
      </c>
      <c r="D2" s="1420" t="s">
        <v>1082</v>
      </c>
      <c r="E2" s="1420" t="s">
        <v>1083</v>
      </c>
      <c r="F2" s="1420" t="s">
        <v>1084</v>
      </c>
      <c r="G2" s="1420" t="s">
        <v>1085</v>
      </c>
      <c r="H2" s="1421" t="s">
        <v>1086</v>
      </c>
      <c r="I2" s="1421" t="s">
        <v>1087</v>
      </c>
      <c r="J2" s="1422" t="s">
        <v>1088</v>
      </c>
      <c r="K2" s="1422" t="s">
        <v>1089</v>
      </c>
      <c r="L2" s="1422" t="s">
        <v>1090</v>
      </c>
      <c r="M2" s="1422" t="s">
        <v>1091</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1679</v>
      </c>
      <c r="B103" s="1417"/>
      <c r="C103" s="1417"/>
      <c r="D103" s="1417"/>
      <c r="E103" s="1417"/>
      <c r="F103" s="1417"/>
      <c r="G103" s="1417"/>
      <c r="H103" s="1417"/>
      <c r="I103" s="1417"/>
      <c r="J103" s="1417"/>
      <c r="K103" s="1417"/>
      <c r="L103" s="1417"/>
      <c r="M103" s="1417"/>
      <c r="N103" s="1417"/>
    </row>
    <row r="104" spans="1:14" ht="14.25">
      <c r="A104" s="1419" t="s">
        <v>1677</v>
      </c>
      <c r="B104" s="1420" t="s">
        <v>1080</v>
      </c>
      <c r="C104" s="1420" t="s">
        <v>1081</v>
      </c>
      <c r="D104" s="1420" t="s">
        <v>1082</v>
      </c>
      <c r="E104" s="1420" t="s">
        <v>1083</v>
      </c>
      <c r="F104" s="1420" t="s">
        <v>1084</v>
      </c>
      <c r="G104" s="1420" t="s">
        <v>1085</v>
      </c>
      <c r="H104" s="1421" t="s">
        <v>1086</v>
      </c>
      <c r="I104" s="1421" t="s">
        <v>1087</v>
      </c>
      <c r="J104" s="1422" t="s">
        <v>1088</v>
      </c>
      <c r="K104" s="1422" t="s">
        <v>1089</v>
      </c>
      <c r="L104" s="1422" t="s">
        <v>1090</v>
      </c>
      <c r="M104" s="1422" t="s">
        <v>1091</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1680</v>
      </c>
      <c r="B205" s="1417"/>
      <c r="C205" s="1417"/>
      <c r="D205" s="1417"/>
      <c r="E205" s="1417"/>
      <c r="F205" s="1417"/>
      <c r="G205" s="1417"/>
      <c r="H205" s="1417"/>
      <c r="I205" s="1417"/>
      <c r="J205" s="1417"/>
      <c r="K205" s="1417"/>
      <c r="L205" s="1417"/>
      <c r="M205" s="1417"/>
    </row>
    <row r="206" spans="1:13">
      <c r="A206" s="1419" t="s">
        <v>1677</v>
      </c>
      <c r="B206" s="1420" t="s">
        <v>1080</v>
      </c>
      <c r="C206" s="1420" t="s">
        <v>1081</v>
      </c>
      <c r="D206" s="1420" t="s">
        <v>1082</v>
      </c>
      <c r="E206" s="1420" t="s">
        <v>1083</v>
      </c>
      <c r="F206" s="1420" t="s">
        <v>1084</v>
      </c>
      <c r="G206" s="1420" t="s">
        <v>1085</v>
      </c>
      <c r="H206" s="1421" t="s">
        <v>1086</v>
      </c>
      <c r="I206" s="1421" t="s">
        <v>1087</v>
      </c>
      <c r="J206" s="1422" t="s">
        <v>1088</v>
      </c>
      <c r="K206" s="1422" t="s">
        <v>1089</v>
      </c>
      <c r="L206" s="1422" t="s">
        <v>1090</v>
      </c>
      <c r="M206" s="1422" t="s">
        <v>1091</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1681</v>
      </c>
      <c r="B307" s="1417"/>
      <c r="C307" s="1417"/>
      <c r="D307" s="1417"/>
      <c r="E307" s="1417"/>
      <c r="F307" s="1417"/>
      <c r="G307" s="1417"/>
      <c r="H307" s="1417"/>
      <c r="I307" s="1417"/>
      <c r="J307" s="1417"/>
      <c r="K307" s="1417"/>
      <c r="L307" s="1417"/>
      <c r="M307" s="1417"/>
    </row>
    <row r="308" spans="1:13">
      <c r="A308" s="1419" t="s">
        <v>1677</v>
      </c>
      <c r="B308" s="1420" t="s">
        <v>1080</v>
      </c>
      <c r="C308" s="1420" t="s">
        <v>1081</v>
      </c>
      <c r="D308" s="1420" t="s">
        <v>1082</v>
      </c>
      <c r="E308" s="1420" t="s">
        <v>1083</v>
      </c>
      <c r="F308" s="1420" t="s">
        <v>1084</v>
      </c>
      <c r="G308" s="1420" t="s">
        <v>1085</v>
      </c>
      <c r="H308" s="1421" t="s">
        <v>1086</v>
      </c>
      <c r="I308" s="1421" t="s">
        <v>1087</v>
      </c>
      <c r="J308" s="1422" t="s">
        <v>1088</v>
      </c>
      <c r="K308" s="1422" t="s">
        <v>1089</v>
      </c>
      <c r="L308" s="1422" t="s">
        <v>1090</v>
      </c>
      <c r="M308" s="1422" t="s">
        <v>1091</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1957</v>
      </c>
      <c r="B1" s="1305"/>
      <c r="C1" s="1305"/>
      <c r="D1" s="1305"/>
      <c r="E1" s="1305"/>
    </row>
    <row r="2" spans="1:5" ht="78.75" customHeight="1">
      <c r="A2" s="3228" t="s">
        <v>2715</v>
      </c>
      <c r="B2" s="3228"/>
      <c r="C2" s="3228"/>
      <c r="D2" s="3228"/>
      <c r="E2" s="3228"/>
    </row>
    <row r="3" spans="1:5" ht="13.5" customHeight="1">
      <c r="A3" s="1861"/>
      <c r="B3" s="1861"/>
      <c r="C3" s="1861"/>
      <c r="D3" s="1861"/>
      <c r="E3" s="1861"/>
    </row>
    <row r="4" spans="1:5" ht="19.5" thickBot="1">
      <c r="A4" s="3229" t="s">
        <v>1942</v>
      </c>
      <c r="B4" s="3229"/>
      <c r="C4" s="3229"/>
      <c r="D4" s="3229"/>
      <c r="E4" s="3229"/>
    </row>
    <row r="5" spans="1:5" ht="14.25" customHeight="1" thickTop="1">
      <c r="A5" s="1305"/>
      <c r="B5" s="1792" t="s">
        <v>1852</v>
      </c>
      <c r="C5" s="3230" t="s">
        <v>1964</v>
      </c>
      <c r="D5" s="3231"/>
      <c r="E5" s="1305"/>
    </row>
    <row r="6" spans="1:5" ht="15.75">
      <c r="A6" s="1305"/>
      <c r="B6" s="2024" t="str">
        <f>项目基本情况!I1</f>
        <v>浙江省杭州市房地产</v>
      </c>
      <c r="C6" s="3232">
        <f>项目基本情况!C12</f>
        <v>88039.929999999338</v>
      </c>
      <c r="D6" s="3232"/>
      <c r="E6" s="1305"/>
    </row>
    <row r="7" spans="1:5" ht="15.75">
      <c r="A7" s="1305"/>
      <c r="B7" s="3226" t="s">
        <v>1983</v>
      </c>
      <c r="C7" s="1770" t="str">
        <f>IF('数据-取费表'!B3="万元","总价（万元）","总价（元）")</f>
        <v>总价（万元）</v>
      </c>
      <c r="D7" s="3062">
        <f ca="1">IF('数据-取费表'!E3="否",结果表!I102,'结果表 (1修多)'!I103)</f>
        <v>143304</v>
      </c>
      <c r="E7" s="1305"/>
    </row>
    <row r="8" spans="1:5" ht="31.5">
      <c r="A8" s="1305"/>
      <c r="B8" s="3226"/>
      <c r="C8" s="2808" t="s">
        <v>2735</v>
      </c>
      <c r="D8" s="3099" t="str">
        <f ca="1">IF('数据-取费表'!B3="万元",NUMBERSTRING(INT(D7*10000),2)&amp;"元整",NUMBERSTRING(INT(D7),2)&amp;"元整")</f>
        <v>壹拾肆亿叁仟叁佰零肆万元整</v>
      </c>
      <c r="E8" s="1305"/>
    </row>
    <row r="9" spans="1:5" ht="15.75">
      <c r="A9" s="1305"/>
      <c r="B9" s="3226"/>
      <c r="C9" s="1771" t="s">
        <v>1965</v>
      </c>
      <c r="D9" s="3062">
        <f ca="1">IF('数据-取费表'!E3="否",结果表!I103,'结果表 (1修多)'!I104)</f>
        <v>16277</v>
      </c>
      <c r="E9" s="1305"/>
    </row>
    <row r="10" spans="1:5" ht="15.75">
      <c r="A10" s="1305"/>
      <c r="B10" s="3233" t="str">
        <f>IF('数据-取费表'!E3="否",结果表!F105,'结果表 (1修多)'!F106)</f>
        <v>2.估价师所知悉的法定优先受偿款</v>
      </c>
      <c r="C10" s="1772" t="str">
        <f>IF('数据-取费表'!B3="万元","总额（万元）","总额（元）")</f>
        <v>总额（万元）</v>
      </c>
      <c r="D10" s="3062">
        <f>IF('数据-取费表'!E3="否",结果表!I105,'结果表 (1修多)'!I106)</f>
        <v>0</v>
      </c>
      <c r="E10" s="1305"/>
    </row>
    <row r="11" spans="1:5" ht="14.25">
      <c r="A11" s="1305"/>
      <c r="B11" s="3233"/>
      <c r="C11" s="2808" t="s">
        <v>2735</v>
      </c>
      <c r="D11" s="3061" t="str">
        <f>IF('数据-取费表'!B3="万元",NUMBERSTRING(INT(D10*10000),2)&amp;"元整",NUMBERSTRING(INT(D10),2)&amp;"元整")</f>
        <v>零元整</v>
      </c>
      <c r="E11" s="1305"/>
    </row>
    <row r="12" spans="1:5" ht="15">
      <c r="A12" s="1305"/>
      <c r="B12" s="3069" t="s">
        <v>1855</v>
      </c>
      <c r="C12" s="1773" t="str">
        <f>C10</f>
        <v>总额（万元）</v>
      </c>
      <c r="D12" s="1765">
        <f>IF('数据-取费表'!E3="否",结果表!I106,'结果表 (1修多)'!I107)</f>
        <v>0</v>
      </c>
      <c r="E12" s="1305"/>
    </row>
    <row r="13" spans="1:5" ht="15">
      <c r="A13" s="1305"/>
      <c r="B13" s="3069" t="s">
        <v>1856</v>
      </c>
      <c r="C13" s="1773" t="str">
        <f>C10</f>
        <v>总额（万元）</v>
      </c>
      <c r="D13" s="1765">
        <f>IF('数据-取费表'!E3="否",结果表!I107,'结果表 (1修多)'!I108)</f>
        <v>0</v>
      </c>
      <c r="E13" s="1305"/>
    </row>
    <row r="14" spans="1:5" ht="15">
      <c r="A14" s="1305"/>
      <c r="B14" s="3069" t="s">
        <v>1857</v>
      </c>
      <c r="C14" s="1773" t="str">
        <f>C10</f>
        <v>总额（万元）</v>
      </c>
      <c r="D14" s="1765">
        <f>IF('数据-取费表'!E3="否",结果表!I108,'结果表 (1修多)'!I109)</f>
        <v>0</v>
      </c>
      <c r="E14" s="1305"/>
    </row>
    <row r="15" spans="1:5" ht="15.75">
      <c r="A15" s="1305"/>
      <c r="B15" s="3233" t="str">
        <f>IF('数据-取费表'!E3="否",结果表!F110,'结果表 (1修多)'!F111)</f>
        <v>3.房地产抵押价值</v>
      </c>
      <c r="C15" s="3070" t="str">
        <f>C7</f>
        <v>总价（万元）</v>
      </c>
      <c r="D15" s="3062">
        <f ca="1">IF('数据-取费表'!E3="否",结果表!I110,'结果表 (1修多)'!I111)</f>
        <v>143304</v>
      </c>
      <c r="E15" s="1305"/>
    </row>
    <row r="16" spans="1:5" ht="31.5">
      <c r="A16" s="1305"/>
      <c r="B16" s="3233"/>
      <c r="C16" s="2808" t="s">
        <v>2735</v>
      </c>
      <c r="D16" s="3068" t="str">
        <f ca="1">IF('数据-取费表'!B3="万元",NUMBERSTRING(INT(D15*10000),2)&amp;"元整",NUMBERSTRING(INT(D15),2)&amp;"元整")</f>
        <v>壹拾肆亿叁仟叁佰零肆万元整</v>
      </c>
      <c r="E16" s="1305"/>
    </row>
    <row r="17" spans="1:5" ht="15.75">
      <c r="A17" s="1305"/>
      <c r="B17" s="3233"/>
      <c r="C17" s="1771" t="s">
        <v>1965</v>
      </c>
      <c r="D17" s="3062">
        <f ca="1">IF('数据-取费表'!E3="否",结果表!I111,'结果表 (1修多)'!I112)</f>
        <v>16277</v>
      </c>
      <c r="E17" s="1305"/>
    </row>
    <row r="18" spans="1:5" ht="15.75">
      <c r="A18" s="1305"/>
      <c r="B18" s="3233" t="str">
        <f>IF('数据-取费表'!E3="否",结果表!F112,'结果表 (1修多)'!F113)</f>
        <v>——</v>
      </c>
      <c r="C18" s="3070" t="str">
        <f>C7</f>
        <v>总价（万元）</v>
      </c>
      <c r="D18" s="3062" t="str">
        <f>IF('数据-取费表'!E3="否",结果表!I112,'结果表 (1修多)'!I113)</f>
        <v>——</v>
      </c>
      <c r="E18" s="1305"/>
    </row>
    <row r="19" spans="1:5" ht="14.25">
      <c r="A19" s="1305"/>
      <c r="B19" s="3233"/>
      <c r="C19" s="2808" t="s">
        <v>2735</v>
      </c>
      <c r="D19" s="3063" t="e">
        <f>IF('数据-取费表'!B3="万元",NUMBERSTRING(INT(D18*10000),2)&amp;"元整",NUMBERSTRING(INT(D18),2)&amp;"元整")</f>
        <v>#VALUE!</v>
      </c>
      <c r="E19" s="1305"/>
    </row>
    <row r="20" spans="1:5" ht="15.75">
      <c r="A20" s="1305"/>
      <c r="B20" s="3233"/>
      <c r="C20" s="1771" t="s">
        <v>1965</v>
      </c>
      <c r="D20" s="3062" t="str">
        <f>IF('数据-取费表'!E3="否",结果表!I113,'结果表 (1修多)'!I114)</f>
        <v>——</v>
      </c>
      <c r="E20" s="1305"/>
    </row>
    <row r="21" spans="1:5" ht="15.75">
      <c r="A21" s="1305"/>
      <c r="B21" s="3226" t="str">
        <f>IF('数据-取费表'!E3="否",结果表!F114,'结果表 (1修多)'!F115)</f>
        <v>——</v>
      </c>
      <c r="C21" s="1770" t="str">
        <f>C7</f>
        <v>总价（万元）</v>
      </c>
      <c r="D21" s="3062" t="str">
        <f>IF('数据-取费表'!E3="否",结果表!I114,'结果表 (1修多)'!I115)</f>
        <v>——</v>
      </c>
      <c r="E21" s="1305"/>
    </row>
    <row r="22" spans="1:5" ht="14.25">
      <c r="A22" s="1305"/>
      <c r="B22" s="3226"/>
      <c r="C22" s="2808" t="s">
        <v>2735</v>
      </c>
      <c r="D22" s="3061" t="e">
        <f>IF('数据-取费表'!B3="万元",NUMBERSTRING(INT(D21*10000),2)&amp;"元整",NUMBERSTRING(INT(D21),2)&amp;"元整")</f>
        <v>#VALUE!</v>
      </c>
      <c r="E22" s="1305"/>
    </row>
    <row r="23" spans="1:5" ht="15.75" thickBot="1">
      <c r="A23" s="1305"/>
      <c r="B23" s="3227"/>
      <c r="C23" s="1774" t="s">
        <v>1965</v>
      </c>
      <c r="D23" s="3071" t="str">
        <f ca="1">IF('数据-取费表'!E3="否",结果表!I115,'结果表 (1修多)'!I116)</f>
        <v>——</v>
      </c>
      <c r="E23" s="1305"/>
    </row>
    <row r="24" spans="1:5" ht="14.25" thickTop="1">
      <c r="A24" s="1305"/>
      <c r="B24" s="1305"/>
      <c r="C24" s="1305"/>
      <c r="D24" s="1305"/>
      <c r="E24" s="1305"/>
    </row>
    <row r="25" spans="1:5" ht="18.75" customHeight="1" thickBot="1">
      <c r="A25" s="1305"/>
      <c r="B25" s="3218" t="s">
        <v>2710</v>
      </c>
      <c r="C25" s="3218"/>
      <c r="D25" s="3218"/>
      <c r="E25" s="1305"/>
    </row>
    <row r="26" spans="1:5" ht="18.75" customHeight="1" thickTop="1">
      <c r="A26" s="1305"/>
      <c r="B26" s="3221" t="s">
        <v>2734</v>
      </c>
      <c r="C26" s="3222"/>
      <c r="D26" s="3219" t="s">
        <v>2733</v>
      </c>
      <c r="E26" s="1305"/>
    </row>
    <row r="27" spans="1:5" ht="18.75" customHeight="1">
      <c r="A27" s="1305"/>
      <c r="B27" s="3223"/>
      <c r="C27" s="3224"/>
      <c r="D27" s="3220"/>
      <c r="E27" s="1305"/>
    </row>
    <row r="28" spans="1:5" ht="15.75">
      <c r="A28" s="1305"/>
      <c r="B28" s="3211" t="s">
        <v>1983</v>
      </c>
      <c r="C28" s="2826" t="s">
        <v>2736</v>
      </c>
      <c r="D28" s="2827">
        <f ca="1">IF('数据-取费表'!E3="否",结果表!I102,'结果表 (1修多)'!I103)</f>
        <v>143304</v>
      </c>
      <c r="E28" s="1305"/>
    </row>
    <row r="29" spans="1:5" ht="28.5">
      <c r="A29" s="1305"/>
      <c r="B29" s="3212"/>
      <c r="C29" s="2828" t="s">
        <v>2735</v>
      </c>
      <c r="D29" s="2829" t="str">
        <f ca="1">IF('数据-取费表'!B3="万元",NUMBERSTRING(INT(D28*10000),2)&amp;"元整",NUMBERSTRING(INT(D28),2)&amp;"元整")</f>
        <v>壹拾肆亿叁仟叁佰零肆万元整</v>
      </c>
      <c r="E29" s="1305"/>
    </row>
    <row r="30" spans="1:5" ht="15">
      <c r="A30" s="1305"/>
      <c r="B30" s="3213"/>
      <c r="C30" s="1771" t="s">
        <v>2738</v>
      </c>
      <c r="D30" s="2804">
        <f ca="1">IF('数据-取费表'!E3="否",结果表!I103,'结果表 (1修多)'!I104)</f>
        <v>16277</v>
      </c>
      <c r="E30" s="1305"/>
    </row>
    <row r="31" spans="1:5" ht="15.75">
      <c r="A31" s="1305"/>
      <c r="B31" s="3216" t="str">
        <f>B10</f>
        <v>2.估价师所知悉的法定优先受偿款</v>
      </c>
      <c r="C31" s="2807" t="s">
        <v>2737</v>
      </c>
      <c r="D31" s="2805">
        <f>IF('数据-取费表'!E3="否",结果表!I105,'结果表 (1修多)'!I106)</f>
        <v>0</v>
      </c>
      <c r="E31" s="1305"/>
    </row>
    <row r="32" spans="1:5" ht="14.25">
      <c r="A32" s="1305"/>
      <c r="B32" s="3225"/>
      <c r="C32" s="2828" t="s">
        <v>2735</v>
      </c>
      <c r="D32" s="2830" t="str">
        <f>IF('数据-取费表'!B3="万元",NUMBERSTRING(INT(D31*10000),2)&amp;"元整",NUMBERSTRING(INT(D31),2)&amp;"元整")</f>
        <v>零元整</v>
      </c>
      <c r="E32" s="1305"/>
    </row>
    <row r="33" spans="1:5" ht="15">
      <c r="A33" s="1305"/>
      <c r="B33" s="2808" t="s">
        <v>2707</v>
      </c>
      <c r="C33" s="2808" t="str">
        <f>C31</f>
        <v>总额</v>
      </c>
      <c r="D33" s="2804">
        <f>IF('数据-取费表'!E3="否",结果表!I106,'结果表 (1修多)'!I107)</f>
        <v>0</v>
      </c>
      <c r="E33" s="1305"/>
    </row>
    <row r="34" spans="1:5" ht="15">
      <c r="A34" s="1305"/>
      <c r="B34" s="2808" t="s">
        <v>2708</v>
      </c>
      <c r="C34" s="2808" t="str">
        <f>C31</f>
        <v>总额</v>
      </c>
      <c r="D34" s="2804">
        <f>IF('数据-取费表'!E3="否",结果表!I107,'结果表 (1修多)'!I108)</f>
        <v>0</v>
      </c>
      <c r="E34" s="1305"/>
    </row>
    <row r="35" spans="1:5" ht="15">
      <c r="A35" s="1305"/>
      <c r="B35" s="2808" t="s">
        <v>2709</v>
      </c>
      <c r="C35" s="2808" t="str">
        <f>C31</f>
        <v>总额</v>
      </c>
      <c r="D35" s="2804">
        <f>IF('数据-取费表'!E3="否",结果表!I108,'结果表 (1修多)'!I109)</f>
        <v>0</v>
      </c>
      <c r="E35" s="1305"/>
    </row>
    <row r="36" spans="1:5" ht="15.75">
      <c r="A36" s="1305"/>
      <c r="B36" s="3214" t="str">
        <f>B15</f>
        <v>3.房地产抵押价值</v>
      </c>
      <c r="C36" s="2807" t="str">
        <f>C28</f>
        <v>总价</v>
      </c>
      <c r="D36" s="2805">
        <f ca="1">IF('数据-取费表'!E3="否",结果表!I110,'结果表 (1修多)'!I111)</f>
        <v>143304</v>
      </c>
      <c r="E36" s="1305"/>
    </row>
    <row r="37" spans="1:5" ht="28.5">
      <c r="A37" s="1305"/>
      <c r="B37" s="3214"/>
      <c r="C37" s="2828" t="s">
        <v>2735</v>
      </c>
      <c r="D37" s="2830" t="str">
        <f ca="1">IF('数据-取费表'!B3="万元",NUMBERSTRING(INT(D36*10000),2)&amp;"元整",NUMBERSTRING(INT(D36),2)&amp;"元整")</f>
        <v>壹拾肆亿叁仟叁佰零肆万元整</v>
      </c>
      <c r="E37" s="1305"/>
    </row>
    <row r="38" spans="1:5" ht="15">
      <c r="A38" s="1305"/>
      <c r="B38" s="3214"/>
      <c r="C38" s="1771" t="s">
        <v>2739</v>
      </c>
      <c r="D38" s="2804">
        <f ca="1">IF('数据-取费表'!E3="否",结果表!D113,'结果表 (1修多)'!D116)</f>
        <v>16277</v>
      </c>
      <c r="E38" s="1305"/>
    </row>
    <row r="39" spans="1:5" ht="15.75">
      <c r="A39" s="1305"/>
      <c r="B39" s="3215" t="str">
        <f>B18</f>
        <v>——</v>
      </c>
      <c r="C39" s="2807" t="str">
        <f>C28</f>
        <v>总价</v>
      </c>
      <c r="D39" s="2805" t="str">
        <f>IF('数据-取费表'!E3="否",结果表!I112,'结果表 (1修多)'!I113)</f>
        <v>——</v>
      </c>
      <c r="E39" s="1305"/>
    </row>
    <row r="40" spans="1:5" ht="14.25">
      <c r="A40" s="1305"/>
      <c r="B40" s="3215"/>
      <c r="C40" s="2828" t="s">
        <v>2735</v>
      </c>
      <c r="D40" s="2830" t="e">
        <f>IF('数据-取费表'!B3="万元",NUMBERSTRING(INT(D39*10000),2)&amp;"元整",NUMBERSTRING(INT(D39),2)&amp;"元整")</f>
        <v>#VALUE!</v>
      </c>
      <c r="E40" s="1305"/>
    </row>
    <row r="41" spans="1:5" ht="15">
      <c r="A41" s="1305"/>
      <c r="B41" s="3215"/>
      <c r="C41" s="1771" t="s">
        <v>2739</v>
      </c>
      <c r="D41" s="2804" t="str">
        <f>IF('数据-取费表'!E3="否",结果表!D115,'结果表 (1修多)'!D118)</f>
        <v>——</v>
      </c>
      <c r="E41" s="1305"/>
    </row>
    <row r="42" spans="1:5" ht="15.75">
      <c r="A42" s="1305"/>
      <c r="B42" s="3214" t="str">
        <f>B21</f>
        <v>——</v>
      </c>
      <c r="C42" s="2807" t="str">
        <f>C28</f>
        <v>总价</v>
      </c>
      <c r="D42" s="2805" t="str">
        <f>IF('数据-取费表'!E3="否",结果表!I114,'结果表 (1修多)'!I115)</f>
        <v>——</v>
      </c>
      <c r="E42" s="1305"/>
    </row>
    <row r="43" spans="1:5" ht="14.25">
      <c r="A43" s="1305"/>
      <c r="B43" s="3216"/>
      <c r="C43" s="2828" t="s">
        <v>2735</v>
      </c>
      <c r="D43" s="2831" t="e">
        <f>IF('数据-取费表'!B3="万元",NUMBERSTRING(INT(D42*10000),2)&amp;"元整",NUMBERSTRING(INT(D42),2)&amp;"元整")</f>
        <v>#VALUE!</v>
      </c>
      <c r="E43" s="1305"/>
    </row>
    <row r="44" spans="1:5" ht="15.75" thickBot="1">
      <c r="A44" s="1305"/>
      <c r="B44" s="3217"/>
      <c r="C44" s="1774" t="s">
        <v>2739</v>
      </c>
      <c r="D44" s="2806" t="str">
        <f ca="1">IF('数据-取费表'!E3="否",结果表!D117,'结果表 (1修多)'!D120)</f>
        <v>——</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6" t="s">
        <v>2721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88"/>
    <col min="2" max="6" width="9" style="2688" customWidth="1"/>
    <col min="7" max="7" width="9" style="2703"/>
    <col min="8" max="8" width="9" style="2688"/>
    <col min="9" max="12" width="9" style="2688" customWidth="1"/>
    <col min="13" max="13" width="2.25" style="2688" customWidth="1"/>
    <col min="14" max="14" width="9" style="2703" customWidth="1"/>
    <col min="15" max="17" width="9" style="2688" customWidth="1"/>
    <col min="18" max="18" width="2.375" style="2688" customWidth="1"/>
    <col min="19" max="19" width="7.125" style="2703" customWidth="1"/>
    <col min="20" max="22" width="7.125" style="2688" customWidth="1"/>
    <col min="23" max="23" width="23.875" style="2688" customWidth="1"/>
    <col min="24" max="25" width="9" style="2688"/>
    <col min="26" max="27" width="11.625" style="2688" customWidth="1"/>
    <col min="28" max="28" width="9" style="2688"/>
    <col min="29" max="29" width="2" style="2688" customWidth="1"/>
    <col min="30" max="16384" width="9" style="2688"/>
  </cols>
  <sheetData>
    <row r="1" spans="1:34" s="2657" customFormat="1">
      <c r="B1" s="3622" t="s">
        <v>2569</v>
      </c>
      <c r="C1" s="3622"/>
      <c r="D1" s="3622"/>
      <c r="E1" s="3622"/>
      <c r="F1" s="3622"/>
      <c r="G1" s="3618" t="s">
        <v>2570</v>
      </c>
      <c r="H1" s="3618"/>
      <c r="I1" s="3618"/>
      <c r="J1" s="3618"/>
      <c r="K1" s="3618"/>
      <c r="L1" s="3618"/>
      <c r="N1" s="3618" t="s">
        <v>2571</v>
      </c>
      <c r="O1" s="3618"/>
      <c r="P1" s="3618"/>
      <c r="Q1" s="3618"/>
      <c r="R1" s="2658"/>
      <c r="S1" s="3618" t="s">
        <v>2572</v>
      </c>
      <c r="T1" s="3618"/>
      <c r="U1" s="3618"/>
      <c r="V1" s="3618"/>
      <c r="X1" s="3617" t="s">
        <v>2573</v>
      </c>
      <c r="Y1" s="3618"/>
      <c r="Z1" s="3618"/>
      <c r="AA1" s="3618"/>
      <c r="AB1" s="3618"/>
      <c r="AD1" s="3617" t="s">
        <v>2574</v>
      </c>
      <c r="AE1" s="3618"/>
      <c r="AF1" s="3618"/>
      <c r="AG1" s="3618"/>
      <c r="AH1" s="3618"/>
    </row>
    <row r="2" spans="1:34" s="2659" customFormat="1" ht="14.25" thickBot="1">
      <c r="B2" s="2660" t="s">
        <v>2575</v>
      </c>
      <c r="C2" s="2660" t="s">
        <v>2576</v>
      </c>
      <c r="D2" s="2661" t="s">
        <v>2577</v>
      </c>
      <c r="E2" s="2661" t="s">
        <v>2578</v>
      </c>
      <c r="F2" s="2660" t="s">
        <v>2579</v>
      </c>
      <c r="G2" s="2662"/>
      <c r="H2" s="2663"/>
      <c r="I2" s="2663"/>
      <c r="J2" s="2663"/>
      <c r="K2" s="2663"/>
      <c r="L2" s="2663"/>
      <c r="N2" s="2662"/>
      <c r="O2" s="2663"/>
      <c r="P2" s="2663"/>
      <c r="Q2" s="2663"/>
      <c r="R2" s="2664"/>
      <c r="S2" s="2662"/>
      <c r="T2" s="2663"/>
      <c r="U2" s="2663"/>
      <c r="V2" s="2663"/>
      <c r="X2" s="2660" t="s">
        <v>2580</v>
      </c>
      <c r="Y2" s="2660" t="s">
        <v>2581</v>
      </c>
      <c r="Z2" s="2661" t="s">
        <v>2582</v>
      </c>
      <c r="AA2" s="2661" t="s">
        <v>2583</v>
      </c>
      <c r="AB2" s="2660" t="s">
        <v>2584</v>
      </c>
      <c r="AD2" s="2660" t="s">
        <v>2580</v>
      </c>
      <c r="AE2" s="2660" t="s">
        <v>2581</v>
      </c>
      <c r="AF2" s="2661" t="s">
        <v>2582</v>
      </c>
      <c r="AG2" s="2661" t="s">
        <v>2583</v>
      </c>
      <c r="AH2" s="2660" t="s">
        <v>2584</v>
      </c>
    </row>
    <row r="3" spans="1:34" s="2665" customFormat="1" ht="15" thickBot="1">
      <c r="B3" s="2666"/>
      <c r="C3" s="2666"/>
      <c r="D3" s="2667"/>
      <c r="E3" s="2667"/>
      <c r="F3" s="2666"/>
      <c r="G3" s="2668"/>
      <c r="H3" s="2669"/>
      <c r="I3" s="2669"/>
      <c r="J3" s="2669"/>
      <c r="K3" s="2669"/>
      <c r="L3" s="2669"/>
      <c r="N3" s="2668"/>
      <c r="O3" s="2670"/>
      <c r="P3" s="2670"/>
      <c r="Q3" s="2670"/>
      <c r="R3" s="2670"/>
      <c r="S3" s="2668"/>
      <c r="T3" s="2670"/>
      <c r="U3" s="2670"/>
      <c r="V3" s="2670"/>
      <c r="X3" s="2671">
        <f>ROUND(SUMPRODUCT(PRODUCT(1+N3:N$18)),4)</f>
        <v>1.3494999999999999</v>
      </c>
      <c r="Y3" s="2671">
        <f>ROUND(SUMPRODUCT(PRODUCT(1+O3:O$18)),4)</f>
        <v>1.2154</v>
      </c>
      <c r="Z3" s="2671">
        <f t="shared" ref="Z3:Z16" si="0">Y3</f>
        <v>1.2154</v>
      </c>
      <c r="AA3" s="2671">
        <f>ROUND(SUMPRODUCT(PRODUCT(1+P3:P$18)),4)</f>
        <v>1.3962000000000001</v>
      </c>
      <c r="AB3" s="2671">
        <f>ROUND(SUMPRODUCT(PRODUCT(1+Q3:Q$18)),4)</f>
        <v>1.1890000000000001</v>
      </c>
      <c r="AD3" s="2672">
        <f>ROUND(AVERAGE(I3:I$19)/100,4)</f>
        <v>2.3900000000000001E-2</v>
      </c>
      <c r="AE3" s="2672">
        <f>ROUND(AVERAGE(J3:J$19)/100,4)</f>
        <v>1.5699999999999999E-2</v>
      </c>
      <c r="AF3" s="2672">
        <f t="shared" ref="AF3:AF7" si="1">AE3</f>
        <v>1.5699999999999999E-2</v>
      </c>
      <c r="AG3" s="2672">
        <f>ROUND(AVERAGE(K3:K$19)/100,4)</f>
        <v>2.6599999999999999E-2</v>
      </c>
      <c r="AH3" s="2672">
        <f>ROUND(AVERAGE(L3:L$19)/100,4)</f>
        <v>1.34E-2</v>
      </c>
    </row>
    <row r="4" spans="1:34" s="2657" customFormat="1">
      <c r="A4" s="2673" t="s">
        <v>2585</v>
      </c>
      <c r="B4" s="2674"/>
      <c r="C4" s="2674"/>
      <c r="D4" s="2674"/>
      <c r="E4" s="2674"/>
      <c r="F4" s="2674"/>
      <c r="G4" s="3623">
        <v>2017</v>
      </c>
      <c r="H4" s="2675">
        <v>4</v>
      </c>
      <c r="I4" s="2675"/>
      <c r="J4" s="2675"/>
      <c r="K4" s="2675"/>
      <c r="L4" s="2676"/>
      <c r="N4" s="2677"/>
      <c r="O4" s="2658"/>
      <c r="P4" s="2658"/>
      <c r="Q4" s="2658"/>
      <c r="R4" s="2658"/>
      <c r="S4" s="2677"/>
      <c r="T4" s="2658"/>
      <c r="U4" s="2658"/>
      <c r="V4" s="2658"/>
      <c r="X4" s="2671">
        <f>ROUND(SUMPRODUCT(PRODUCT(1+N4:N$18)),4)</f>
        <v>1.3494999999999999</v>
      </c>
      <c r="Y4" s="2671">
        <f>ROUND(SUMPRODUCT(PRODUCT(1+O4:O$18)),4)</f>
        <v>1.2154</v>
      </c>
      <c r="Z4" s="2671">
        <f t="shared" si="0"/>
        <v>1.2154</v>
      </c>
      <c r="AA4" s="2671">
        <f>ROUND(SUMPRODUCT(PRODUCT(1+P4:P$18)),4)</f>
        <v>1.3962000000000001</v>
      </c>
      <c r="AB4" s="2671">
        <f>ROUND(SUMPRODUCT(PRODUCT(1+Q4:Q$18)),4)</f>
        <v>1.1890000000000001</v>
      </c>
      <c r="AD4" s="2672">
        <f>ROUND(AVERAGE(I4:I$19)/100,4)</f>
        <v>2.3900000000000001E-2</v>
      </c>
      <c r="AE4" s="2672">
        <f>ROUND(AVERAGE(J4:J$19)/100,4)</f>
        <v>1.5699999999999999E-2</v>
      </c>
      <c r="AF4" s="2672">
        <f t="shared" si="1"/>
        <v>1.5699999999999999E-2</v>
      </c>
      <c r="AG4" s="2672">
        <f>ROUND(AVERAGE(K4:K$19)/100,4)</f>
        <v>2.6599999999999999E-2</v>
      </c>
      <c r="AH4" s="2672">
        <f>ROUND(AVERAGE(L4:L$19)/100,4)</f>
        <v>1.34E-2</v>
      </c>
    </row>
    <row r="5" spans="1:34" s="2657" customFormat="1">
      <c r="A5" s="2673" t="s">
        <v>2586</v>
      </c>
      <c r="B5" s="2674"/>
      <c r="C5" s="2674"/>
      <c r="D5" s="2674"/>
      <c r="E5" s="2674"/>
      <c r="F5" s="2674"/>
      <c r="G5" s="3620"/>
      <c r="H5" s="2678">
        <v>3</v>
      </c>
      <c r="I5" s="2674"/>
      <c r="J5" s="2674"/>
      <c r="K5" s="2674"/>
      <c r="L5" s="2674"/>
      <c r="N5" s="2677"/>
      <c r="O5" s="2658"/>
      <c r="P5" s="2658"/>
      <c r="Q5" s="2658"/>
      <c r="R5" s="2658"/>
      <c r="S5" s="2677"/>
      <c r="T5" s="2658"/>
      <c r="U5" s="2658"/>
      <c r="V5" s="2658"/>
      <c r="X5" s="2671">
        <f>ROUND(SUMPRODUCT(PRODUCT(1+N5:N$18)),4)</f>
        <v>1.3494999999999999</v>
      </c>
      <c r="Y5" s="2671">
        <f>ROUND(SUMPRODUCT(PRODUCT(1+O5:O$18)),4)</f>
        <v>1.2154</v>
      </c>
      <c r="Z5" s="2671">
        <f t="shared" si="0"/>
        <v>1.2154</v>
      </c>
      <c r="AA5" s="2671">
        <f>ROUND(SUMPRODUCT(PRODUCT(1+P5:P$18)),4)</f>
        <v>1.3962000000000001</v>
      </c>
      <c r="AB5" s="2671">
        <f>ROUND(SUMPRODUCT(PRODUCT(1+Q5:Q$18)),4)</f>
        <v>1.1890000000000001</v>
      </c>
      <c r="AD5" s="2672">
        <f>ROUND(AVERAGE(I5:I$19)/100,4)</f>
        <v>2.3900000000000001E-2</v>
      </c>
      <c r="AE5" s="2672">
        <f>ROUND(AVERAGE(J5:J$19)/100,4)</f>
        <v>1.5699999999999999E-2</v>
      </c>
      <c r="AF5" s="2672">
        <f t="shared" si="1"/>
        <v>1.5699999999999999E-2</v>
      </c>
      <c r="AG5" s="2672">
        <f>ROUND(AVERAGE(K5:K$19)/100,4)</f>
        <v>2.6599999999999999E-2</v>
      </c>
      <c r="AH5" s="2672">
        <f>ROUND(AVERAGE(L5:L$19)/100,4)</f>
        <v>1.34E-2</v>
      </c>
    </row>
    <row r="6" spans="1:34" s="3001" customFormat="1">
      <c r="A6" s="2999" t="s">
        <v>2587</v>
      </c>
      <c r="B6" s="2680">
        <f>B7*(1+N6)</f>
        <v>415.21602360000003</v>
      </c>
      <c r="C6" s="2680">
        <f t="shared" ref="C6" si="2">C7*(1+O6)</f>
        <v>312.63083488000001</v>
      </c>
      <c r="D6" s="2995">
        <f>C6</f>
        <v>312.63083488000001</v>
      </c>
      <c r="E6" s="2680">
        <f>E7*(1+P6)</f>
        <v>589.96402416000001</v>
      </c>
      <c r="F6" s="2680">
        <f>F7*(1+Q6)</f>
        <v>273.82351752000005</v>
      </c>
      <c r="G6" s="3620"/>
      <c r="H6" s="3000">
        <v>2</v>
      </c>
      <c r="I6" s="2681">
        <f>ROUND(AVERAGE(I7:I19),2)</f>
        <v>2.39</v>
      </c>
      <c r="J6" s="2681">
        <f t="shared" ref="J6:L6" si="3">ROUND(AVERAGE(J7:J19),2)</f>
        <v>1.57</v>
      </c>
      <c r="K6" s="2681">
        <f t="shared" si="3"/>
        <v>2.66</v>
      </c>
      <c r="L6" s="2681">
        <f t="shared" si="3"/>
        <v>1.34</v>
      </c>
      <c r="N6" s="2683">
        <f>I6/100</f>
        <v>2.3900000000000001E-2</v>
      </c>
      <c r="O6" s="2683">
        <f t="shared" ref="O6" si="4">J6/100</f>
        <v>1.5700000000000002E-2</v>
      </c>
      <c r="P6" s="2683">
        <f t="shared" ref="P6" si="5">K6/100</f>
        <v>2.6600000000000002E-2</v>
      </c>
      <c r="Q6" s="2683">
        <f t="shared" ref="Q6" si="6">L6/100</f>
        <v>1.34E-2</v>
      </c>
      <c r="R6" s="3002"/>
      <c r="S6" s="3003"/>
      <c r="T6" s="3002"/>
      <c r="U6" s="3002"/>
      <c r="V6" s="3002"/>
      <c r="W6" s="2684" t="s">
        <v>2589</v>
      </c>
      <c r="X6" s="2994">
        <f>ROUND(SUMPRODUCT(PRODUCT(1+N6:N$18)),4)</f>
        <v>1.3494999999999999</v>
      </c>
      <c r="Y6" s="2994">
        <f>ROUND(SUMPRODUCT(PRODUCT(1+O6:O$18)),4)</f>
        <v>1.2154</v>
      </c>
      <c r="Z6" s="2994">
        <f t="shared" si="0"/>
        <v>1.2154</v>
      </c>
      <c r="AA6" s="2994">
        <f>ROUND(SUMPRODUCT(PRODUCT(1+P6:P$18)),4)</f>
        <v>1.3962000000000001</v>
      </c>
      <c r="AB6" s="2994">
        <f>ROUND(SUMPRODUCT(PRODUCT(1+Q6:Q$18)),4)</f>
        <v>1.1890000000000001</v>
      </c>
      <c r="AD6" s="2685">
        <f>ROUND(AVERAGE(I6:I$19)/100,4)</f>
        <v>2.3900000000000001E-2</v>
      </c>
      <c r="AE6" s="2685">
        <f>ROUND(AVERAGE(J6:J$19)/100,4)</f>
        <v>1.5699999999999999E-2</v>
      </c>
      <c r="AF6" s="2685">
        <f t="shared" si="1"/>
        <v>1.5699999999999999E-2</v>
      </c>
      <c r="AG6" s="2685">
        <f>ROUND(AVERAGE(K6:K$19)/100,4)</f>
        <v>2.6599999999999999E-2</v>
      </c>
      <c r="AH6" s="2685">
        <f>ROUND(AVERAGE(L6:L$19)/100,4)</f>
        <v>1.34E-2</v>
      </c>
    </row>
    <row r="7" spans="1:34" s="2682" customFormat="1" ht="13.5" thickBot="1">
      <c r="A7" s="2673" t="s">
        <v>2588</v>
      </c>
      <c r="B7" s="2694">
        <f>B8*(1+N7)</f>
        <v>405.524</v>
      </c>
      <c r="C7" s="2694">
        <f t="shared" ref="C7" si="7">C8*(1+O7)</f>
        <v>307.79840000000002</v>
      </c>
      <c r="D7" s="2694">
        <f>C7</f>
        <v>307.79840000000002</v>
      </c>
      <c r="E7" s="2694">
        <f>E8*(1+P7)</f>
        <v>574.67759999999998</v>
      </c>
      <c r="F7" s="2694">
        <f>F8*(1+Q7)</f>
        <v>270.20280000000002</v>
      </c>
      <c r="G7" s="3621"/>
      <c r="H7" s="2678">
        <v>1</v>
      </c>
      <c r="I7" s="2678">
        <v>3.45</v>
      </c>
      <c r="J7" s="2678">
        <v>1.92</v>
      </c>
      <c r="K7" s="2678">
        <v>3.92</v>
      </c>
      <c r="L7" s="2695">
        <v>1.58</v>
      </c>
      <c r="M7" s="2688"/>
      <c r="N7" s="2689">
        <f>I7/100</f>
        <v>3.4500000000000003E-2</v>
      </c>
      <c r="O7" s="2690">
        <f t="shared" ref="O7:Q22" si="8">J7/100</f>
        <v>1.9199999999999998E-2</v>
      </c>
      <c r="P7" s="2690">
        <f t="shared" si="8"/>
        <v>3.9199999999999999E-2</v>
      </c>
      <c r="Q7" s="2690">
        <f t="shared" si="8"/>
        <v>1.5800000000000002E-2</v>
      </c>
      <c r="R7" s="2688"/>
      <c r="S7" s="2697">
        <f>B7/B8-1</f>
        <v>3.4499999999999975E-2</v>
      </c>
      <c r="T7" s="2698">
        <f>C7/C8-1</f>
        <v>1.9200000000000106E-2</v>
      </c>
      <c r="U7" s="2698">
        <f>E7/E8-1</f>
        <v>3.9199999999999902E-2</v>
      </c>
      <c r="V7" s="2698">
        <f>F7/F8-1</f>
        <v>1.5800000000000036E-2</v>
      </c>
      <c r="W7" s="2688"/>
      <c r="X7" s="2671">
        <f>ROUND(SUMPRODUCT(PRODUCT(1+N7:N$18)),4)</f>
        <v>1.3180000000000001</v>
      </c>
      <c r="Y7" s="2671">
        <f>ROUND(SUMPRODUCT(PRODUCT(1+O7:O$18)),4)</f>
        <v>1.1966000000000001</v>
      </c>
      <c r="Z7" s="2671">
        <f t="shared" si="0"/>
        <v>1.1966000000000001</v>
      </c>
      <c r="AA7" s="2671">
        <f>ROUND(SUMPRODUCT(PRODUCT(1+P7:P$18)),4)</f>
        <v>1.36</v>
      </c>
      <c r="AB7" s="2671">
        <f>ROUND(SUMPRODUCT(PRODUCT(1+Q7:Q$18)),4)</f>
        <v>1.1733</v>
      </c>
      <c r="AC7" s="2688"/>
      <c r="AD7" s="2672">
        <f>ROUND(AVERAGE(I7:I$19)/100,4)</f>
        <v>2.3900000000000001E-2</v>
      </c>
      <c r="AE7" s="2672">
        <f>ROUND(AVERAGE(J7:J$19)/100,4)</f>
        <v>1.5699999999999999E-2</v>
      </c>
      <c r="AF7" s="2672">
        <f t="shared" si="1"/>
        <v>1.5699999999999999E-2</v>
      </c>
      <c r="AG7" s="2672">
        <f>ROUND(AVERAGE(K7:K$19)/100,4)</f>
        <v>2.6599999999999999E-2</v>
      </c>
      <c r="AH7" s="2672">
        <f>ROUND(AVERAGE(L7:L$19)/100,4)</f>
        <v>1.34E-2</v>
      </c>
    </row>
    <row r="8" spans="1:34">
      <c r="A8" s="2673" t="s">
        <v>2590</v>
      </c>
      <c r="B8" s="2686">
        <v>392</v>
      </c>
      <c r="C8" s="2686">
        <v>302</v>
      </c>
      <c r="D8" s="2686">
        <f>C8</f>
        <v>302</v>
      </c>
      <c r="E8" s="2686">
        <v>553</v>
      </c>
      <c r="F8" s="2687">
        <v>266</v>
      </c>
      <c r="G8" s="3623">
        <v>2016</v>
      </c>
      <c r="H8" s="2675">
        <v>4</v>
      </c>
      <c r="I8" s="2675">
        <v>4.5599999999999996</v>
      </c>
      <c r="J8" s="2675">
        <v>2.15</v>
      </c>
      <c r="K8" s="2675">
        <v>5.32</v>
      </c>
      <c r="L8" s="2676">
        <v>1.57</v>
      </c>
      <c r="N8" s="2689">
        <f>I8/100</f>
        <v>4.5599999999999995E-2</v>
      </c>
      <c r="O8" s="2690">
        <f t="shared" si="8"/>
        <v>2.1499999999999998E-2</v>
      </c>
      <c r="P8" s="2690">
        <f t="shared" si="8"/>
        <v>5.3200000000000004E-2</v>
      </c>
      <c r="Q8" s="2690">
        <f t="shared" si="8"/>
        <v>1.5700000000000002E-2</v>
      </c>
      <c r="R8" s="2691"/>
      <c r="S8" s="2692"/>
      <c r="T8" s="2693"/>
      <c r="U8" s="2693"/>
      <c r="V8" s="2693"/>
      <c r="X8" s="2671">
        <f>ROUND(SUMPRODUCT(PRODUCT(1+N8:N$18)),4)</f>
        <v>1.274</v>
      </c>
      <c r="Y8" s="2671">
        <f>ROUND(SUMPRODUCT(PRODUCT(1+O8:O$18)),4)</f>
        <v>1.1740999999999999</v>
      </c>
      <c r="Z8" s="2671">
        <f t="shared" si="0"/>
        <v>1.1740999999999999</v>
      </c>
      <c r="AA8" s="2671">
        <f>ROUND(SUMPRODUCT(PRODUCT(1+P8:P$18)),4)</f>
        <v>1.3087</v>
      </c>
      <c r="AB8" s="2671">
        <f>ROUND(SUMPRODUCT(PRODUCT(1+Q8:Q$18)),4)</f>
        <v>1.1551</v>
      </c>
      <c r="AD8" s="2672">
        <f>ROUND(AVERAGE(I8:I$19)/100,4)</f>
        <v>2.3E-2</v>
      </c>
      <c r="AE8" s="2672">
        <f>ROUND(AVERAGE(J8:J$19)/100,4)</f>
        <v>1.55E-2</v>
      </c>
      <c r="AF8" s="2672">
        <f t="shared" ref="AF8:AF17" si="9">AE8</f>
        <v>1.55E-2</v>
      </c>
      <c r="AG8" s="2672">
        <f>ROUND(AVERAGE(K8:K$19)/100,4)</f>
        <v>2.5600000000000001E-2</v>
      </c>
      <c r="AH8" s="2672">
        <f>ROUND(AVERAGE(L8:L$19)/100,4)</f>
        <v>1.32E-2</v>
      </c>
    </row>
    <row r="9" spans="1:34">
      <c r="A9" s="2673" t="s">
        <v>1067</v>
      </c>
      <c r="B9" s="2694">
        <f t="shared" ref="B9:C11" si="10">B8/(1+N8)</f>
        <v>374.90436113236416</v>
      </c>
      <c r="C9" s="2694">
        <f t="shared" si="10"/>
        <v>295.64366128242779</v>
      </c>
      <c r="D9" s="2694">
        <f t="shared" ref="D9:D68" si="11">C9</f>
        <v>295.64366128242779</v>
      </c>
      <c r="E9" s="2694">
        <f t="shared" ref="E9:F11" si="12">E8/(1+P8)</f>
        <v>525.06646410938095</v>
      </c>
      <c r="F9" s="2694">
        <f t="shared" si="12"/>
        <v>261.88835286009646</v>
      </c>
      <c r="G9" s="3620"/>
      <c r="H9" s="2678">
        <v>3</v>
      </c>
      <c r="I9" s="2678">
        <v>4.12</v>
      </c>
      <c r="J9" s="2678">
        <v>2</v>
      </c>
      <c r="K9" s="2678">
        <v>4.79</v>
      </c>
      <c r="L9" s="2695">
        <v>1.97</v>
      </c>
      <c r="N9" s="2689">
        <f t="shared" ref="N9:Q43" si="13">I9/100</f>
        <v>4.1200000000000001E-2</v>
      </c>
      <c r="O9" s="2690">
        <f t="shared" si="8"/>
        <v>0.02</v>
      </c>
      <c r="P9" s="2690">
        <f t="shared" si="8"/>
        <v>4.7899999999999998E-2</v>
      </c>
      <c r="Q9" s="2690">
        <f t="shared" si="8"/>
        <v>1.9699999999999999E-2</v>
      </c>
      <c r="R9" s="2691"/>
      <c r="S9" s="2689"/>
      <c r="T9" s="2690"/>
      <c r="U9" s="2690"/>
      <c r="V9" s="2690"/>
      <c r="X9" s="2671">
        <f>ROUND(SUMPRODUCT(PRODUCT(1+N9:N$18)),4)</f>
        <v>1.2184999999999999</v>
      </c>
      <c r="Y9" s="2671">
        <f>ROUND(SUMPRODUCT(PRODUCT(1+O9:O$18)),4)</f>
        <v>1.1494</v>
      </c>
      <c r="Z9" s="2671">
        <f t="shared" si="0"/>
        <v>1.1494</v>
      </c>
      <c r="AA9" s="2671">
        <f>ROUND(SUMPRODUCT(PRODUCT(1+P9:P$18)),4)</f>
        <v>1.2425999999999999</v>
      </c>
      <c r="AB9" s="2671">
        <f>ROUND(SUMPRODUCT(PRODUCT(1+Q9:Q$18)),4)</f>
        <v>1.1372</v>
      </c>
      <c r="AD9" s="2672">
        <f>ROUND(AVERAGE(I9:I$19)/100,4)</f>
        <v>2.0899999999999998E-2</v>
      </c>
      <c r="AE9" s="2672">
        <f>ROUND(AVERAGE(J9:J$19)/100,4)</f>
        <v>1.49E-2</v>
      </c>
      <c r="AF9" s="2672">
        <f t="shared" si="9"/>
        <v>1.49E-2</v>
      </c>
      <c r="AG9" s="2672">
        <f>ROUND(AVERAGE(K9:K$19)/100,4)</f>
        <v>2.3099999999999999E-2</v>
      </c>
      <c r="AH9" s="2672">
        <f>ROUND(AVERAGE(L9:L$19)/100,4)</f>
        <v>1.2999999999999999E-2</v>
      </c>
    </row>
    <row r="10" spans="1:34">
      <c r="A10" s="2673" t="s">
        <v>1057</v>
      </c>
      <c r="B10" s="2694">
        <f t="shared" si="10"/>
        <v>360.06949782209392</v>
      </c>
      <c r="C10" s="2694">
        <f t="shared" si="10"/>
        <v>289.84672674747821</v>
      </c>
      <c r="D10" s="2694">
        <f t="shared" si="11"/>
        <v>289.84672674747821</v>
      </c>
      <c r="E10" s="2694">
        <f t="shared" si="12"/>
        <v>501.06543001181495</v>
      </c>
      <c r="F10" s="2694">
        <f t="shared" si="12"/>
        <v>256.82882500744967</v>
      </c>
      <c r="G10" s="3620"/>
      <c r="H10" s="2679">
        <v>2</v>
      </c>
      <c r="I10" s="2679">
        <v>3.85</v>
      </c>
      <c r="J10" s="2679">
        <v>1.95</v>
      </c>
      <c r="K10" s="2679">
        <v>4.4800000000000004</v>
      </c>
      <c r="L10" s="2696">
        <v>1.41</v>
      </c>
      <c r="N10" s="2689">
        <f t="shared" si="13"/>
        <v>3.85E-2</v>
      </c>
      <c r="O10" s="2690">
        <f t="shared" si="8"/>
        <v>1.95E-2</v>
      </c>
      <c r="P10" s="2690">
        <f t="shared" si="8"/>
        <v>4.4800000000000006E-2</v>
      </c>
      <c r="Q10" s="2690">
        <f t="shared" si="8"/>
        <v>1.41E-2</v>
      </c>
      <c r="R10" s="2691"/>
      <c r="S10" s="2689"/>
      <c r="T10" s="2690"/>
      <c r="U10" s="2690"/>
      <c r="V10" s="2690"/>
      <c r="X10" s="2671">
        <f>ROUND(SUMPRODUCT(PRODUCT(1+N10:N$18)),4)</f>
        <v>1.1702999999999999</v>
      </c>
      <c r="Y10" s="2671">
        <f>ROUND(SUMPRODUCT(PRODUCT(1+O10:O$18)),4)</f>
        <v>1.1269</v>
      </c>
      <c r="Z10" s="2671">
        <f t="shared" si="0"/>
        <v>1.1269</v>
      </c>
      <c r="AA10" s="2671">
        <f>ROUND(SUMPRODUCT(PRODUCT(1+P10:P$18)),4)</f>
        <v>1.1858</v>
      </c>
      <c r="AB10" s="2671">
        <f>ROUND(SUMPRODUCT(PRODUCT(1+Q10:Q$18)),4)</f>
        <v>1.1152</v>
      </c>
      <c r="AD10" s="2672">
        <f>ROUND(AVERAGE(I10:I$19)/100,4)</f>
        <v>1.89E-2</v>
      </c>
      <c r="AE10" s="2672">
        <f>ROUND(AVERAGE(J10:J$19)/100,4)</f>
        <v>1.44E-2</v>
      </c>
      <c r="AF10" s="2672">
        <f t="shared" si="9"/>
        <v>1.44E-2</v>
      </c>
      <c r="AG10" s="2672">
        <f>ROUND(AVERAGE(K10:K$19)/100,4)</f>
        <v>2.06E-2</v>
      </c>
      <c r="AH10" s="2672">
        <f>ROUND(AVERAGE(L10:L$19)/100,4)</f>
        <v>1.23E-2</v>
      </c>
    </row>
    <row r="11" spans="1:34" ht="13.5" thickBot="1">
      <c r="A11" s="2673" t="s">
        <v>1066</v>
      </c>
      <c r="B11" s="2694">
        <f t="shared" si="10"/>
        <v>346.720748986128</v>
      </c>
      <c r="C11" s="2694">
        <f t="shared" si="10"/>
        <v>284.30282172386285</v>
      </c>
      <c r="D11" s="2694">
        <f t="shared" si="11"/>
        <v>284.30282172386285</v>
      </c>
      <c r="E11" s="2694">
        <f t="shared" si="12"/>
        <v>479.58023546306947</v>
      </c>
      <c r="F11" s="2694">
        <f t="shared" si="12"/>
        <v>253.25788877571213</v>
      </c>
      <c r="G11" s="3621"/>
      <c r="H11" s="2678">
        <v>1</v>
      </c>
      <c r="I11" s="2678">
        <v>4.09</v>
      </c>
      <c r="J11" s="2678">
        <v>2.93</v>
      </c>
      <c r="K11" s="2678">
        <v>4.54</v>
      </c>
      <c r="L11" s="2695">
        <v>1.48</v>
      </c>
      <c r="N11" s="2689">
        <f t="shared" si="13"/>
        <v>4.0899999999999999E-2</v>
      </c>
      <c r="O11" s="2690">
        <f t="shared" si="8"/>
        <v>2.9300000000000003E-2</v>
      </c>
      <c r="P11" s="2690">
        <f t="shared" si="8"/>
        <v>4.5400000000000003E-2</v>
      </c>
      <c r="Q11" s="2690">
        <f t="shared" si="8"/>
        <v>1.4800000000000001E-2</v>
      </c>
      <c r="R11" s="2691"/>
      <c r="S11" s="2697">
        <f>B11/B12-1</f>
        <v>4.1203450408792808E-2</v>
      </c>
      <c r="T11" s="2698">
        <f>C11/C12-1</f>
        <v>2.6363977342465095E-2</v>
      </c>
      <c r="U11" s="2698">
        <f>E11/E12-1</f>
        <v>4.4837114298626357E-2</v>
      </c>
      <c r="V11" s="2698">
        <f>F11/F12-1</f>
        <v>1.7099954922538574E-2</v>
      </c>
      <c r="X11" s="2671">
        <f>ROUND(SUMPRODUCT(PRODUCT(1+N11:N$18)),4)</f>
        <v>1.1269</v>
      </c>
      <c r="Y11" s="2671">
        <f>ROUND(SUMPRODUCT(PRODUCT(1+O11:O$18)),4)</f>
        <v>1.1052999999999999</v>
      </c>
      <c r="Z11" s="2671">
        <f t="shared" si="0"/>
        <v>1.1052999999999999</v>
      </c>
      <c r="AA11" s="2671">
        <f>ROUND(SUMPRODUCT(PRODUCT(1+P11:P$18)),4)</f>
        <v>1.1349</v>
      </c>
      <c r="AB11" s="2671">
        <f>ROUND(SUMPRODUCT(PRODUCT(1+Q11:Q$18)),4)</f>
        <v>1.0996999999999999</v>
      </c>
      <c r="AD11" s="2672">
        <f>ROUND(AVERAGE(I11:I$19)/100,4)</f>
        <v>1.67E-2</v>
      </c>
      <c r="AE11" s="2672">
        <f>ROUND(AVERAGE(J11:J$19)/100,4)</f>
        <v>1.38E-2</v>
      </c>
      <c r="AF11" s="2672">
        <f t="shared" si="9"/>
        <v>1.38E-2</v>
      </c>
      <c r="AG11" s="2672">
        <f>ROUND(AVERAGE(K11:K$19)/100,4)</f>
        <v>1.7899999999999999E-2</v>
      </c>
      <c r="AH11" s="2672">
        <f>ROUND(AVERAGE(L11:L$19)/100,4)</f>
        <v>1.21E-2</v>
      </c>
    </row>
    <row r="12" spans="1:34" ht="13.5" thickBot="1">
      <c r="A12" s="2673" t="s">
        <v>1065</v>
      </c>
      <c r="B12" s="2686">
        <v>333</v>
      </c>
      <c r="C12" s="2686">
        <v>277</v>
      </c>
      <c r="D12" s="2686">
        <f t="shared" si="11"/>
        <v>277</v>
      </c>
      <c r="E12" s="2686">
        <v>459</v>
      </c>
      <c r="F12" s="2687">
        <v>249</v>
      </c>
      <c r="G12" s="3619">
        <v>2015</v>
      </c>
      <c r="H12" s="2699">
        <v>4</v>
      </c>
      <c r="I12" s="2699">
        <v>1.63</v>
      </c>
      <c r="J12" s="2699">
        <v>1.1100000000000001</v>
      </c>
      <c r="K12" s="2699">
        <v>1.77</v>
      </c>
      <c r="L12" s="2700">
        <v>1.89</v>
      </c>
      <c r="N12" s="2701">
        <f t="shared" si="13"/>
        <v>1.6299999999999999E-2</v>
      </c>
      <c r="O12" s="2702">
        <f t="shared" si="8"/>
        <v>1.11E-2</v>
      </c>
      <c r="P12" s="2702">
        <f t="shared" si="8"/>
        <v>1.77E-2</v>
      </c>
      <c r="Q12" s="2702">
        <f t="shared" si="8"/>
        <v>1.89E-2</v>
      </c>
      <c r="R12" s="2691"/>
      <c r="X12" s="2671">
        <f>ROUND(SUMPRODUCT(PRODUCT(1+N12:N$18)),4)</f>
        <v>1.0826</v>
      </c>
      <c r="Y12" s="2671">
        <f>ROUND(SUMPRODUCT(PRODUCT(1+O12:O$18)),4)</f>
        <v>1.0738000000000001</v>
      </c>
      <c r="Z12" s="2671">
        <f t="shared" si="0"/>
        <v>1.0738000000000001</v>
      </c>
      <c r="AA12" s="2671">
        <f>ROUND(SUMPRODUCT(PRODUCT(1+P12:P$18)),4)</f>
        <v>1.0855999999999999</v>
      </c>
      <c r="AB12" s="2671">
        <f>ROUND(SUMPRODUCT(PRODUCT(1+Q12:Q$18)),4)</f>
        <v>1.0837000000000001</v>
      </c>
      <c r="AD12" s="2672">
        <f>ROUND(AVERAGE(I12:I$19)/100,4)</f>
        <v>1.37E-2</v>
      </c>
      <c r="AE12" s="2672">
        <f>ROUND(AVERAGE(J12:J$19)/100,4)</f>
        <v>1.1900000000000001E-2</v>
      </c>
      <c r="AF12" s="2672">
        <f t="shared" si="9"/>
        <v>1.1900000000000001E-2</v>
      </c>
      <c r="AG12" s="2672">
        <f>ROUND(AVERAGE(K12:K$19)/100,4)</f>
        <v>1.4500000000000001E-2</v>
      </c>
      <c r="AH12" s="2672">
        <f>ROUND(AVERAGE(L12:L$19)/100,4)</f>
        <v>1.18E-2</v>
      </c>
    </row>
    <row r="13" spans="1:34">
      <c r="A13" s="2673" t="s">
        <v>1064</v>
      </c>
      <c r="B13" s="2694">
        <f t="shared" ref="B13:C15" si="14">B12/(1+N12)</f>
        <v>327.65915576109415</v>
      </c>
      <c r="C13" s="2694">
        <f t="shared" si="14"/>
        <v>273.95905449510434</v>
      </c>
      <c r="D13" s="2694">
        <f t="shared" si="11"/>
        <v>273.95905449510434</v>
      </c>
      <c r="E13" s="2694">
        <f t="shared" ref="E13:F15" si="15">E12/(1+P12)</f>
        <v>451.01699911565294</v>
      </c>
      <c r="F13" s="2694">
        <f t="shared" si="15"/>
        <v>244.38119540681129</v>
      </c>
      <c r="G13" s="3620"/>
      <c r="H13" s="2704">
        <v>3</v>
      </c>
      <c r="I13" s="2704">
        <v>1.65</v>
      </c>
      <c r="J13" s="2704">
        <v>0.92</v>
      </c>
      <c r="K13" s="2704">
        <v>1.88</v>
      </c>
      <c r="L13" s="2705">
        <v>1.26</v>
      </c>
      <c r="N13" s="2689">
        <f t="shared" si="13"/>
        <v>1.6500000000000001E-2</v>
      </c>
      <c r="O13" s="2706">
        <f t="shared" si="8"/>
        <v>9.1999999999999998E-3</v>
      </c>
      <c r="P13" s="2706">
        <f t="shared" si="8"/>
        <v>1.8799999999999997E-2</v>
      </c>
      <c r="Q13" s="2706">
        <f t="shared" si="8"/>
        <v>1.26E-2</v>
      </c>
      <c r="R13" s="2691"/>
      <c r="S13" s="2689"/>
      <c r="T13" s="2690"/>
      <c r="U13" s="2690"/>
      <c r="V13" s="2690"/>
      <c r="X13" s="2671">
        <f>ROUND(SUMPRODUCT(PRODUCT(1+N13:N$18)),4)</f>
        <v>1.0651999999999999</v>
      </c>
      <c r="Y13" s="2671">
        <f>ROUND(SUMPRODUCT(PRODUCT(1+O13:O$18)),4)</f>
        <v>1.0621</v>
      </c>
      <c r="Z13" s="2671">
        <f t="shared" si="0"/>
        <v>1.0621</v>
      </c>
      <c r="AA13" s="2671">
        <f>ROUND(SUMPRODUCT(PRODUCT(1+P13:P$18)),4)</f>
        <v>1.0668</v>
      </c>
      <c r="AB13" s="2671">
        <f>ROUND(SUMPRODUCT(PRODUCT(1+Q13:Q$18)),4)</f>
        <v>1.0636000000000001</v>
      </c>
      <c r="AD13" s="2672">
        <f>ROUND(AVERAGE(I13:I$19)/100,4)</f>
        <v>1.3299999999999999E-2</v>
      </c>
      <c r="AE13" s="2672">
        <f>ROUND(AVERAGE(J13:J$19)/100,4)</f>
        <v>1.2E-2</v>
      </c>
      <c r="AF13" s="2672">
        <f t="shared" si="9"/>
        <v>1.2E-2</v>
      </c>
      <c r="AG13" s="2672">
        <f>ROUND(AVERAGE(K13:K$19)/100,4)</f>
        <v>1.4E-2</v>
      </c>
      <c r="AH13" s="2672">
        <f>ROUND(AVERAGE(L13:L$19)/100,4)</f>
        <v>1.0800000000000001E-2</v>
      </c>
    </row>
    <row r="14" spans="1:34">
      <c r="A14" s="2673" t="s">
        <v>1063</v>
      </c>
      <c r="B14" s="2694">
        <f t="shared" si="14"/>
        <v>322.34053690220776</v>
      </c>
      <c r="C14" s="2694">
        <f t="shared" si="14"/>
        <v>271.46160770422546</v>
      </c>
      <c r="D14" s="2694">
        <f t="shared" si="11"/>
        <v>271.46160770422546</v>
      </c>
      <c r="E14" s="2694">
        <f t="shared" si="15"/>
        <v>442.69434542172456</v>
      </c>
      <c r="F14" s="2694">
        <f t="shared" si="15"/>
        <v>241.34030753190925</v>
      </c>
      <c r="G14" s="3620"/>
      <c r="H14" s="2679">
        <v>2</v>
      </c>
      <c r="I14" s="2679">
        <v>0.77</v>
      </c>
      <c r="J14" s="2679">
        <v>0.69</v>
      </c>
      <c r="K14" s="2679">
        <v>0.8</v>
      </c>
      <c r="L14" s="2696">
        <v>0.88</v>
      </c>
      <c r="N14" s="2689">
        <f t="shared" si="13"/>
        <v>7.7000000000000002E-3</v>
      </c>
      <c r="O14" s="2706">
        <f t="shared" si="8"/>
        <v>6.8999999999999999E-3</v>
      </c>
      <c r="P14" s="2706">
        <f t="shared" si="8"/>
        <v>8.0000000000000002E-3</v>
      </c>
      <c r="Q14" s="2706">
        <f t="shared" si="8"/>
        <v>8.8000000000000005E-3</v>
      </c>
      <c r="R14" s="2691"/>
      <c r="S14" s="2689"/>
      <c r="T14" s="2690"/>
      <c r="U14" s="2690"/>
      <c r="V14" s="2690"/>
      <c r="X14" s="2671">
        <f>ROUND(SUMPRODUCT(PRODUCT(1+N14:N$18)),4)</f>
        <v>1.048</v>
      </c>
      <c r="Y14" s="2671">
        <f>ROUND(SUMPRODUCT(PRODUCT(1+O14:O$18)),4)</f>
        <v>1.0524</v>
      </c>
      <c r="Z14" s="2671">
        <f t="shared" si="0"/>
        <v>1.0524</v>
      </c>
      <c r="AA14" s="2671">
        <f>ROUND(SUMPRODUCT(PRODUCT(1+P14:P$18)),4)</f>
        <v>1.0470999999999999</v>
      </c>
      <c r="AB14" s="2671">
        <f>ROUND(SUMPRODUCT(PRODUCT(1+Q14:Q$18)),4)</f>
        <v>1.0504</v>
      </c>
      <c r="AD14" s="2672">
        <f>ROUND(AVERAGE(I14:I$19)/100,4)</f>
        <v>1.2800000000000001E-2</v>
      </c>
      <c r="AE14" s="2672">
        <f>ROUND(AVERAGE(J14:J$19)/100,4)</f>
        <v>1.2500000000000001E-2</v>
      </c>
      <c r="AF14" s="2672">
        <f t="shared" si="9"/>
        <v>1.2500000000000001E-2</v>
      </c>
      <c r="AG14" s="2672">
        <f>ROUND(AVERAGE(K14:K$19)/100,4)</f>
        <v>1.32E-2</v>
      </c>
      <c r="AH14" s="2672">
        <f>ROUND(AVERAGE(L14:L$19)/100,4)</f>
        <v>1.0500000000000001E-2</v>
      </c>
    </row>
    <row r="15" spans="1:34">
      <c r="A15" s="2673" t="s">
        <v>1062</v>
      </c>
      <c r="B15" s="2694">
        <f t="shared" si="14"/>
        <v>319.87748030386797</v>
      </c>
      <c r="C15" s="2694">
        <f t="shared" si="14"/>
        <v>269.60135833173649</v>
      </c>
      <c r="D15" s="2694">
        <f t="shared" si="11"/>
        <v>269.60135833173649</v>
      </c>
      <c r="E15" s="2694">
        <f t="shared" si="15"/>
        <v>439.18089823583784</v>
      </c>
      <c r="F15" s="2694">
        <f t="shared" si="15"/>
        <v>239.23503918706311</v>
      </c>
      <c r="G15" s="3621"/>
      <c r="H15" s="2678">
        <v>1</v>
      </c>
      <c r="I15" s="2678">
        <v>0.51</v>
      </c>
      <c r="J15" s="2678">
        <v>0.54</v>
      </c>
      <c r="K15" s="2678">
        <v>0.48</v>
      </c>
      <c r="L15" s="2695">
        <v>0.93</v>
      </c>
      <c r="N15" s="2697">
        <f t="shared" si="13"/>
        <v>5.1000000000000004E-3</v>
      </c>
      <c r="O15" s="2698">
        <f t="shared" si="8"/>
        <v>5.4000000000000003E-3</v>
      </c>
      <c r="P15" s="2698">
        <f t="shared" si="8"/>
        <v>4.7999999999999996E-3</v>
      </c>
      <c r="Q15" s="2698">
        <f t="shared" si="8"/>
        <v>9.300000000000001E-3</v>
      </c>
      <c r="R15" s="2691"/>
      <c r="S15" s="2697">
        <f>B15/B16-1</f>
        <v>5.9040261127922822E-3</v>
      </c>
      <c r="T15" s="2698">
        <f>C15/C16-1</f>
        <v>5.9752176557332781E-3</v>
      </c>
      <c r="U15" s="2698">
        <f>E15/E16-1</f>
        <v>4.9906138119859556E-3</v>
      </c>
      <c r="V15" s="2698">
        <f>F15/F16-1</f>
        <v>9.4305450930933787E-3</v>
      </c>
      <c r="X15" s="2671">
        <f>ROUND(SUMPRODUCT(PRODUCT(1+N15:N$18)),4)</f>
        <v>1.0399</v>
      </c>
      <c r="Y15" s="2671">
        <f>ROUND(SUMPRODUCT(PRODUCT(1+O15:O$18)),4)</f>
        <v>1.0451999999999999</v>
      </c>
      <c r="Z15" s="2671">
        <f t="shared" si="0"/>
        <v>1.0451999999999999</v>
      </c>
      <c r="AA15" s="2671">
        <f>ROUND(SUMPRODUCT(PRODUCT(1+P15:P$18)),4)</f>
        <v>1.0387999999999999</v>
      </c>
      <c r="AB15" s="2671">
        <f>ROUND(SUMPRODUCT(PRODUCT(1+Q15:Q$18)),4)</f>
        <v>1.0411999999999999</v>
      </c>
      <c r="AD15" s="2672">
        <f>ROUND(AVERAGE(I15:I$19)/100,4)</f>
        <v>1.38E-2</v>
      </c>
      <c r="AE15" s="2672">
        <f>ROUND(AVERAGE(J15:J$19)/100,4)</f>
        <v>1.3599999999999999E-2</v>
      </c>
      <c r="AF15" s="2672">
        <f t="shared" si="9"/>
        <v>1.3599999999999999E-2</v>
      </c>
      <c r="AG15" s="2672">
        <f>ROUND(AVERAGE(K15:K$19)/100,4)</f>
        <v>1.4200000000000001E-2</v>
      </c>
      <c r="AH15" s="2672">
        <f>ROUND(AVERAGE(L15:L$19)/100,4)</f>
        <v>1.0800000000000001E-2</v>
      </c>
    </row>
    <row r="16" spans="1:34" ht="13.5" thickBot="1">
      <c r="A16" s="2673" t="s">
        <v>1061</v>
      </c>
      <c r="B16" s="2707">
        <v>318</v>
      </c>
      <c r="C16" s="2707">
        <v>268</v>
      </c>
      <c r="D16" s="2707">
        <f t="shared" si="11"/>
        <v>268</v>
      </c>
      <c r="E16" s="2707">
        <v>437</v>
      </c>
      <c r="F16" s="2708">
        <v>237</v>
      </c>
      <c r="G16" s="3619">
        <v>2014</v>
      </c>
      <c r="H16" s="2699">
        <v>4</v>
      </c>
      <c r="I16" s="2699">
        <v>0.21</v>
      </c>
      <c r="J16" s="2699">
        <v>0.41</v>
      </c>
      <c r="K16" s="2699">
        <v>0.12</v>
      </c>
      <c r="L16" s="2700">
        <v>0.89</v>
      </c>
      <c r="N16" s="2689">
        <f t="shared" si="13"/>
        <v>2.0999999999999999E-3</v>
      </c>
      <c r="O16" s="2690">
        <f t="shared" si="8"/>
        <v>4.0999999999999995E-3</v>
      </c>
      <c r="P16" s="2690">
        <f t="shared" si="8"/>
        <v>1.1999999999999999E-3</v>
      </c>
      <c r="Q16" s="2690">
        <f t="shared" si="8"/>
        <v>8.8999999999999999E-3</v>
      </c>
      <c r="R16" s="2691"/>
      <c r="S16" s="2692"/>
      <c r="T16" s="2693"/>
      <c r="U16" s="2693"/>
      <c r="V16" s="2693"/>
      <c r="X16" s="2671">
        <f>ROUND(SUMPRODUCT(PRODUCT(1+N16:N$18)),4)</f>
        <v>1.0347</v>
      </c>
      <c r="Y16" s="2671">
        <f>ROUND(SUMPRODUCT(PRODUCT(1+O16:O$18)),4)</f>
        <v>1.0395000000000001</v>
      </c>
      <c r="Z16" s="2671">
        <f t="shared" si="0"/>
        <v>1.0395000000000001</v>
      </c>
      <c r="AA16" s="2671">
        <f>ROUND(SUMPRODUCT(PRODUCT(1+P16:P$18)),4)</f>
        <v>1.0338000000000001</v>
      </c>
      <c r="AB16" s="2671">
        <f>ROUND(SUMPRODUCT(PRODUCT(1+Q16:Q$18)),4)</f>
        <v>1.0316000000000001</v>
      </c>
      <c r="AD16" s="2672">
        <f>ROUND(AVERAGE(I16:I$19)/100,4)</f>
        <v>1.6E-2</v>
      </c>
      <c r="AE16" s="2672">
        <f>ROUND(AVERAGE(J16:J$19)/100,4)</f>
        <v>1.5599999999999999E-2</v>
      </c>
      <c r="AF16" s="2672">
        <f t="shared" si="9"/>
        <v>1.5599999999999999E-2</v>
      </c>
      <c r="AG16" s="2672">
        <f>ROUND(AVERAGE(K16:K$19)/100,4)</f>
        <v>1.66E-2</v>
      </c>
      <c r="AH16" s="2672">
        <f>ROUND(AVERAGE(L16:L$19)/100,4)</f>
        <v>1.12E-2</v>
      </c>
    </row>
    <row r="17" spans="1:34">
      <c r="A17" s="2673" t="s">
        <v>1060</v>
      </c>
      <c r="B17" s="2694">
        <f t="shared" ref="B17:C19" si="16">B16/(1+N16)</f>
        <v>317.33359944117353</v>
      </c>
      <c r="C17" s="2694">
        <f t="shared" si="16"/>
        <v>266.90568668459315</v>
      </c>
      <c r="D17" s="2694">
        <f t="shared" si="11"/>
        <v>266.90568668459315</v>
      </c>
      <c r="E17" s="2694">
        <f t="shared" ref="E17:F19" si="17">E16/(1+P16)</f>
        <v>436.47622852576905</v>
      </c>
      <c r="F17" s="2694">
        <f t="shared" si="17"/>
        <v>234.90930716622066</v>
      </c>
      <c r="G17" s="3620"/>
      <c r="H17" s="2709">
        <v>3</v>
      </c>
      <c r="I17" s="2709">
        <v>0.83</v>
      </c>
      <c r="J17" s="2709">
        <v>1.47</v>
      </c>
      <c r="K17" s="2709">
        <v>0.65</v>
      </c>
      <c r="L17" s="2710">
        <v>0.72</v>
      </c>
      <c r="N17" s="2689">
        <f t="shared" si="13"/>
        <v>8.3000000000000001E-3</v>
      </c>
      <c r="O17" s="2690">
        <f t="shared" si="8"/>
        <v>1.47E-2</v>
      </c>
      <c r="P17" s="2690">
        <f t="shared" si="8"/>
        <v>6.5000000000000006E-3</v>
      </c>
      <c r="Q17" s="2690">
        <f t="shared" si="8"/>
        <v>7.1999999999999998E-3</v>
      </c>
      <c r="R17" s="2691"/>
      <c r="S17" s="2689"/>
      <c r="T17" s="2690"/>
      <c r="U17" s="2690"/>
      <c r="V17" s="2690"/>
      <c r="X17" s="2671">
        <f>ROUND(SUMPRODUCT(PRODUCT(1+N17:N$18)),4)</f>
        <v>1.0325</v>
      </c>
      <c r="Y17" s="2671">
        <f>ROUND(SUMPRODUCT(PRODUCT(1+O17:O$18)),4)</f>
        <v>1.0353000000000001</v>
      </c>
      <c r="Z17" s="2671">
        <f t="shared" ref="Z17:Z18" si="18">Y17</f>
        <v>1.0353000000000001</v>
      </c>
      <c r="AA17" s="2671">
        <f>ROUND(SUMPRODUCT(PRODUCT(1+P17:P$18)),4)</f>
        <v>1.0326</v>
      </c>
      <c r="AB17" s="2671">
        <f>ROUND(SUMPRODUCT(PRODUCT(1+Q17:Q$18)),4)</f>
        <v>1.0225</v>
      </c>
      <c r="AD17" s="2672">
        <f>ROUND(AVERAGE(I17:I$19)/100,4)</f>
        <v>2.07E-2</v>
      </c>
      <c r="AE17" s="2672">
        <f>ROUND(AVERAGE(J17:J$19)/100,4)</f>
        <v>1.95E-2</v>
      </c>
      <c r="AF17" s="2672">
        <f t="shared" si="9"/>
        <v>1.95E-2</v>
      </c>
      <c r="AG17" s="2672">
        <f>ROUND(AVERAGE(K17:K$19)/100,4)</f>
        <v>2.1700000000000001E-2</v>
      </c>
      <c r="AH17" s="2672">
        <f>ROUND(AVERAGE(L17:L$19)/100,4)</f>
        <v>1.2E-2</v>
      </c>
    </row>
    <row r="18" spans="1:34" ht="13.5" thickBot="1">
      <c r="A18" s="2673" t="s">
        <v>1059</v>
      </c>
      <c r="B18" s="2694">
        <f t="shared" si="16"/>
        <v>314.72141172386546</v>
      </c>
      <c r="C18" s="2694">
        <f t="shared" si="16"/>
        <v>263.03901319069001</v>
      </c>
      <c r="D18" s="2694">
        <f t="shared" si="11"/>
        <v>263.03901319069001</v>
      </c>
      <c r="E18" s="2694">
        <f t="shared" si="17"/>
        <v>433.65745506782821</v>
      </c>
      <c r="F18" s="2694">
        <f t="shared" si="17"/>
        <v>233.23005080045735</v>
      </c>
      <c r="G18" s="3620"/>
      <c r="H18" s="2699">
        <v>2</v>
      </c>
      <c r="I18" s="2699">
        <v>2.4</v>
      </c>
      <c r="J18" s="2699">
        <v>2.0299999999999998</v>
      </c>
      <c r="K18" s="2699">
        <v>2.59</v>
      </c>
      <c r="L18" s="2700">
        <v>1.52</v>
      </c>
      <c r="N18" s="2689">
        <f t="shared" si="13"/>
        <v>2.4E-2</v>
      </c>
      <c r="O18" s="2690">
        <f t="shared" si="8"/>
        <v>2.0299999999999999E-2</v>
      </c>
      <c r="P18" s="2690">
        <f t="shared" si="8"/>
        <v>2.5899999999999999E-2</v>
      </c>
      <c r="Q18" s="2690">
        <f t="shared" si="8"/>
        <v>1.52E-2</v>
      </c>
      <c r="R18" s="2691"/>
      <c r="S18" s="2689"/>
      <c r="T18" s="2690"/>
      <c r="U18" s="2690"/>
      <c r="V18" s="2690"/>
      <c r="X18" s="2671">
        <f>1+N18</f>
        <v>1.024</v>
      </c>
      <c r="Y18" s="2671">
        <f>1+O18</f>
        <v>1.0203</v>
      </c>
      <c r="Z18" s="2671">
        <f t="shared" si="18"/>
        <v>1.0203</v>
      </c>
      <c r="AA18" s="2671">
        <f>1+P18</f>
        <v>1.0259</v>
      </c>
      <c r="AB18" s="2671">
        <f>1+Q18</f>
        <v>1.0152000000000001</v>
      </c>
      <c r="AD18" s="2672">
        <f>ROUND(AVERAGE(I18:I$19)/100,4)</f>
        <v>2.69E-2</v>
      </c>
      <c r="AE18" s="2672">
        <f>ROUND(AVERAGE(J18:J$19)/100,4)</f>
        <v>2.1899999999999999E-2</v>
      </c>
      <c r="AF18" s="2672">
        <f t="shared" ref="AF18" si="19">AE18</f>
        <v>2.1899999999999999E-2</v>
      </c>
      <c r="AG18" s="2672">
        <f>ROUND(AVERAGE(K18:K$19)/100,4)</f>
        <v>2.9399999999999999E-2</v>
      </c>
      <c r="AH18" s="2672">
        <f>ROUND(AVERAGE(L18:L$19)/100,4)</f>
        <v>1.44E-2</v>
      </c>
    </row>
    <row r="19" spans="1:34" s="2715" customFormat="1" ht="13.5" thickBot="1">
      <c r="A19" s="2711" t="s">
        <v>1058</v>
      </c>
      <c r="B19" s="2712">
        <f t="shared" si="16"/>
        <v>307.34512863658733</v>
      </c>
      <c r="C19" s="2712">
        <f t="shared" si="16"/>
        <v>257.80556031626975</v>
      </c>
      <c r="D19" s="2712">
        <f t="shared" si="11"/>
        <v>257.80556031626975</v>
      </c>
      <c r="E19" s="2712">
        <f t="shared" si="17"/>
        <v>422.70928459677179</v>
      </c>
      <c r="F19" s="2712">
        <f t="shared" si="17"/>
        <v>229.73803270336617</v>
      </c>
      <c r="G19" s="3621"/>
      <c r="H19" s="2713">
        <v>1</v>
      </c>
      <c r="I19" s="2713">
        <v>2.97</v>
      </c>
      <c r="J19" s="2713">
        <v>2.34</v>
      </c>
      <c r="K19" s="2713">
        <v>3.28</v>
      </c>
      <c r="L19" s="2714">
        <v>1.36</v>
      </c>
      <c r="N19" s="2716">
        <f t="shared" si="13"/>
        <v>2.9700000000000001E-2</v>
      </c>
      <c r="O19" s="2717">
        <f t="shared" si="8"/>
        <v>2.3399999999999997E-2</v>
      </c>
      <c r="P19" s="2717">
        <f t="shared" si="8"/>
        <v>3.2799999999999996E-2</v>
      </c>
      <c r="Q19" s="2717">
        <f t="shared" si="8"/>
        <v>1.3600000000000001E-2</v>
      </c>
      <c r="R19" s="2718"/>
      <c r="S19" s="2719">
        <f>B19/B20-1</f>
        <v>2.7910129219355539E-2</v>
      </c>
      <c r="T19" s="2720">
        <f>C19/C20-1</f>
        <v>2.3037937762975247E-2</v>
      </c>
      <c r="U19" s="2720">
        <f>E19/E20-1</f>
        <v>3.3519033243940788E-2</v>
      </c>
      <c r="V19" s="2720">
        <f>F19/F20-1</f>
        <v>1.2061818076502862E-2</v>
      </c>
      <c r="W19" s="2721" t="s">
        <v>2795</v>
      </c>
      <c r="X19" s="2722">
        <v>1</v>
      </c>
      <c r="Y19" s="2722">
        <v>1</v>
      </c>
      <c r="Z19" s="2722">
        <v>1</v>
      </c>
      <c r="AA19" s="2722">
        <v>1</v>
      </c>
      <c r="AB19" s="2722">
        <v>1</v>
      </c>
      <c r="AD19" s="2993">
        <f>I19/100</f>
        <v>2.9700000000000001E-2</v>
      </c>
      <c r="AE19" s="2993">
        <f>J19/100</f>
        <v>2.3399999999999997E-2</v>
      </c>
      <c r="AF19" s="2993">
        <f>AE19</f>
        <v>2.3399999999999997E-2</v>
      </c>
      <c r="AG19" s="2993">
        <f>K19/100</f>
        <v>3.2799999999999996E-2</v>
      </c>
      <c r="AH19" s="2993">
        <f>L19/100</f>
        <v>1.3600000000000001E-2</v>
      </c>
    </row>
    <row r="20" spans="1:34" ht="13.5" thickBot="1">
      <c r="A20" s="2673" t="s">
        <v>2591</v>
      </c>
      <c r="B20" s="2686">
        <v>299</v>
      </c>
      <c r="C20" s="2686">
        <v>252</v>
      </c>
      <c r="D20" s="2686">
        <f t="shared" si="11"/>
        <v>252</v>
      </c>
      <c r="E20" s="2686">
        <v>409</v>
      </c>
      <c r="F20" s="2687">
        <v>227</v>
      </c>
      <c r="G20" s="3624">
        <v>2013</v>
      </c>
      <c r="H20" s="2723">
        <v>4</v>
      </c>
      <c r="I20" s="2723">
        <v>1.83</v>
      </c>
      <c r="J20" s="2723">
        <v>1.68</v>
      </c>
      <c r="K20" s="2723">
        <v>1.97</v>
      </c>
      <c r="L20" s="2724">
        <v>0.87</v>
      </c>
      <c r="N20" s="2701">
        <f t="shared" si="13"/>
        <v>1.83E-2</v>
      </c>
      <c r="O20" s="2702">
        <f t="shared" si="8"/>
        <v>1.6799999999999999E-2</v>
      </c>
      <c r="P20" s="2702">
        <f t="shared" si="8"/>
        <v>1.9699999999999999E-2</v>
      </c>
      <c r="Q20" s="2702">
        <f t="shared" si="8"/>
        <v>8.6999999999999994E-3</v>
      </c>
      <c r="R20" s="2691"/>
      <c r="S20" s="2692"/>
      <c r="T20" s="2693"/>
      <c r="U20" s="2693"/>
      <c r="V20" s="2693"/>
      <c r="X20" s="2693"/>
      <c r="Y20" s="2693"/>
      <c r="Z20" s="2693"/>
    </row>
    <row r="21" spans="1:34">
      <c r="A21" s="2673" t="s">
        <v>2592</v>
      </c>
      <c r="B21" s="2694">
        <f t="shared" ref="B21:C23" si="20">B20/(1+N20)</f>
        <v>293.62663262299913</v>
      </c>
      <c r="C21" s="2694">
        <f t="shared" si="20"/>
        <v>247.83634933123525</v>
      </c>
      <c r="D21" s="2694">
        <f t="shared" si="11"/>
        <v>247.83634933123525</v>
      </c>
      <c r="E21" s="2694">
        <f t="shared" ref="E21:F23" si="21">E20/(1+P20)</f>
        <v>401.09836226341076</v>
      </c>
      <c r="F21" s="2694">
        <f t="shared" si="21"/>
        <v>225.04213343908003</v>
      </c>
      <c r="G21" s="3625"/>
      <c r="H21" s="2704">
        <v>3</v>
      </c>
      <c r="I21" s="2704">
        <v>1.86</v>
      </c>
      <c r="J21" s="2704">
        <v>1.72</v>
      </c>
      <c r="K21" s="2704">
        <v>1.98</v>
      </c>
      <c r="L21" s="2705">
        <v>0.88</v>
      </c>
      <c r="N21" s="2689">
        <f t="shared" si="13"/>
        <v>1.8600000000000002E-2</v>
      </c>
      <c r="O21" s="2706">
        <f t="shared" si="8"/>
        <v>1.72E-2</v>
      </c>
      <c r="P21" s="2706">
        <f t="shared" si="8"/>
        <v>1.9799999999999998E-2</v>
      </c>
      <c r="Q21" s="2706">
        <f t="shared" si="8"/>
        <v>8.8000000000000005E-3</v>
      </c>
      <c r="R21" s="2691"/>
      <c r="S21" s="2689"/>
      <c r="T21" s="2690"/>
      <c r="U21" s="2690"/>
      <c r="V21" s="2690"/>
    </row>
    <row r="22" spans="1:34">
      <c r="A22" s="2673" t="s">
        <v>2593</v>
      </c>
      <c r="B22" s="2694">
        <f t="shared" si="20"/>
        <v>288.2649053828776</v>
      </c>
      <c r="C22" s="2694">
        <f t="shared" si="20"/>
        <v>243.64564425013293</v>
      </c>
      <c r="D22" s="2694">
        <f t="shared" si="11"/>
        <v>243.64564425013293</v>
      </c>
      <c r="E22" s="2694">
        <f t="shared" si="21"/>
        <v>393.31080825986544</v>
      </c>
      <c r="F22" s="2694">
        <f t="shared" si="21"/>
        <v>223.07903790551154</v>
      </c>
      <c r="G22" s="3625"/>
      <c r="H22" s="2679">
        <v>2</v>
      </c>
      <c r="I22" s="2679">
        <v>2.04</v>
      </c>
      <c r="J22" s="2679">
        <v>2.33</v>
      </c>
      <c r="K22" s="2679">
        <v>2.0699999999999998</v>
      </c>
      <c r="L22" s="2696">
        <v>0.69</v>
      </c>
      <c r="N22" s="2689">
        <f t="shared" si="13"/>
        <v>2.0400000000000001E-2</v>
      </c>
      <c r="O22" s="2706">
        <f t="shared" si="8"/>
        <v>2.3300000000000001E-2</v>
      </c>
      <c r="P22" s="2706">
        <f t="shared" si="8"/>
        <v>2.07E-2</v>
      </c>
      <c r="Q22" s="2706">
        <f t="shared" si="8"/>
        <v>6.8999999999999999E-3</v>
      </c>
      <c r="R22" s="2691"/>
      <c r="S22" s="2689"/>
      <c r="T22" s="2690"/>
      <c r="U22" s="2690"/>
      <c r="V22" s="2690"/>
      <c r="X22" s="2725"/>
      <c r="Y22" s="2726"/>
    </row>
    <row r="23" spans="1:34">
      <c r="A23" s="2673" t="s">
        <v>2594</v>
      </c>
      <c r="B23" s="2694">
        <f t="shared" si="20"/>
        <v>282.50186729015837</v>
      </c>
      <c r="C23" s="2694">
        <f t="shared" si="20"/>
        <v>238.09796174155468</v>
      </c>
      <c r="D23" s="2694">
        <f t="shared" si="11"/>
        <v>238.09796174155468</v>
      </c>
      <c r="E23" s="2694">
        <f t="shared" si="21"/>
        <v>385.33438646014054</v>
      </c>
      <c r="F23" s="2694">
        <f t="shared" si="21"/>
        <v>221.55034055567739</v>
      </c>
      <c r="G23" s="3626"/>
      <c r="H23" s="2678">
        <v>1</v>
      </c>
      <c r="I23" s="2678">
        <v>1.67</v>
      </c>
      <c r="J23" s="2678">
        <v>1.31</v>
      </c>
      <c r="K23" s="2678">
        <v>1.85</v>
      </c>
      <c r="L23" s="2695">
        <v>0.96</v>
      </c>
      <c r="N23" s="2697">
        <f t="shared" si="13"/>
        <v>1.67E-2</v>
      </c>
      <c r="O23" s="2698">
        <f t="shared" si="13"/>
        <v>1.3100000000000001E-2</v>
      </c>
      <c r="P23" s="2698">
        <f t="shared" si="13"/>
        <v>1.8500000000000003E-2</v>
      </c>
      <c r="Q23" s="2698">
        <f t="shared" si="13"/>
        <v>9.5999999999999992E-3</v>
      </c>
      <c r="R23" s="2691"/>
      <c r="S23" s="2697">
        <f>B23/B24-1</f>
        <v>1.6193767230785472E-2</v>
      </c>
      <c r="T23" s="2698">
        <f>C23/C24-1</f>
        <v>1.7512657015190891E-2</v>
      </c>
      <c r="U23" s="2698">
        <f>E23/E24-1</f>
        <v>1.6713420739157048E-2</v>
      </c>
      <c r="V23" s="2698">
        <f>F23/F24-1</f>
        <v>7.0470025258062563E-3</v>
      </c>
      <c r="X23" s="2727"/>
      <c r="Y23" s="2672"/>
      <c r="Z23" s="2672"/>
    </row>
    <row r="24" spans="1:34" ht="13.5" thickBot="1">
      <c r="A24" s="2673" t="s">
        <v>2595</v>
      </c>
      <c r="B24" s="2728">
        <v>278</v>
      </c>
      <c r="C24" s="2728">
        <v>234</v>
      </c>
      <c r="D24" s="2728">
        <f t="shared" si="11"/>
        <v>234</v>
      </c>
      <c r="E24" s="2728">
        <v>379</v>
      </c>
      <c r="F24" s="2729">
        <v>220</v>
      </c>
      <c r="G24" s="3619">
        <v>2012</v>
      </c>
      <c r="H24" s="2699">
        <v>4</v>
      </c>
      <c r="I24" s="2699">
        <v>0.91</v>
      </c>
      <c r="J24" s="2699">
        <v>0.68</v>
      </c>
      <c r="K24" s="2699">
        <v>0.98</v>
      </c>
      <c r="L24" s="2700">
        <v>0.9</v>
      </c>
      <c r="N24" s="2689">
        <f t="shared" si="13"/>
        <v>9.1000000000000004E-3</v>
      </c>
      <c r="O24" s="2690">
        <f t="shared" si="13"/>
        <v>6.8000000000000005E-3</v>
      </c>
      <c r="P24" s="2690">
        <f t="shared" si="13"/>
        <v>9.7999999999999997E-3</v>
      </c>
      <c r="Q24" s="2690">
        <f t="shared" si="13"/>
        <v>9.0000000000000011E-3</v>
      </c>
      <c r="R24" s="2691"/>
      <c r="S24" s="2692"/>
      <c r="T24" s="2693"/>
      <c r="U24" s="2693"/>
      <c r="V24" s="2693"/>
      <c r="X24" s="2693"/>
      <c r="Y24" s="2693"/>
      <c r="Z24" s="2693"/>
    </row>
    <row r="25" spans="1:34">
      <c r="A25" s="2673" t="s">
        <v>2596</v>
      </c>
      <c r="B25" s="2694">
        <f>B24/(1+N24)</f>
        <v>275.49301357645425</v>
      </c>
      <c r="C25" s="2694">
        <f>C24/(1+O24)</f>
        <v>232.41954707985698</v>
      </c>
      <c r="D25" s="2694">
        <f t="shared" si="11"/>
        <v>232.41954707985698</v>
      </c>
      <c r="E25" s="2694">
        <f t="shared" ref="E25:F27" si="22">E24/(1+P24)</f>
        <v>375.32184591008121</v>
      </c>
      <c r="F25" s="2694">
        <f t="shared" si="22"/>
        <v>218.03766105054513</v>
      </c>
      <c r="G25" s="3620"/>
      <c r="H25" s="2704">
        <v>3</v>
      </c>
      <c r="I25" s="2704">
        <v>0.09</v>
      </c>
      <c r="J25" s="2704">
        <v>0.28999999999999998</v>
      </c>
      <c r="K25" s="2704">
        <v>-0.01</v>
      </c>
      <c r="L25" s="2705">
        <v>0.57999999999999996</v>
      </c>
      <c r="N25" s="2689">
        <f t="shared" si="13"/>
        <v>8.9999999999999998E-4</v>
      </c>
      <c r="O25" s="2690">
        <f t="shared" si="13"/>
        <v>2.8999999999999998E-3</v>
      </c>
      <c r="P25" s="2690">
        <f t="shared" si="13"/>
        <v>-1E-4</v>
      </c>
      <c r="Q25" s="2690">
        <f t="shared" si="13"/>
        <v>5.7999999999999996E-3</v>
      </c>
      <c r="R25" s="2691"/>
      <c r="S25" s="2689"/>
      <c r="T25" s="2690"/>
      <c r="U25" s="2690"/>
      <c r="V25" s="2690"/>
    </row>
    <row r="26" spans="1:34">
      <c r="A26" s="2673" t="s">
        <v>2597</v>
      </c>
      <c r="B26" s="2694">
        <f>B25/(1+N25)</f>
        <v>275.24529281292263</v>
      </c>
      <c r="C26" s="2694">
        <f>C25/(1+O25)</f>
        <v>231.74747938962707</v>
      </c>
      <c r="D26" s="2694">
        <f t="shared" si="11"/>
        <v>231.74747938962707</v>
      </c>
      <c r="E26" s="2694">
        <f t="shared" si="22"/>
        <v>375.35938184826603</v>
      </c>
      <c r="F26" s="2694">
        <f t="shared" si="22"/>
        <v>216.78033510692495</v>
      </c>
      <c r="G26" s="3620"/>
      <c r="H26" s="2679">
        <v>2</v>
      </c>
      <c r="I26" s="2679">
        <v>0.02</v>
      </c>
      <c r="J26" s="2679">
        <v>0.12</v>
      </c>
      <c r="K26" s="2679">
        <v>-0.08</v>
      </c>
      <c r="L26" s="2696">
        <v>1.24</v>
      </c>
      <c r="N26" s="2689">
        <f t="shared" si="13"/>
        <v>2.0000000000000001E-4</v>
      </c>
      <c r="O26" s="2690">
        <f t="shared" si="13"/>
        <v>1.1999999999999999E-3</v>
      </c>
      <c r="P26" s="2690">
        <f t="shared" si="13"/>
        <v>-8.0000000000000004E-4</v>
      </c>
      <c r="Q26" s="2690">
        <f t="shared" si="13"/>
        <v>1.24E-2</v>
      </c>
      <c r="R26" s="2691"/>
      <c r="S26" s="2689"/>
      <c r="T26" s="2690"/>
      <c r="U26" s="2690"/>
      <c r="V26" s="2690"/>
    </row>
    <row r="27" spans="1:34" ht="13.5" thickBot="1">
      <c r="A27" s="2673" t="s">
        <v>2598</v>
      </c>
      <c r="B27" s="2694">
        <f>B26/(1+N26)</f>
        <v>275.19025476197027</v>
      </c>
      <c r="C27" s="2730">
        <v>232</v>
      </c>
      <c r="D27" s="2730">
        <f t="shared" si="11"/>
        <v>232</v>
      </c>
      <c r="E27" s="2694">
        <f t="shared" si="22"/>
        <v>375.65990977608692</v>
      </c>
      <c r="F27" s="2694">
        <f t="shared" si="22"/>
        <v>214.12518283971252</v>
      </c>
      <c r="G27" s="3621"/>
      <c r="H27" s="2678">
        <v>1</v>
      </c>
      <c r="I27" s="2678">
        <v>0.02</v>
      </c>
      <c r="J27" s="2678">
        <v>0.13</v>
      </c>
      <c r="K27" s="2678">
        <v>-0.04</v>
      </c>
      <c r="L27" s="2695">
        <v>0.46</v>
      </c>
      <c r="N27" s="2689">
        <f t="shared" si="13"/>
        <v>2.0000000000000001E-4</v>
      </c>
      <c r="O27" s="2690">
        <f t="shared" si="13"/>
        <v>1.2999999999999999E-3</v>
      </c>
      <c r="P27" s="2690">
        <f t="shared" si="13"/>
        <v>-4.0000000000000002E-4</v>
      </c>
      <c r="Q27" s="2690">
        <f t="shared" si="13"/>
        <v>4.5999999999999999E-3</v>
      </c>
      <c r="R27" s="2691"/>
      <c r="S27" s="2697">
        <f>B27/B28-1</f>
        <v>6.9183549807361189E-4</v>
      </c>
      <c r="T27" s="2698">
        <f>C27/C28-1</f>
        <v>0</v>
      </c>
      <c r="U27" s="2698">
        <f>E27/E28-1</f>
        <v>-9.0449527636460303E-4</v>
      </c>
      <c r="V27" s="2698">
        <f>F27/F28-1</f>
        <v>5.2825485432512753E-3</v>
      </c>
      <c r="X27" s="2672"/>
      <c r="Y27" s="2672"/>
      <c r="Z27" s="2672"/>
    </row>
    <row r="28" spans="1:34" ht="13.5" thickBot="1">
      <c r="A28" s="2673" t="s">
        <v>2599</v>
      </c>
      <c r="B28" s="2686">
        <v>275</v>
      </c>
      <c r="C28" s="2686">
        <v>232</v>
      </c>
      <c r="D28" s="2686">
        <f t="shared" si="11"/>
        <v>232</v>
      </c>
      <c r="E28" s="2686">
        <v>376</v>
      </c>
      <c r="F28" s="2687">
        <v>213</v>
      </c>
      <c r="G28" s="3619">
        <v>2011</v>
      </c>
      <c r="H28" s="2699">
        <v>4</v>
      </c>
      <c r="I28" s="2699">
        <v>-0.2</v>
      </c>
      <c r="J28" s="2699">
        <v>0.04</v>
      </c>
      <c r="K28" s="2699">
        <v>-0.34</v>
      </c>
      <c r="L28" s="2700">
        <v>0.46</v>
      </c>
      <c r="N28" s="2701">
        <f t="shared" si="13"/>
        <v>-2E-3</v>
      </c>
      <c r="O28" s="2702">
        <f t="shared" si="13"/>
        <v>4.0000000000000002E-4</v>
      </c>
      <c r="P28" s="2702">
        <f t="shared" si="13"/>
        <v>-3.4000000000000002E-3</v>
      </c>
      <c r="Q28" s="2702">
        <f t="shared" si="13"/>
        <v>4.5999999999999999E-3</v>
      </c>
      <c r="R28" s="2691"/>
      <c r="S28" s="2692"/>
      <c r="T28" s="2693"/>
      <c r="U28" s="2693"/>
      <c r="V28" s="2693"/>
      <c r="X28" s="2693"/>
      <c r="Y28" s="2693"/>
      <c r="Z28" s="2693"/>
    </row>
    <row r="29" spans="1:34">
      <c r="A29" s="2673" t="s">
        <v>2600</v>
      </c>
      <c r="B29" s="2694">
        <f t="shared" ref="B29:C31" si="23">B28/(1+N28)</f>
        <v>275.55110220440883</v>
      </c>
      <c r="C29" s="2694">
        <f t="shared" si="23"/>
        <v>231.90723710515795</v>
      </c>
      <c r="D29" s="2694">
        <f t="shared" si="11"/>
        <v>231.90723710515795</v>
      </c>
      <c r="E29" s="2694">
        <f t="shared" ref="E29:F31" si="24">E28/(1+P28)</f>
        <v>377.28276138872161</v>
      </c>
      <c r="F29" s="2694">
        <f t="shared" si="24"/>
        <v>212.02468644236512</v>
      </c>
      <c r="G29" s="3620">
        <v>2011</v>
      </c>
      <c r="H29" s="2704">
        <v>3</v>
      </c>
      <c r="I29" s="2704">
        <v>0.13</v>
      </c>
      <c r="J29" s="2704">
        <v>0.75</v>
      </c>
      <c r="K29" s="2704">
        <v>-0.08</v>
      </c>
      <c r="L29" s="2705">
        <v>0.53</v>
      </c>
      <c r="N29" s="2689">
        <f t="shared" si="13"/>
        <v>1.2999999999999999E-3</v>
      </c>
      <c r="O29" s="2706">
        <f t="shared" si="13"/>
        <v>7.4999999999999997E-3</v>
      </c>
      <c r="P29" s="2706">
        <f t="shared" si="13"/>
        <v>-8.0000000000000004E-4</v>
      </c>
      <c r="Q29" s="2706">
        <f t="shared" si="13"/>
        <v>5.3E-3</v>
      </c>
      <c r="R29" s="2691"/>
      <c r="S29" s="2689"/>
      <c r="T29" s="2690"/>
      <c r="U29" s="2690"/>
      <c r="V29" s="2690"/>
    </row>
    <row r="30" spans="1:34">
      <c r="A30" s="2673" t="s">
        <v>2601</v>
      </c>
      <c r="B30" s="2694">
        <f t="shared" si="23"/>
        <v>275.19335084830601</v>
      </c>
      <c r="C30" s="2694">
        <f t="shared" si="23"/>
        <v>230.18088050139744</v>
      </c>
      <c r="D30" s="2694">
        <f t="shared" si="11"/>
        <v>230.18088050139744</v>
      </c>
      <c r="E30" s="2694">
        <f t="shared" si="24"/>
        <v>377.58482925212331</v>
      </c>
      <c r="F30" s="2694">
        <f t="shared" si="24"/>
        <v>210.90687997847917</v>
      </c>
      <c r="G30" s="3620">
        <v>2011</v>
      </c>
      <c r="H30" s="2679">
        <v>2</v>
      </c>
      <c r="I30" s="2679">
        <v>-0.4</v>
      </c>
      <c r="J30" s="2679">
        <v>0.17</v>
      </c>
      <c r="K30" s="2679">
        <v>-0.57999999999999996</v>
      </c>
      <c r="L30" s="2696">
        <v>-0.2</v>
      </c>
      <c r="N30" s="2689">
        <f t="shared" si="13"/>
        <v>-4.0000000000000001E-3</v>
      </c>
      <c r="O30" s="2706">
        <f t="shared" si="13"/>
        <v>1.7000000000000001E-3</v>
      </c>
      <c r="P30" s="2706">
        <f t="shared" si="13"/>
        <v>-5.7999999999999996E-3</v>
      </c>
      <c r="Q30" s="2706">
        <f t="shared" si="13"/>
        <v>-2E-3</v>
      </c>
      <c r="R30" s="2691"/>
      <c r="S30" s="2689"/>
      <c r="T30" s="2690"/>
      <c r="U30" s="2690"/>
      <c r="V30" s="2690"/>
    </row>
    <row r="31" spans="1:34" ht="13.5" thickBot="1">
      <c r="A31" s="2673" t="s">
        <v>2602</v>
      </c>
      <c r="B31" s="2694">
        <f t="shared" si="23"/>
        <v>276.29854502841971</v>
      </c>
      <c r="C31" s="2694">
        <f t="shared" si="23"/>
        <v>229.79023709833027</v>
      </c>
      <c r="D31" s="2694">
        <f t="shared" si="11"/>
        <v>229.79023709833027</v>
      </c>
      <c r="E31" s="2694">
        <f t="shared" si="24"/>
        <v>379.78759731655936</v>
      </c>
      <c r="F31" s="2694">
        <f t="shared" si="24"/>
        <v>211.32953905659235</v>
      </c>
      <c r="G31" s="3621">
        <v>2011</v>
      </c>
      <c r="H31" s="2678">
        <v>1</v>
      </c>
      <c r="I31" s="2678">
        <v>2.65</v>
      </c>
      <c r="J31" s="2678">
        <v>3.76</v>
      </c>
      <c r="K31" s="2678">
        <v>1.89</v>
      </c>
      <c r="L31" s="2695">
        <v>7.95</v>
      </c>
      <c r="N31" s="2697">
        <f t="shared" si="13"/>
        <v>2.6499999999999999E-2</v>
      </c>
      <c r="O31" s="2698">
        <f t="shared" si="13"/>
        <v>3.7599999999999995E-2</v>
      </c>
      <c r="P31" s="2698">
        <f t="shared" si="13"/>
        <v>1.89E-2</v>
      </c>
      <c r="Q31" s="2698">
        <f t="shared" si="13"/>
        <v>7.9500000000000001E-2</v>
      </c>
      <c r="R31" s="2691"/>
      <c r="S31" s="2697">
        <f>B31/B32-1</f>
        <v>2.713213765211786E-2</v>
      </c>
      <c r="T31" s="2698">
        <f>C31/C32-1</f>
        <v>3.9774828499231862E-2</v>
      </c>
      <c r="U31" s="2698">
        <f>E31/E32-1</f>
        <v>1.8197311840641772E-2</v>
      </c>
      <c r="V31" s="2698">
        <f>F31/F32-1</f>
        <v>7.8211933962205826E-2</v>
      </c>
      <c r="X31" s="2672"/>
      <c r="Y31" s="2672"/>
      <c r="Z31" s="2672"/>
    </row>
    <row r="32" spans="1:34" ht="13.5" thickBot="1">
      <c r="A32" s="2673" t="s">
        <v>2603</v>
      </c>
      <c r="B32" s="2686">
        <v>269</v>
      </c>
      <c r="C32" s="2686">
        <v>221</v>
      </c>
      <c r="D32" s="2686">
        <f t="shared" si="11"/>
        <v>221</v>
      </c>
      <c r="E32" s="2686">
        <v>373</v>
      </c>
      <c r="F32" s="2687">
        <v>196</v>
      </c>
      <c r="G32" s="3619">
        <v>2010</v>
      </c>
      <c r="H32" s="2699">
        <v>4</v>
      </c>
      <c r="I32" s="2699">
        <v>5.72</v>
      </c>
      <c r="J32" s="2699">
        <v>6.57</v>
      </c>
      <c r="K32" s="2699">
        <v>5.72</v>
      </c>
      <c r="L32" s="2700">
        <v>2.72</v>
      </c>
      <c r="N32" s="2689">
        <f t="shared" si="13"/>
        <v>5.7200000000000001E-2</v>
      </c>
      <c r="O32" s="2690">
        <f t="shared" si="13"/>
        <v>6.5700000000000008E-2</v>
      </c>
      <c r="P32" s="2690">
        <f t="shared" si="13"/>
        <v>5.7200000000000001E-2</v>
      </c>
      <c r="Q32" s="2690">
        <f t="shared" si="13"/>
        <v>2.7200000000000002E-2</v>
      </c>
      <c r="R32" s="2691"/>
      <c r="S32" s="2692"/>
      <c r="T32" s="2693"/>
      <c r="U32" s="2693"/>
      <c r="V32" s="2693"/>
      <c r="X32" s="2693"/>
      <c r="Y32" s="2693"/>
      <c r="Z32" s="2693"/>
    </row>
    <row r="33" spans="1:26">
      <c r="A33" s="2673" t="s">
        <v>2604</v>
      </c>
      <c r="B33" s="2694">
        <f t="shared" ref="B33:C35" si="25">B32/(1+N32)</f>
        <v>254.44570563753314</v>
      </c>
      <c r="C33" s="2694">
        <f t="shared" si="25"/>
        <v>207.37543398705074</v>
      </c>
      <c r="D33" s="2694">
        <f t="shared" si="11"/>
        <v>207.37543398705074</v>
      </c>
      <c r="E33" s="2694">
        <f t="shared" ref="E33:F35" si="26">E32/(1+P32)</f>
        <v>352.81876655315932</v>
      </c>
      <c r="F33" s="2694">
        <f t="shared" si="26"/>
        <v>190.809968847352</v>
      </c>
      <c r="G33" s="3620">
        <v>2010</v>
      </c>
      <c r="H33" s="2704">
        <v>3</v>
      </c>
      <c r="I33" s="2704">
        <v>4.7300000000000004</v>
      </c>
      <c r="J33" s="2704">
        <v>3.9</v>
      </c>
      <c r="K33" s="2704">
        <v>5.03</v>
      </c>
      <c r="L33" s="2705">
        <v>4.21</v>
      </c>
      <c r="N33" s="2689">
        <f t="shared" si="13"/>
        <v>4.7300000000000002E-2</v>
      </c>
      <c r="O33" s="2690">
        <f t="shared" si="13"/>
        <v>3.9E-2</v>
      </c>
      <c r="P33" s="2690">
        <f t="shared" si="13"/>
        <v>5.0300000000000004E-2</v>
      </c>
      <c r="Q33" s="2690">
        <f t="shared" si="13"/>
        <v>4.2099999999999999E-2</v>
      </c>
      <c r="R33" s="2691"/>
      <c r="S33" s="2689"/>
      <c r="T33" s="2690"/>
      <c r="U33" s="2690"/>
      <c r="V33" s="2690"/>
    </row>
    <row r="34" spans="1:26">
      <c r="A34" s="2673" t="s">
        <v>2605</v>
      </c>
      <c r="B34" s="2694">
        <f t="shared" si="25"/>
        <v>242.95398227588385</v>
      </c>
      <c r="C34" s="2694">
        <f t="shared" si="25"/>
        <v>199.59137053614126</v>
      </c>
      <c r="D34" s="2694">
        <f t="shared" si="11"/>
        <v>199.59137053614126</v>
      </c>
      <c r="E34" s="2694">
        <f t="shared" si="26"/>
        <v>335.92189522342125</v>
      </c>
      <c r="F34" s="2694">
        <f t="shared" si="26"/>
        <v>183.10139991109489</v>
      </c>
      <c r="G34" s="3620">
        <v>2010</v>
      </c>
      <c r="H34" s="2679">
        <v>2</v>
      </c>
      <c r="I34" s="2679">
        <v>4.6900000000000004</v>
      </c>
      <c r="J34" s="2679">
        <v>3.55</v>
      </c>
      <c r="K34" s="2679">
        <v>5.07</v>
      </c>
      <c r="L34" s="2696">
        <v>4.2300000000000004</v>
      </c>
      <c r="N34" s="2689">
        <f t="shared" si="13"/>
        <v>4.6900000000000004E-2</v>
      </c>
      <c r="O34" s="2690">
        <f t="shared" si="13"/>
        <v>3.5499999999999997E-2</v>
      </c>
      <c r="P34" s="2690">
        <f t="shared" si="13"/>
        <v>5.0700000000000002E-2</v>
      </c>
      <c r="Q34" s="2690">
        <f t="shared" si="13"/>
        <v>4.2300000000000004E-2</v>
      </c>
      <c r="R34" s="2691"/>
      <c r="S34" s="2689"/>
      <c r="T34" s="2690"/>
      <c r="U34" s="2690"/>
      <c r="V34" s="2690"/>
    </row>
    <row r="35" spans="1:26" ht="13.5" thickBot="1">
      <c r="A35" s="2673" t="s">
        <v>2606</v>
      </c>
      <c r="B35" s="2694">
        <f t="shared" si="25"/>
        <v>232.06990378821649</v>
      </c>
      <c r="C35" s="2694">
        <f t="shared" si="25"/>
        <v>192.74878854286936</v>
      </c>
      <c r="D35" s="2694">
        <f t="shared" si="11"/>
        <v>192.74878854286936</v>
      </c>
      <c r="E35" s="2694">
        <f t="shared" si="26"/>
        <v>319.71247284992984</v>
      </c>
      <c r="F35" s="2694">
        <f t="shared" si="26"/>
        <v>175.67053622862409</v>
      </c>
      <c r="G35" s="3621">
        <v>2010</v>
      </c>
      <c r="H35" s="2678">
        <v>1</v>
      </c>
      <c r="I35" s="2678">
        <v>5.4</v>
      </c>
      <c r="J35" s="2678">
        <v>3.2</v>
      </c>
      <c r="K35" s="2678">
        <v>6.16</v>
      </c>
      <c r="L35" s="2695">
        <v>4.51</v>
      </c>
      <c r="N35" s="2689">
        <f t="shared" si="13"/>
        <v>5.4000000000000006E-2</v>
      </c>
      <c r="O35" s="2690">
        <f t="shared" si="13"/>
        <v>3.2000000000000001E-2</v>
      </c>
      <c r="P35" s="2690">
        <f t="shared" si="13"/>
        <v>6.1600000000000002E-2</v>
      </c>
      <c r="Q35" s="2690">
        <f t="shared" si="13"/>
        <v>4.5100000000000001E-2</v>
      </c>
      <c r="R35" s="2691"/>
      <c r="S35" s="2697">
        <f>B35/B36-1</f>
        <v>5.4863199037347599E-2</v>
      </c>
      <c r="T35" s="2698">
        <f>C35/C36-1</f>
        <v>3.0742184721226584E-2</v>
      </c>
      <c r="U35" s="2698">
        <f>E35/E36-1</f>
        <v>6.2167683886810154E-2</v>
      </c>
      <c r="V35" s="2698">
        <f>F35/F36-1</f>
        <v>4.5657953741810031E-2</v>
      </c>
      <c r="X35" s="2672"/>
      <c r="Y35" s="2672"/>
      <c r="Z35" s="2672"/>
    </row>
    <row r="36" spans="1:26" ht="13.5" thickBot="1">
      <c r="A36" s="2673" t="s">
        <v>2607</v>
      </c>
      <c r="B36" s="2686">
        <v>220</v>
      </c>
      <c r="C36" s="2686">
        <v>187</v>
      </c>
      <c r="D36" s="2686">
        <f t="shared" si="11"/>
        <v>187</v>
      </c>
      <c r="E36" s="2686">
        <v>301</v>
      </c>
      <c r="F36" s="2687">
        <v>168</v>
      </c>
      <c r="G36" s="3619">
        <v>2009</v>
      </c>
      <c r="H36" s="2699">
        <v>4</v>
      </c>
      <c r="I36" s="2699">
        <v>2.2999999999999998</v>
      </c>
      <c r="J36" s="2699">
        <v>1.04</v>
      </c>
      <c r="K36" s="2699">
        <v>2.84</v>
      </c>
      <c r="L36" s="2700">
        <v>0.67</v>
      </c>
      <c r="N36" s="2701">
        <f t="shared" si="13"/>
        <v>2.3E-2</v>
      </c>
      <c r="O36" s="2702">
        <f t="shared" si="13"/>
        <v>1.04E-2</v>
      </c>
      <c r="P36" s="2702">
        <f t="shared" si="13"/>
        <v>2.8399999999999998E-2</v>
      </c>
      <c r="Q36" s="2702">
        <f t="shared" si="13"/>
        <v>6.7000000000000002E-3</v>
      </c>
      <c r="R36" s="2691"/>
      <c r="S36" s="2692"/>
      <c r="T36" s="2693"/>
      <c r="U36" s="2693"/>
      <c r="V36" s="2693"/>
      <c r="X36" s="2693"/>
      <c r="Y36" s="2693"/>
      <c r="Z36" s="2693"/>
    </row>
    <row r="37" spans="1:26">
      <c r="A37" s="2673" t="s">
        <v>2608</v>
      </c>
      <c r="B37" s="2694">
        <f t="shared" ref="B37:C39" si="27">B36/(1+N36)</f>
        <v>215.05376344086022</v>
      </c>
      <c r="C37" s="2694">
        <f t="shared" si="27"/>
        <v>185.0752177355503</v>
      </c>
      <c r="D37" s="2694">
        <f t="shared" si="11"/>
        <v>185.0752177355503</v>
      </c>
      <c r="E37" s="2694">
        <f t="shared" ref="E37:F39" si="28">E36/(1+P36)</f>
        <v>292.68767016725008</v>
      </c>
      <c r="F37" s="2694">
        <f t="shared" si="28"/>
        <v>166.88189132810174</v>
      </c>
      <c r="G37" s="3620">
        <v>2009</v>
      </c>
      <c r="H37" s="2704">
        <v>3</v>
      </c>
      <c r="I37" s="2704">
        <v>2.1</v>
      </c>
      <c r="J37" s="2704">
        <v>1.86</v>
      </c>
      <c r="K37" s="2704">
        <v>2.29</v>
      </c>
      <c r="L37" s="2705">
        <v>0.85</v>
      </c>
      <c r="N37" s="2689">
        <f t="shared" si="13"/>
        <v>2.1000000000000001E-2</v>
      </c>
      <c r="O37" s="2706">
        <f t="shared" si="13"/>
        <v>1.8600000000000002E-2</v>
      </c>
      <c r="P37" s="2706">
        <f t="shared" si="13"/>
        <v>2.29E-2</v>
      </c>
      <c r="Q37" s="2706">
        <f t="shared" si="13"/>
        <v>8.5000000000000006E-3</v>
      </c>
      <c r="R37" s="2691"/>
      <c r="S37" s="2689"/>
      <c r="T37" s="2690"/>
      <c r="U37" s="2690"/>
      <c r="V37" s="2690"/>
    </row>
    <row r="38" spans="1:26">
      <c r="A38" s="2673" t="s">
        <v>2609</v>
      </c>
      <c r="B38" s="2694">
        <f t="shared" si="27"/>
        <v>210.630522469011</v>
      </c>
      <c r="C38" s="2694">
        <f t="shared" si="27"/>
        <v>181.69567812247232</v>
      </c>
      <c r="D38" s="2694">
        <f t="shared" si="11"/>
        <v>181.69567812247232</v>
      </c>
      <c r="E38" s="2694">
        <f t="shared" si="28"/>
        <v>286.13517466736738</v>
      </c>
      <c r="F38" s="2694">
        <f t="shared" si="28"/>
        <v>165.47535084591149</v>
      </c>
      <c r="G38" s="3620">
        <v>2009</v>
      </c>
      <c r="H38" s="2679">
        <v>2</v>
      </c>
      <c r="I38" s="2679">
        <v>0.86</v>
      </c>
      <c r="J38" s="2679">
        <v>-1.1299999999999999</v>
      </c>
      <c r="K38" s="2679">
        <v>1.79</v>
      </c>
      <c r="L38" s="2696">
        <v>-2.0699999999999998</v>
      </c>
      <c r="N38" s="2689">
        <f t="shared" si="13"/>
        <v>8.6E-3</v>
      </c>
      <c r="O38" s="2706">
        <f t="shared" si="13"/>
        <v>-1.1299999999999999E-2</v>
      </c>
      <c r="P38" s="2706">
        <f t="shared" si="13"/>
        <v>1.7899999999999999E-2</v>
      </c>
      <c r="Q38" s="2706">
        <f t="shared" si="13"/>
        <v>-2.07E-2</v>
      </c>
      <c r="R38" s="2691"/>
      <c r="S38" s="2689"/>
      <c r="T38" s="2690"/>
      <c r="U38" s="2690"/>
      <c r="V38" s="2690"/>
    </row>
    <row r="39" spans="1:26">
      <c r="A39" s="2673" t="s">
        <v>2610</v>
      </c>
      <c r="B39" s="2694">
        <f t="shared" si="27"/>
        <v>208.83454537875372</v>
      </c>
      <c r="C39" s="2694">
        <f t="shared" si="27"/>
        <v>183.77230517090351</v>
      </c>
      <c r="D39" s="2694">
        <f t="shared" si="11"/>
        <v>183.77230517090351</v>
      </c>
      <c r="E39" s="2694">
        <f t="shared" si="28"/>
        <v>281.10342338870947</v>
      </c>
      <c r="F39" s="2694">
        <f t="shared" si="28"/>
        <v>168.97309388942256</v>
      </c>
      <c r="G39" s="3621">
        <v>2009</v>
      </c>
      <c r="H39" s="2678">
        <v>1</v>
      </c>
      <c r="I39" s="2678">
        <v>-2.64</v>
      </c>
      <c r="J39" s="2678">
        <v>-2.5299999999999998</v>
      </c>
      <c r="K39" s="2678">
        <v>-3.02</v>
      </c>
      <c r="L39" s="2695">
        <v>1.52</v>
      </c>
      <c r="N39" s="2697">
        <f t="shared" si="13"/>
        <v>-2.64E-2</v>
      </c>
      <c r="O39" s="2698">
        <f t="shared" si="13"/>
        <v>-2.53E-2</v>
      </c>
      <c r="P39" s="2698">
        <f t="shared" si="13"/>
        <v>-3.0200000000000001E-2</v>
      </c>
      <c r="Q39" s="2698">
        <f t="shared" si="13"/>
        <v>1.52E-2</v>
      </c>
      <c r="R39" s="2691"/>
      <c r="S39" s="2697">
        <f>B39/B40-1</f>
        <v>-2.4137638417038754E-2</v>
      </c>
      <c r="T39" s="2698">
        <f>C39/C40-1</f>
        <v>-2.248773845264096E-2</v>
      </c>
      <c r="U39" s="2698">
        <f>E39/E40-1</f>
        <v>-2.7323794502735366E-2</v>
      </c>
      <c r="V39" s="2698">
        <f>F39/F40-1</f>
        <v>1.7910204153148035E-2</v>
      </c>
      <c r="X39" s="2672"/>
      <c r="Y39" s="2672"/>
      <c r="Z39" s="2672"/>
    </row>
    <row r="40" spans="1:26" ht="13.5" thickBot="1">
      <c r="A40" s="2673" t="s">
        <v>2611</v>
      </c>
      <c r="B40" s="2728">
        <v>214</v>
      </c>
      <c r="C40" s="2728">
        <v>188</v>
      </c>
      <c r="D40" s="2728">
        <f t="shared" si="11"/>
        <v>188</v>
      </c>
      <c r="E40" s="2728">
        <v>289</v>
      </c>
      <c r="F40" s="2729">
        <v>166</v>
      </c>
      <c r="G40" s="3619">
        <v>2008</v>
      </c>
      <c r="H40" s="2699">
        <v>4</v>
      </c>
      <c r="I40" s="2699">
        <v>1.73</v>
      </c>
      <c r="J40" s="2699">
        <v>0.03</v>
      </c>
      <c r="K40" s="2699">
        <v>2.59</v>
      </c>
      <c r="L40" s="2700">
        <v>-1.66</v>
      </c>
      <c r="N40" s="2689">
        <f t="shared" si="13"/>
        <v>1.7299999999999999E-2</v>
      </c>
      <c r="O40" s="2690">
        <f t="shared" si="13"/>
        <v>2.9999999999999997E-4</v>
      </c>
      <c r="P40" s="2690">
        <f t="shared" si="13"/>
        <v>2.5899999999999999E-2</v>
      </c>
      <c r="Q40" s="2690">
        <f t="shared" si="13"/>
        <v>-1.66E-2</v>
      </c>
      <c r="R40" s="2691"/>
      <c r="S40" s="2692"/>
      <c r="T40" s="2693"/>
      <c r="U40" s="2693"/>
      <c r="V40" s="2693"/>
      <c r="X40" s="2693"/>
      <c r="Y40" s="2693"/>
      <c r="Z40" s="2693"/>
    </row>
    <row r="41" spans="1:26">
      <c r="A41" s="2673" t="s">
        <v>2612</v>
      </c>
      <c r="B41" s="2694">
        <f t="shared" ref="B41:C43" si="29">B40/(1+N40)</f>
        <v>210.36075887152265</v>
      </c>
      <c r="C41" s="2694">
        <f t="shared" si="29"/>
        <v>187.94361691492554</v>
      </c>
      <c r="D41" s="2694">
        <f t="shared" si="11"/>
        <v>187.94361691492554</v>
      </c>
      <c r="E41" s="2694">
        <f t="shared" ref="E41:F43" si="30">E40/(1+P40)</f>
        <v>281.70386977288234</v>
      </c>
      <c r="F41" s="2694">
        <f t="shared" si="30"/>
        <v>168.80211511083994</v>
      </c>
      <c r="G41" s="3620">
        <v>2008</v>
      </c>
      <c r="H41" s="2704">
        <v>3</v>
      </c>
      <c r="I41" s="2704">
        <v>1.96</v>
      </c>
      <c r="J41" s="2704">
        <v>2.36</v>
      </c>
      <c r="K41" s="2704">
        <v>1.82</v>
      </c>
      <c r="L41" s="2705">
        <v>2.2200000000000002</v>
      </c>
      <c r="N41" s="2689">
        <f t="shared" si="13"/>
        <v>1.9599999999999999E-2</v>
      </c>
      <c r="O41" s="2690">
        <f t="shared" si="13"/>
        <v>2.3599999999999999E-2</v>
      </c>
      <c r="P41" s="2690">
        <f t="shared" si="13"/>
        <v>1.8200000000000001E-2</v>
      </c>
      <c r="Q41" s="2690">
        <f t="shared" si="13"/>
        <v>2.2200000000000001E-2</v>
      </c>
      <c r="R41" s="2691"/>
      <c r="S41" s="2689"/>
      <c r="T41" s="2690"/>
      <c r="U41" s="2690"/>
      <c r="V41" s="2690"/>
    </row>
    <row r="42" spans="1:26">
      <c r="A42" s="2673" t="s">
        <v>2613</v>
      </c>
      <c r="B42" s="2694">
        <f t="shared" si="29"/>
        <v>206.31694671589116</v>
      </c>
      <c r="C42" s="2694">
        <f t="shared" si="29"/>
        <v>183.61041121036101</v>
      </c>
      <c r="D42" s="2694">
        <f t="shared" si="11"/>
        <v>183.61041121036101</v>
      </c>
      <c r="E42" s="2694">
        <f t="shared" si="30"/>
        <v>276.66850301795557</v>
      </c>
      <c r="F42" s="2694">
        <f t="shared" si="30"/>
        <v>165.1360938278614</v>
      </c>
      <c r="G42" s="3620">
        <v>2008</v>
      </c>
      <c r="H42" s="2679">
        <v>2</v>
      </c>
      <c r="I42" s="2679">
        <v>4.93</v>
      </c>
      <c r="J42" s="2679">
        <v>7.38</v>
      </c>
      <c r="K42" s="2679">
        <v>3.98</v>
      </c>
      <c r="L42" s="2696">
        <v>6.86</v>
      </c>
      <c r="N42" s="2689">
        <f t="shared" si="13"/>
        <v>4.9299999999999997E-2</v>
      </c>
      <c r="O42" s="2690">
        <f t="shared" si="13"/>
        <v>7.3800000000000004E-2</v>
      </c>
      <c r="P42" s="2690">
        <f t="shared" si="13"/>
        <v>3.9800000000000002E-2</v>
      </c>
      <c r="Q42" s="2690">
        <f t="shared" si="13"/>
        <v>6.8600000000000008E-2</v>
      </c>
      <c r="R42" s="2691"/>
      <c r="S42" s="2689"/>
      <c r="T42" s="2690"/>
      <c r="U42" s="2690"/>
      <c r="V42" s="2690"/>
    </row>
    <row r="43" spans="1:26" s="2734" customFormat="1" ht="13.5" thickBot="1">
      <c r="A43" s="2673" t="s">
        <v>2614</v>
      </c>
      <c r="B43" s="2731">
        <f t="shared" si="29"/>
        <v>196.62341248059772</v>
      </c>
      <c r="C43" s="2731">
        <f t="shared" si="29"/>
        <v>170.99125648199012</v>
      </c>
      <c r="D43" s="2731">
        <f t="shared" si="11"/>
        <v>170.99125648199012</v>
      </c>
      <c r="E43" s="2731">
        <f t="shared" si="30"/>
        <v>266.07857570490052</v>
      </c>
      <c r="F43" s="2731">
        <f t="shared" si="30"/>
        <v>154.53499328828505</v>
      </c>
      <c r="G43" s="3621">
        <v>2008</v>
      </c>
      <c r="H43" s="2732">
        <v>1</v>
      </c>
      <c r="I43" s="2732">
        <v>4.1399999999999997</v>
      </c>
      <c r="J43" s="2732">
        <v>3.45</v>
      </c>
      <c r="K43" s="2732">
        <v>4.95</v>
      </c>
      <c r="L43" s="2733">
        <v>4.82</v>
      </c>
      <c r="N43" s="2735">
        <f t="shared" si="13"/>
        <v>4.1399999999999999E-2</v>
      </c>
      <c r="O43" s="2736">
        <f t="shared" si="13"/>
        <v>3.4500000000000003E-2</v>
      </c>
      <c r="P43" s="2736">
        <f t="shared" si="13"/>
        <v>4.9500000000000002E-2</v>
      </c>
      <c r="Q43" s="2736">
        <f t="shared" si="13"/>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73" t="s">
        <v>2615</v>
      </c>
      <c r="B44" s="2686">
        <v>188</v>
      </c>
      <c r="C44" s="2686">
        <v>165</v>
      </c>
      <c r="D44" s="2686">
        <f t="shared" si="11"/>
        <v>165</v>
      </c>
      <c r="E44" s="2686">
        <v>254</v>
      </c>
      <c r="F44" s="2687">
        <v>148</v>
      </c>
      <c r="G44" s="3619">
        <v>2007</v>
      </c>
      <c r="H44" s="2739">
        <v>4</v>
      </c>
      <c r="I44" s="2739">
        <v>5.51</v>
      </c>
      <c r="J44" s="2739">
        <v>4.8899999999999997</v>
      </c>
      <c r="K44" s="2739">
        <v>6.43</v>
      </c>
      <c r="L44" s="2740">
        <v>5.36</v>
      </c>
      <c r="N44" s="2741">
        <f t="shared" ref="N44:O47" si="31">B44/B45-1</f>
        <v>4.1339718365245526E-2</v>
      </c>
      <c r="O44" s="2742">
        <f t="shared" si="31"/>
        <v>4.0324492593776018E-2</v>
      </c>
      <c r="P44" s="2742">
        <f t="shared" ref="P44:Q47" si="32">E44/E45-1</f>
        <v>6.1625555347990968E-2</v>
      </c>
      <c r="Q44" s="2742">
        <f t="shared" si="32"/>
        <v>4.6757569250590603E-2</v>
      </c>
      <c r="R44" s="2691"/>
      <c r="S44" s="2692"/>
      <c r="T44" s="2693"/>
      <c r="U44" s="2693"/>
      <c r="V44" s="2693"/>
      <c r="X44" s="2693"/>
      <c r="Y44" s="2693"/>
      <c r="Z44" s="2693"/>
    </row>
    <row r="45" spans="1:26">
      <c r="A45" s="2673" t="s">
        <v>2616</v>
      </c>
      <c r="B45" s="2694">
        <f t="shared" ref="B45:C47" si="33">B46+(B$44-B$48)*I45/SUM(I$44:I$47)</f>
        <v>180.5366651097618</v>
      </c>
      <c r="C45" s="2694">
        <f t="shared" si="33"/>
        <v>158.60435967302453</v>
      </c>
      <c r="D45" s="2694">
        <f t="shared" si="11"/>
        <v>158.60435967302453</v>
      </c>
      <c r="E45" s="2694">
        <f t="shared" ref="E45:F47" si="34">E46+(E$44-E$48)*K45/SUM(K$44:K$47)</f>
        <v>239.25573260785075</v>
      </c>
      <c r="F45" s="2694">
        <f t="shared" si="34"/>
        <v>141.38899430740037</v>
      </c>
      <c r="G45" s="3620">
        <v>2007</v>
      </c>
      <c r="H45" s="2704">
        <v>3</v>
      </c>
      <c r="I45" s="2704">
        <v>8.65</v>
      </c>
      <c r="J45" s="2704">
        <v>8.06</v>
      </c>
      <c r="K45" s="2704">
        <v>9.94</v>
      </c>
      <c r="L45" s="2705">
        <v>5.8</v>
      </c>
      <c r="N45" s="2741">
        <f t="shared" si="31"/>
        <v>6.940217571740015E-2</v>
      </c>
      <c r="O45" s="2742">
        <f t="shared" si="31"/>
        <v>7.1197482471153428E-2</v>
      </c>
      <c r="P45" s="2742">
        <f t="shared" si="32"/>
        <v>0.10529679922579582</v>
      </c>
      <c r="Q45" s="2742">
        <f t="shared" si="32"/>
        <v>5.3292245059512133E-2</v>
      </c>
      <c r="R45" s="2691"/>
      <c r="S45" s="2689"/>
      <c r="T45" s="2690"/>
      <c r="U45" s="2690"/>
      <c r="V45" s="2690"/>
      <c r="X45" s="2743"/>
      <c r="Y45" s="2743"/>
      <c r="Z45" s="2743"/>
    </row>
    <row r="46" spans="1:26">
      <c r="A46" s="2673" t="s">
        <v>2617</v>
      </c>
      <c r="B46" s="2694">
        <f t="shared" si="33"/>
        <v>168.82017748715555</v>
      </c>
      <c r="C46" s="2694">
        <f t="shared" si="33"/>
        <v>148.06267029972753</v>
      </c>
      <c r="D46" s="2694">
        <f t="shared" si="11"/>
        <v>148.06267029972753</v>
      </c>
      <c r="E46" s="2694">
        <f t="shared" si="34"/>
        <v>216.46288379323747</v>
      </c>
      <c r="F46" s="2694">
        <f t="shared" si="34"/>
        <v>134.23529411764704</v>
      </c>
      <c r="G46" s="3620">
        <v>2007</v>
      </c>
      <c r="H46" s="2679">
        <v>2</v>
      </c>
      <c r="I46" s="2679">
        <v>3.67</v>
      </c>
      <c r="J46" s="2679">
        <v>2.3199999999999998</v>
      </c>
      <c r="K46" s="2679">
        <v>5.0199999999999996</v>
      </c>
      <c r="L46" s="2696">
        <v>6.71</v>
      </c>
      <c r="N46" s="2741">
        <f t="shared" si="31"/>
        <v>3.0339138143848032E-2</v>
      </c>
      <c r="O46" s="2742">
        <f t="shared" si="31"/>
        <v>2.0922341588790472E-2</v>
      </c>
      <c r="P46" s="2742">
        <f t="shared" si="32"/>
        <v>5.6164796592717003E-2</v>
      </c>
      <c r="Q46" s="2742">
        <f t="shared" si="32"/>
        <v>6.5704536723887319E-2</v>
      </c>
      <c r="R46" s="2691"/>
      <c r="S46" s="2689"/>
      <c r="T46" s="2690"/>
      <c r="U46" s="2690"/>
      <c r="V46" s="2690"/>
      <c r="X46" s="2743"/>
      <c r="Y46" s="2743"/>
      <c r="Z46" s="2743"/>
    </row>
    <row r="47" spans="1:26">
      <c r="A47" s="2673" t="s">
        <v>2618</v>
      </c>
      <c r="B47" s="2694">
        <f t="shared" si="33"/>
        <v>163.84913591779542</v>
      </c>
      <c r="C47" s="2694">
        <f t="shared" si="33"/>
        <v>145.0283378746594</v>
      </c>
      <c r="D47" s="2694">
        <f t="shared" si="11"/>
        <v>145.0283378746594</v>
      </c>
      <c r="E47" s="2694">
        <f t="shared" si="34"/>
        <v>204.95180722891567</v>
      </c>
      <c r="F47" s="2694">
        <f t="shared" si="34"/>
        <v>125.95920303605313</v>
      </c>
      <c r="G47" s="3621">
        <v>2007</v>
      </c>
      <c r="H47" s="2678">
        <v>1</v>
      </c>
      <c r="I47" s="2678">
        <v>3.58</v>
      </c>
      <c r="J47" s="2678">
        <v>3.08</v>
      </c>
      <c r="K47" s="2678">
        <v>4.34</v>
      </c>
      <c r="L47" s="2695">
        <v>3.21</v>
      </c>
      <c r="N47" s="2744">
        <f t="shared" si="31"/>
        <v>3.0497710174814063E-2</v>
      </c>
      <c r="O47" s="2745">
        <f t="shared" si="31"/>
        <v>2.8569772160704998E-2</v>
      </c>
      <c r="P47" s="2745">
        <f t="shared" si="32"/>
        <v>5.1034908866234296E-2</v>
      </c>
      <c r="Q47" s="2745">
        <f t="shared" si="32"/>
        <v>3.245248390207478E-2</v>
      </c>
      <c r="R47" s="2691"/>
      <c r="S47" s="2697">
        <f>B47/B48-1</f>
        <v>3.0497710174814063E-2</v>
      </c>
      <c r="T47" s="2698">
        <f>C47/C48-1</f>
        <v>2.8569772160704998E-2</v>
      </c>
      <c r="U47" s="2698">
        <f>E47/E48-1</f>
        <v>5.1034908866234296E-2</v>
      </c>
      <c r="V47" s="2698">
        <f>F47/F48-1</f>
        <v>3.245248390207478E-2</v>
      </c>
      <c r="X47" s="2743"/>
      <c r="Y47" s="2743"/>
      <c r="Z47" s="2743"/>
    </row>
    <row r="48" spans="1:26" ht="13.5" thickBot="1">
      <c r="A48" s="2673" t="s">
        <v>2619</v>
      </c>
      <c r="B48" s="2707">
        <v>159</v>
      </c>
      <c r="C48" s="2707">
        <v>141</v>
      </c>
      <c r="D48" s="2707">
        <f t="shared" si="11"/>
        <v>141</v>
      </c>
      <c r="E48" s="2707">
        <v>195</v>
      </c>
      <c r="F48" s="2708">
        <v>122</v>
      </c>
      <c r="G48" s="3619">
        <v>2006</v>
      </c>
      <c r="H48" s="2699">
        <v>4</v>
      </c>
      <c r="I48" s="2699">
        <v>3.79</v>
      </c>
      <c r="J48" s="2699">
        <v>2.21</v>
      </c>
      <c r="K48" s="2699">
        <v>5.65</v>
      </c>
      <c r="L48" s="2700">
        <v>5.41</v>
      </c>
      <c r="N48" s="2741">
        <f t="shared" ref="N48:O51" si="35">I48/SUM(I$48:I$51)*(B$48/B$52-1)</f>
        <v>7.245466462748526E-2</v>
      </c>
      <c r="O48" s="2742">
        <f t="shared" si="35"/>
        <v>2.3237230038062766E-2</v>
      </c>
      <c r="P48" s="2742">
        <f t="shared" ref="P48:Q51" si="36">K48/SUM(K$48:K$51)*(E$48/E$52-1)</f>
        <v>0.16146893866323722</v>
      </c>
      <c r="Q48" s="2742">
        <f t="shared" si="36"/>
        <v>5.0755230321793784E-2</v>
      </c>
      <c r="R48" s="2691"/>
      <c r="S48" s="2692"/>
      <c r="T48" s="2693"/>
      <c r="U48" s="2693"/>
      <c r="V48" s="2693"/>
      <c r="X48" s="2743"/>
      <c r="Y48" s="2743"/>
      <c r="Z48" s="2743"/>
    </row>
    <row r="49" spans="1:26">
      <c r="A49" s="2673" t="s">
        <v>2620</v>
      </c>
      <c r="B49" s="2694">
        <f t="shared" ref="B49:C51" si="37">B50+(B$48-B$52)*I49/SUM(I$48:I$51)</f>
        <v>149.00125628140702</v>
      </c>
      <c r="C49" s="2694">
        <f t="shared" si="37"/>
        <v>137.95592286501378</v>
      </c>
      <c r="D49" s="2694">
        <f t="shared" si="11"/>
        <v>137.95592286501378</v>
      </c>
      <c r="E49" s="2694">
        <f t="shared" ref="E49:F51" si="38">E50+(E$48-E$52)*K49/SUM(K$48:K$51)</f>
        <v>169.97231450719823</v>
      </c>
      <c r="F49" s="2694">
        <f t="shared" si="38"/>
        <v>116.21390374331551</v>
      </c>
      <c r="G49" s="3620">
        <v>2006</v>
      </c>
      <c r="H49" s="2704">
        <v>3</v>
      </c>
      <c r="I49" s="2704">
        <v>0.92</v>
      </c>
      <c r="J49" s="2704">
        <v>1.08</v>
      </c>
      <c r="K49" s="2704">
        <v>0.73</v>
      </c>
      <c r="L49" s="2705">
        <v>1.08</v>
      </c>
      <c r="N49" s="2741">
        <f t="shared" si="35"/>
        <v>1.7587939698492462E-2</v>
      </c>
      <c r="O49" s="2742">
        <f t="shared" si="35"/>
        <v>1.1355750425840628E-2</v>
      </c>
      <c r="P49" s="2742">
        <f t="shared" si="36"/>
        <v>2.0862358446754544E-2</v>
      </c>
      <c r="Q49" s="2742">
        <f t="shared" si="36"/>
        <v>1.0132282578103011E-2</v>
      </c>
      <c r="R49" s="2691"/>
      <c r="S49" s="2689"/>
      <c r="T49" s="2690"/>
      <c r="U49" s="2690"/>
      <c r="V49" s="2690"/>
      <c r="X49" s="2743"/>
      <c r="Y49" s="2743"/>
      <c r="Z49" s="2743"/>
    </row>
    <row r="50" spans="1:26">
      <c r="A50" s="2673" t="s">
        <v>2621</v>
      </c>
      <c r="B50" s="2694">
        <f t="shared" si="37"/>
        <v>146.57412060301507</v>
      </c>
      <c r="C50" s="2694">
        <f t="shared" si="37"/>
        <v>136.46831955922866</v>
      </c>
      <c r="D50" s="2694">
        <f t="shared" si="11"/>
        <v>136.46831955922866</v>
      </c>
      <c r="E50" s="2694">
        <f t="shared" si="38"/>
        <v>166.73864894795128</v>
      </c>
      <c r="F50" s="2694">
        <f t="shared" si="38"/>
        <v>115.05882352941177</v>
      </c>
      <c r="G50" s="3620">
        <v>2006</v>
      </c>
      <c r="H50" s="2679">
        <v>2</v>
      </c>
      <c r="I50" s="2679">
        <v>0.96</v>
      </c>
      <c r="J50" s="2679">
        <v>0.25</v>
      </c>
      <c r="K50" s="2679">
        <v>1.9</v>
      </c>
      <c r="L50" s="2696">
        <v>0.95</v>
      </c>
      <c r="N50" s="2741">
        <f t="shared" si="35"/>
        <v>1.8352632728861701E-2</v>
      </c>
      <c r="O50" s="2742">
        <f t="shared" si="35"/>
        <v>2.6286459319075526E-3</v>
      </c>
      <c r="P50" s="2742">
        <f t="shared" si="36"/>
        <v>5.4299289107991269E-2</v>
      </c>
      <c r="Q50" s="2742">
        <f t="shared" si="36"/>
        <v>8.9126559714794995E-3</v>
      </c>
      <c r="R50" s="2691"/>
      <c r="S50" s="2689"/>
      <c r="T50" s="2690"/>
      <c r="U50" s="2690"/>
      <c r="V50" s="2690"/>
      <c r="X50" s="2743"/>
      <c r="Y50" s="2743"/>
      <c r="Z50" s="2743"/>
    </row>
    <row r="51" spans="1:26">
      <c r="A51" s="2673" t="s">
        <v>2622</v>
      </c>
      <c r="B51" s="2694">
        <f t="shared" si="37"/>
        <v>144.04145728643215</v>
      </c>
      <c r="C51" s="2694">
        <f t="shared" si="37"/>
        <v>136.12396694214877</v>
      </c>
      <c r="D51" s="2694">
        <f t="shared" si="11"/>
        <v>136.12396694214877</v>
      </c>
      <c r="E51" s="2694">
        <f t="shared" si="38"/>
        <v>158.32225913621264</v>
      </c>
      <c r="F51" s="2694">
        <f t="shared" si="38"/>
        <v>114.04278074866311</v>
      </c>
      <c r="G51" s="3621">
        <v>2006</v>
      </c>
      <c r="H51" s="2678">
        <v>1</v>
      </c>
      <c r="I51" s="2678">
        <v>2.29</v>
      </c>
      <c r="J51" s="2678">
        <v>3.72</v>
      </c>
      <c r="K51" s="2678">
        <v>0.75</v>
      </c>
      <c r="L51" s="2695">
        <v>0.04</v>
      </c>
      <c r="N51" s="2744">
        <f t="shared" si="35"/>
        <v>4.3778675988638847E-2</v>
      </c>
      <c r="O51" s="2745">
        <f t="shared" si="35"/>
        <v>3.9114251466784385E-2</v>
      </c>
      <c r="P51" s="2745">
        <f t="shared" si="36"/>
        <v>2.1433929911049188E-2</v>
      </c>
      <c r="Q51" s="2745">
        <f t="shared" si="36"/>
        <v>3.7526972511492629E-4</v>
      </c>
      <c r="R51" s="2691"/>
      <c r="S51" s="2697">
        <f>B51/B52-1</f>
        <v>4.3778675988638716E-2</v>
      </c>
      <c r="T51" s="2698">
        <f>C51/C52-1</f>
        <v>3.91142514667846E-2</v>
      </c>
      <c r="U51" s="2698">
        <f>E51/E52-1</f>
        <v>2.143392991104931E-2</v>
      </c>
      <c r="V51" s="2698">
        <f>F51/F52-1</f>
        <v>3.7526972511492396E-4</v>
      </c>
      <c r="X51" s="2743"/>
      <c r="Y51" s="2743"/>
      <c r="Z51" s="2743"/>
    </row>
    <row r="52" spans="1:26" ht="13.5" thickBot="1">
      <c r="A52" s="2673" t="s">
        <v>2623</v>
      </c>
      <c r="B52" s="2707">
        <v>138</v>
      </c>
      <c r="C52" s="2707">
        <v>131</v>
      </c>
      <c r="D52" s="2707">
        <f t="shared" si="11"/>
        <v>131</v>
      </c>
      <c r="E52" s="2707">
        <v>155</v>
      </c>
      <c r="F52" s="2708">
        <v>114</v>
      </c>
      <c r="G52" s="3619">
        <v>2005</v>
      </c>
      <c r="H52" s="2699">
        <v>4</v>
      </c>
      <c r="I52" s="2699">
        <v>3.29</v>
      </c>
      <c r="J52" s="2699">
        <v>1.44</v>
      </c>
      <c r="K52" s="2699">
        <v>0.66</v>
      </c>
      <c r="L52" s="2700">
        <v>7.78</v>
      </c>
      <c r="N52" s="2741">
        <f t="shared" ref="N52:O55" si="39">I52/SUM(I$52:I$55)*(B$52/B$56-1)</f>
        <v>9.9404603216919935E-2</v>
      </c>
      <c r="O52" s="2742">
        <f t="shared" si="39"/>
        <v>4.7636550760861554E-2</v>
      </c>
      <c r="P52" s="2742">
        <f t="shared" ref="P52:Q55" si="40">K52/SUM(K$52:K$55)*(E$52/E$56-1)</f>
        <v>8.3756345177664976E-2</v>
      </c>
      <c r="Q52" s="2742">
        <f t="shared" si="40"/>
        <v>5.2148766661559584E-2</v>
      </c>
      <c r="R52" s="2691"/>
      <c r="S52" s="2692"/>
      <c r="T52" s="2693"/>
      <c r="U52" s="2693"/>
      <c r="V52" s="2693"/>
      <c r="X52" s="2743"/>
      <c r="Y52" s="2743"/>
      <c r="Z52" s="2743"/>
    </row>
    <row r="53" spans="1:26">
      <c r="A53" s="2673" t="s">
        <v>2624</v>
      </c>
      <c r="B53" s="2694">
        <f t="shared" ref="B53:C55" si="41">B54+(B$52-B$56)*I53/SUM(I$52:I$55)</f>
        <v>125.9720430107527</v>
      </c>
      <c r="C53" s="2694">
        <f t="shared" si="41"/>
        <v>125.1883408071749</v>
      </c>
      <c r="D53" s="2694">
        <f t="shared" si="11"/>
        <v>125.1883408071749</v>
      </c>
      <c r="E53" s="2694">
        <f t="shared" ref="E53:F55" si="42">E54+(E$52-E$56)*K53/SUM(K$52:K$55)</f>
        <v>144.61421319796952</v>
      </c>
      <c r="F53" s="2694">
        <f t="shared" si="42"/>
        <v>108.42008196721311</v>
      </c>
      <c r="G53" s="3620">
        <v>2005</v>
      </c>
      <c r="H53" s="2704">
        <v>3</v>
      </c>
      <c r="I53" s="2704">
        <v>0.46</v>
      </c>
      <c r="J53" s="2704">
        <v>0.32</v>
      </c>
      <c r="K53" s="2704">
        <v>0.42</v>
      </c>
      <c r="L53" s="2705">
        <v>0.64</v>
      </c>
      <c r="N53" s="2741">
        <f t="shared" si="39"/>
        <v>1.3898515951301874E-2</v>
      </c>
      <c r="O53" s="2742">
        <f t="shared" si="39"/>
        <v>1.0585900169080346E-2</v>
      </c>
      <c r="P53" s="2742">
        <f t="shared" si="40"/>
        <v>5.3299492385786795E-2</v>
      </c>
      <c r="Q53" s="2742">
        <f t="shared" si="40"/>
        <v>4.2898728359123568E-3</v>
      </c>
      <c r="R53" s="2691"/>
      <c r="S53" s="2689"/>
      <c r="T53" s="2690"/>
      <c r="U53" s="2690"/>
      <c r="V53" s="2690"/>
      <c r="X53" s="2743"/>
      <c r="Y53" s="2743"/>
      <c r="Z53" s="2743"/>
    </row>
    <row r="54" spans="1:26">
      <c r="A54" s="2673" t="s">
        <v>2625</v>
      </c>
      <c r="B54" s="2694">
        <f t="shared" si="41"/>
        <v>124.29032258064517</v>
      </c>
      <c r="C54" s="2694">
        <f t="shared" si="41"/>
        <v>123.8968609865471</v>
      </c>
      <c r="D54" s="2694">
        <f t="shared" si="11"/>
        <v>123.8968609865471</v>
      </c>
      <c r="E54" s="2694">
        <f t="shared" si="42"/>
        <v>138.00507614213197</v>
      </c>
      <c r="F54" s="2694">
        <f t="shared" si="42"/>
        <v>107.96106557377048</v>
      </c>
      <c r="G54" s="3620">
        <v>2005</v>
      </c>
      <c r="H54" s="2679">
        <v>2</v>
      </c>
      <c r="I54" s="2679">
        <v>0.47</v>
      </c>
      <c r="J54" s="2679">
        <v>0.1</v>
      </c>
      <c r="K54" s="2679">
        <v>0.52</v>
      </c>
      <c r="L54" s="2696">
        <v>0.79</v>
      </c>
      <c r="N54" s="2741">
        <f t="shared" si="39"/>
        <v>1.420065760241713E-2</v>
      </c>
      <c r="O54" s="2742">
        <f t="shared" si="39"/>
        <v>3.3080938028376083E-3</v>
      </c>
      <c r="P54" s="2742">
        <f t="shared" si="40"/>
        <v>6.598984771573603E-2</v>
      </c>
      <c r="Q54" s="2742">
        <f t="shared" si="40"/>
        <v>5.2953117818293153E-3</v>
      </c>
      <c r="R54" s="2691"/>
      <c r="S54" s="2689"/>
      <c r="T54" s="2690"/>
      <c r="U54" s="2690"/>
      <c r="V54" s="2690"/>
      <c r="X54" s="2743"/>
      <c r="Y54" s="2743"/>
      <c r="Z54" s="2743"/>
    </row>
    <row r="55" spans="1:26">
      <c r="A55" s="2673" t="s">
        <v>2626</v>
      </c>
      <c r="B55" s="2694">
        <f t="shared" si="41"/>
        <v>122.57204301075269</v>
      </c>
      <c r="C55" s="2694">
        <f t="shared" si="41"/>
        <v>123.4932735426009</v>
      </c>
      <c r="D55" s="2694">
        <f t="shared" si="11"/>
        <v>123.4932735426009</v>
      </c>
      <c r="E55" s="2694">
        <f t="shared" si="42"/>
        <v>129.82233502538071</v>
      </c>
      <c r="F55" s="2694">
        <f t="shared" si="42"/>
        <v>107.39446721311475</v>
      </c>
      <c r="G55" s="3621">
        <v>2005</v>
      </c>
      <c r="H55" s="2678">
        <v>1</v>
      </c>
      <c r="I55" s="2678">
        <v>0.43</v>
      </c>
      <c r="J55" s="2678">
        <v>0.37</v>
      </c>
      <c r="K55" s="2678">
        <v>0.37</v>
      </c>
      <c r="L55" s="2695">
        <v>0.55000000000000004</v>
      </c>
      <c r="N55" s="2744">
        <f t="shared" si="39"/>
        <v>1.2992090997956099E-2</v>
      </c>
      <c r="O55" s="2745">
        <f t="shared" si="39"/>
        <v>1.2239947070499151E-2</v>
      </c>
      <c r="P55" s="2745">
        <f t="shared" si="40"/>
        <v>4.6954314720812178E-2</v>
      </c>
      <c r="Q55" s="2745">
        <f t="shared" si="40"/>
        <v>3.6866094683621815E-3</v>
      </c>
      <c r="R55" s="2691"/>
      <c r="S55" s="2697">
        <f>B55/B56-1</f>
        <v>1.2992090997956174E-2</v>
      </c>
      <c r="T55" s="2698">
        <f>C55/C56-1</f>
        <v>1.2239947070499246E-2</v>
      </c>
      <c r="U55" s="2698">
        <f>E55/E56-1</f>
        <v>4.695431472081224E-2</v>
      </c>
      <c r="V55" s="2698">
        <f>F55/F56-1</f>
        <v>3.6866094683620787E-3</v>
      </c>
      <c r="X55" s="2743"/>
      <c r="Y55" s="2743"/>
      <c r="Z55" s="2743"/>
    </row>
    <row r="56" spans="1:26" ht="13.5" thickBot="1">
      <c r="A56" s="2673" t="s">
        <v>2627</v>
      </c>
      <c r="B56" s="2728">
        <v>121</v>
      </c>
      <c r="C56" s="2728">
        <v>122</v>
      </c>
      <c r="D56" s="2728">
        <f t="shared" si="11"/>
        <v>122</v>
      </c>
      <c r="E56" s="2728">
        <v>124</v>
      </c>
      <c r="F56" s="2729">
        <v>107</v>
      </c>
      <c r="G56" s="3619">
        <v>2004</v>
      </c>
      <c r="H56" s="2699">
        <v>4</v>
      </c>
      <c r="I56" s="2699">
        <v>0.33</v>
      </c>
      <c r="J56" s="2699">
        <v>0.5</v>
      </c>
      <c r="K56" s="2699">
        <v>0.5</v>
      </c>
      <c r="L56" s="2700">
        <v>0</v>
      </c>
      <c r="N56" s="2741">
        <f t="shared" ref="N56:O59" si="43">I56/SUM(I$56:I$59)*(B$56/B$60-1)</f>
        <v>1.3391770148526898E-2</v>
      </c>
      <c r="O56" s="2742">
        <f t="shared" si="43"/>
        <v>1.063264221158958E-2</v>
      </c>
      <c r="P56" s="2742">
        <f t="shared" ref="P56:Q59" si="44">K56/SUM(K$56:K$59)*(E$56/E$60-1)</f>
        <v>2.2244466688911134E-2</v>
      </c>
      <c r="Q56" s="2742">
        <f t="shared" si="44"/>
        <v>0</v>
      </c>
      <c r="R56" s="2691"/>
      <c r="S56" s="2692"/>
      <c r="T56" s="2693"/>
      <c r="U56" s="2693"/>
      <c r="V56" s="2693"/>
      <c r="X56" s="2743"/>
      <c r="Y56" s="2743"/>
      <c r="Z56" s="2743"/>
    </row>
    <row r="57" spans="1:26">
      <c r="A57" s="2673" t="s">
        <v>2628</v>
      </c>
      <c r="B57" s="2694">
        <f t="shared" ref="B57:C59" si="45">B58+(B$56-B$60)*I57/SUM(I$56:I$59)</f>
        <v>119.51351351351352</v>
      </c>
      <c r="C57" s="2694">
        <f t="shared" si="45"/>
        <v>120.7878787878788</v>
      </c>
      <c r="D57" s="2694">
        <f t="shared" si="11"/>
        <v>120.7878787878788</v>
      </c>
      <c r="E57" s="2694">
        <f t="shared" ref="E57:F59" si="46">E58+(E$56-E$60)*K57/SUM(K$56:K$59)</f>
        <v>121.5975975975976</v>
      </c>
      <c r="F57" s="2694">
        <f t="shared" si="46"/>
        <v>107</v>
      </c>
      <c r="G57" s="3620">
        <v>2004</v>
      </c>
      <c r="H57" s="2704">
        <v>3</v>
      </c>
      <c r="I57" s="2704">
        <v>0.56000000000000005</v>
      </c>
      <c r="J57" s="2704">
        <v>0.8</v>
      </c>
      <c r="K57" s="2704">
        <v>0.83</v>
      </c>
      <c r="L57" s="2705">
        <v>0.06</v>
      </c>
      <c r="N57" s="2741">
        <f t="shared" si="43"/>
        <v>2.2725428130833527E-2</v>
      </c>
      <c r="O57" s="2742">
        <f t="shared" si="43"/>
        <v>1.7012227538543329E-2</v>
      </c>
      <c r="P57" s="2742">
        <f t="shared" si="44"/>
        <v>3.6925814703592477E-2</v>
      </c>
      <c r="Q57" s="2742">
        <f t="shared" si="44"/>
        <v>2.8846153846153744E-2</v>
      </c>
      <c r="R57" s="2691"/>
      <c r="S57" s="2689"/>
      <c r="T57" s="2690"/>
      <c r="U57" s="2690"/>
      <c r="V57" s="2690"/>
      <c r="X57" s="2743"/>
      <c r="Y57" s="2743"/>
      <c r="Z57" s="2743"/>
    </row>
    <row r="58" spans="1:26">
      <c r="A58" s="2673" t="s">
        <v>2629</v>
      </c>
      <c r="B58" s="2694">
        <f t="shared" si="45"/>
        <v>116.99099099099099</v>
      </c>
      <c r="C58" s="2694">
        <f t="shared" si="45"/>
        <v>118.84848484848486</v>
      </c>
      <c r="D58" s="2694">
        <f t="shared" si="11"/>
        <v>118.84848484848486</v>
      </c>
      <c r="E58" s="2694">
        <f t="shared" si="46"/>
        <v>117.60960960960961</v>
      </c>
      <c r="F58" s="2694">
        <f t="shared" si="46"/>
        <v>104</v>
      </c>
      <c r="G58" s="3620">
        <v>2004</v>
      </c>
      <c r="H58" s="2679">
        <v>2</v>
      </c>
      <c r="I58" s="2679">
        <v>1</v>
      </c>
      <c r="J58" s="2679">
        <v>1.5</v>
      </c>
      <c r="K58" s="2679">
        <v>1.5</v>
      </c>
      <c r="L58" s="2696">
        <v>0</v>
      </c>
      <c r="N58" s="2741">
        <f t="shared" si="43"/>
        <v>4.0581121662202721E-2</v>
      </c>
      <c r="O58" s="2742">
        <f t="shared" si="43"/>
        <v>3.1897926634768738E-2</v>
      </c>
      <c r="P58" s="2742">
        <f t="shared" si="44"/>
        <v>6.6733400066733395E-2</v>
      </c>
      <c r="Q58" s="2742">
        <f t="shared" si="44"/>
        <v>0</v>
      </c>
      <c r="R58" s="2691"/>
      <c r="S58" s="2689"/>
      <c r="T58" s="2690"/>
      <c r="U58" s="2690"/>
      <c r="V58" s="2690"/>
      <c r="X58" s="2743"/>
      <c r="Y58" s="2743"/>
      <c r="Z58" s="2743"/>
    </row>
    <row r="59" spans="1:26" s="2734" customFormat="1" ht="13.5" thickBot="1">
      <c r="A59" s="2673" t="s">
        <v>2630</v>
      </c>
      <c r="B59" s="2731">
        <f t="shared" si="45"/>
        <v>112.48648648648648</v>
      </c>
      <c r="C59" s="2731">
        <f t="shared" si="45"/>
        <v>115.21212121212122</v>
      </c>
      <c r="D59" s="2731">
        <f t="shared" si="11"/>
        <v>115.21212121212122</v>
      </c>
      <c r="E59" s="2731">
        <f t="shared" si="46"/>
        <v>110.4024024024024</v>
      </c>
      <c r="F59" s="2731">
        <f t="shared" si="46"/>
        <v>104</v>
      </c>
      <c r="G59" s="3621">
        <v>2004</v>
      </c>
      <c r="H59" s="2732">
        <v>1</v>
      </c>
      <c r="I59" s="2732">
        <v>0.33</v>
      </c>
      <c r="J59" s="2732">
        <v>0.5</v>
      </c>
      <c r="K59" s="2732">
        <v>0.5</v>
      </c>
      <c r="L59" s="2733">
        <v>0</v>
      </c>
      <c r="N59" s="2746">
        <f t="shared" si="43"/>
        <v>1.3391770148526898E-2</v>
      </c>
      <c r="O59" s="2747">
        <f t="shared" si="43"/>
        <v>1.063264221158958E-2</v>
      </c>
      <c r="P59" s="2747">
        <f t="shared" si="44"/>
        <v>2.2244466688911134E-2</v>
      </c>
      <c r="Q59" s="2747">
        <f t="shared" si="44"/>
        <v>0</v>
      </c>
      <c r="R59" s="2737"/>
      <c r="S59" s="2735">
        <f>B59/B60-1</f>
        <v>1.3391770148526883E-2</v>
      </c>
      <c r="T59" s="2736">
        <f>C59/C60-1</f>
        <v>1.063264221158966E-2</v>
      </c>
      <c r="U59" s="2736">
        <f>E59/E60-1</f>
        <v>2.2244466688911224E-2</v>
      </c>
      <c r="V59" s="2736">
        <f>F59/F60-1</f>
        <v>0</v>
      </c>
      <c r="X59" s="2748"/>
      <c r="Y59" s="2748"/>
      <c r="Z59" s="2748"/>
    </row>
    <row r="60" spans="1:26" ht="13.5" thickBot="1">
      <c r="A60" s="2673" t="s">
        <v>2631</v>
      </c>
      <c r="B60" s="2749">
        <v>111</v>
      </c>
      <c r="C60" s="2749">
        <v>114</v>
      </c>
      <c r="D60" s="2749">
        <f t="shared" si="11"/>
        <v>114</v>
      </c>
      <c r="E60" s="2749">
        <v>108</v>
      </c>
      <c r="F60" s="2750">
        <v>104</v>
      </c>
      <c r="G60" s="3619">
        <v>2003</v>
      </c>
      <c r="H60" s="2739">
        <v>4</v>
      </c>
      <c r="I60" s="2751"/>
      <c r="J60" s="2751"/>
      <c r="K60" s="2751"/>
      <c r="L60" s="2751"/>
      <c r="N60" s="2752"/>
      <c r="O60" s="2751"/>
      <c r="P60" s="2751"/>
      <c r="Q60" s="2751"/>
      <c r="S60" s="2752"/>
      <c r="T60" s="2751"/>
      <c r="U60" s="2751"/>
      <c r="V60" s="2751"/>
      <c r="X60" s="2743"/>
      <c r="Y60" s="2743"/>
      <c r="Z60" s="2743"/>
    </row>
    <row r="61" spans="1:26">
      <c r="A61" s="2673" t="s">
        <v>2632</v>
      </c>
      <c r="B61" s="2753">
        <f t="shared" ref="B61:C63" si="47">B62+(B$60-B$64)/4</f>
        <v>109.75</v>
      </c>
      <c r="C61" s="2753">
        <f t="shared" si="47"/>
        <v>112.25</v>
      </c>
      <c r="D61" s="2753">
        <f t="shared" si="11"/>
        <v>112.25</v>
      </c>
      <c r="E61" s="2753">
        <f t="shared" ref="E61:F63" si="48">E62+(E$60-E$64)/4</f>
        <v>107.25</v>
      </c>
      <c r="F61" s="2753">
        <f t="shared" si="48"/>
        <v>103.5</v>
      </c>
      <c r="G61" s="3620">
        <v>2003</v>
      </c>
      <c r="H61" s="2704">
        <v>3</v>
      </c>
      <c r="I61" s="2751"/>
      <c r="J61" s="2751"/>
      <c r="K61" s="2751"/>
      <c r="L61" s="2751"/>
      <c r="X61" s="2743"/>
      <c r="Y61" s="2743"/>
      <c r="Z61" s="2743"/>
    </row>
    <row r="62" spans="1:26">
      <c r="A62" s="2673" t="s">
        <v>2633</v>
      </c>
      <c r="B62" s="2753">
        <f t="shared" si="47"/>
        <v>108.5</v>
      </c>
      <c r="C62" s="2753">
        <f t="shared" si="47"/>
        <v>110.5</v>
      </c>
      <c r="D62" s="2753">
        <f t="shared" si="11"/>
        <v>110.5</v>
      </c>
      <c r="E62" s="2753">
        <f t="shared" si="48"/>
        <v>106.5</v>
      </c>
      <c r="F62" s="2753">
        <f t="shared" si="48"/>
        <v>103</v>
      </c>
      <c r="G62" s="3620">
        <v>2003</v>
      </c>
      <c r="H62" s="2679">
        <v>2</v>
      </c>
      <c r="I62" s="2751"/>
      <c r="J62" s="2751"/>
      <c r="K62" s="2751"/>
      <c r="L62" s="2751"/>
      <c r="X62" s="2743"/>
      <c r="Y62" s="2743"/>
      <c r="Z62" s="2743"/>
    </row>
    <row r="63" spans="1:26" ht="13.5" thickBot="1">
      <c r="A63" s="2673" t="s">
        <v>2634</v>
      </c>
      <c r="B63" s="2753">
        <f t="shared" si="47"/>
        <v>107.25</v>
      </c>
      <c r="C63" s="2753">
        <f t="shared" si="47"/>
        <v>108.75</v>
      </c>
      <c r="D63" s="2753">
        <f t="shared" si="11"/>
        <v>108.75</v>
      </c>
      <c r="E63" s="2753">
        <f t="shared" si="48"/>
        <v>105.75</v>
      </c>
      <c r="F63" s="2753">
        <f t="shared" si="48"/>
        <v>102.5</v>
      </c>
      <c r="G63" s="3621">
        <v>2003</v>
      </c>
      <c r="H63" s="2754">
        <v>1</v>
      </c>
      <c r="I63" s="2751"/>
      <c r="J63" s="2751"/>
      <c r="K63" s="2751"/>
      <c r="L63" s="2751"/>
      <c r="S63" s="2689"/>
      <c r="T63" s="2690"/>
      <c r="U63" s="2690"/>
      <c r="X63" s="2743"/>
      <c r="Y63" s="2743"/>
      <c r="Z63" s="2743"/>
    </row>
    <row r="64" spans="1:26" ht="13.5" thickBot="1">
      <c r="A64" s="2673" t="s">
        <v>2635</v>
      </c>
      <c r="B64" s="2755">
        <v>106</v>
      </c>
      <c r="C64" s="2755">
        <v>107</v>
      </c>
      <c r="D64" s="2755">
        <f t="shared" si="11"/>
        <v>107</v>
      </c>
      <c r="E64" s="2755">
        <v>105</v>
      </c>
      <c r="F64" s="2756">
        <v>102</v>
      </c>
      <c r="G64" s="3619">
        <v>2002</v>
      </c>
      <c r="H64" s="2699">
        <v>4</v>
      </c>
      <c r="I64" s="2751"/>
      <c r="J64" s="2751"/>
      <c r="K64" s="2751"/>
      <c r="L64" s="2751"/>
      <c r="N64" s="2752"/>
      <c r="O64" s="2751"/>
      <c r="P64" s="2751"/>
      <c r="Q64" s="2751"/>
      <c r="S64" s="2752"/>
      <c r="T64" s="2751"/>
      <c r="U64" s="2751"/>
      <c r="V64" s="2751"/>
      <c r="X64" s="2743"/>
      <c r="Y64" s="2743"/>
      <c r="Z64" s="2743"/>
    </row>
    <row r="65" spans="1:26">
      <c r="A65" s="2673" t="s">
        <v>2636</v>
      </c>
      <c r="B65" s="2753">
        <f t="shared" ref="B65:C67" si="49">B66+(B$64-B$68)/4</f>
        <v>105</v>
      </c>
      <c r="C65" s="2753">
        <f t="shared" si="49"/>
        <v>106</v>
      </c>
      <c r="D65" s="2753">
        <f t="shared" si="11"/>
        <v>106</v>
      </c>
      <c r="E65" s="2753">
        <f t="shared" ref="E65:F67" si="50">E66+(E$64-E$68)/4</f>
        <v>104.5</v>
      </c>
      <c r="F65" s="2753">
        <f t="shared" si="50"/>
        <v>101.5</v>
      </c>
      <c r="G65" s="3620">
        <v>2002</v>
      </c>
      <c r="H65" s="2704">
        <v>3</v>
      </c>
      <c r="I65" s="2751"/>
      <c r="J65" s="2751"/>
      <c r="K65" s="2751"/>
      <c r="L65" s="2751"/>
      <c r="X65" s="2743"/>
      <c r="Y65" s="2743"/>
      <c r="Z65" s="2743"/>
    </row>
    <row r="66" spans="1:26">
      <c r="A66" s="2673" t="s">
        <v>2637</v>
      </c>
      <c r="B66" s="2753">
        <f t="shared" si="49"/>
        <v>104</v>
      </c>
      <c r="C66" s="2753">
        <f t="shared" si="49"/>
        <v>105</v>
      </c>
      <c r="D66" s="2753">
        <f t="shared" si="11"/>
        <v>105</v>
      </c>
      <c r="E66" s="2753">
        <f t="shared" si="50"/>
        <v>104</v>
      </c>
      <c r="F66" s="2753">
        <f t="shared" si="50"/>
        <v>101</v>
      </c>
      <c r="G66" s="3620">
        <v>2002</v>
      </c>
      <c r="H66" s="2679">
        <v>2</v>
      </c>
      <c r="I66" s="2751"/>
      <c r="J66" s="2751"/>
      <c r="K66" s="2751"/>
      <c r="L66" s="2751"/>
      <c r="X66" s="2743"/>
      <c r="Y66" s="2743"/>
      <c r="Z66" s="2743"/>
    </row>
    <row r="67" spans="1:26" s="2715" customFormat="1" ht="13.5" thickBot="1">
      <c r="A67" s="2711" t="s">
        <v>2638</v>
      </c>
      <c r="B67" s="2757">
        <f t="shared" si="49"/>
        <v>103</v>
      </c>
      <c r="C67" s="2757">
        <f t="shared" si="49"/>
        <v>104</v>
      </c>
      <c r="D67" s="2757">
        <f t="shared" si="11"/>
        <v>104</v>
      </c>
      <c r="E67" s="2757">
        <f t="shared" si="50"/>
        <v>103.5</v>
      </c>
      <c r="F67" s="2757">
        <f t="shared" si="50"/>
        <v>100.5</v>
      </c>
      <c r="G67" s="3621">
        <v>2002</v>
      </c>
      <c r="H67" s="2758">
        <v>1</v>
      </c>
      <c r="I67" s="2759"/>
      <c r="J67" s="2759"/>
      <c r="K67" s="2759"/>
      <c r="L67" s="2759"/>
      <c r="N67" s="2760"/>
      <c r="S67" s="2760"/>
      <c r="X67" s="2761"/>
      <c r="Y67" s="2761"/>
      <c r="Z67" s="2761"/>
    </row>
    <row r="68" spans="1:26" ht="13.5" thickBot="1">
      <c r="B68" s="2762">
        <v>102</v>
      </c>
      <c r="C68" s="2763">
        <v>103</v>
      </c>
      <c r="D68" s="2763">
        <f t="shared" si="11"/>
        <v>103</v>
      </c>
      <c r="E68" s="2763">
        <v>103</v>
      </c>
      <c r="F68" s="2764">
        <v>100</v>
      </c>
      <c r="I68" s="2751"/>
      <c r="J68" s="2751"/>
      <c r="K68" s="2751"/>
      <c r="L68" s="2751"/>
      <c r="N68" s="2752"/>
      <c r="O68" s="2751"/>
      <c r="P68" s="2751"/>
      <c r="Q68" s="2751"/>
      <c r="S68" s="2752"/>
      <c r="T68" s="2751"/>
      <c r="U68" s="2751"/>
      <c r="V68" s="2751"/>
      <c r="X68" s="2693"/>
      <c r="Y68" s="2693"/>
      <c r="Z68" s="2693"/>
    </row>
    <row r="70" spans="1:26" s="2766" customFormat="1">
      <c r="A70" s="2765" t="s">
        <v>2639</v>
      </c>
      <c r="G70" s="2767"/>
      <c r="N70" s="2767"/>
      <c r="S70" s="2767"/>
    </row>
    <row r="71" spans="1:26" s="2766" customFormat="1">
      <c r="A71" s="2766" t="s">
        <v>2640</v>
      </c>
      <c r="G71" s="2767"/>
      <c r="N71" s="2767"/>
      <c r="S71" s="2767"/>
    </row>
    <row r="72" spans="1:26" s="2766" customFormat="1">
      <c r="A72" s="2766" t="s">
        <v>2641</v>
      </c>
      <c r="G72" s="2767"/>
      <c r="I72" s="2768"/>
      <c r="J72" s="2768"/>
      <c r="K72" s="2768"/>
      <c r="L72" s="2768"/>
      <c r="N72" s="2769"/>
      <c r="O72" s="2768"/>
      <c r="P72" s="2768"/>
      <c r="Q72" s="2768"/>
      <c r="S72" s="2769"/>
      <c r="T72" s="2768"/>
      <c r="U72" s="2768"/>
      <c r="V72" s="2768"/>
    </row>
    <row r="73" spans="1:26" s="2766" customFormat="1">
      <c r="A73" s="2766" t="s">
        <v>2642</v>
      </c>
      <c r="G73" s="2767"/>
      <c r="N73" s="2767"/>
      <c r="S73" s="2767"/>
    </row>
    <row r="80" spans="1:26" ht="13.5" thickBot="1"/>
    <row r="81" spans="14:22" s="2688" customFormat="1">
      <c r="N81" s="2703"/>
      <c r="S81" s="2770" t="s">
        <v>2643</v>
      </c>
      <c r="T81" s="2771" t="s">
        <v>2644</v>
      </c>
      <c r="U81" s="2771" t="s">
        <v>2645</v>
      </c>
      <c r="V81" s="2771" t="s">
        <v>2646</v>
      </c>
    </row>
    <row r="82" spans="14:22" s="2688" customFormat="1">
      <c r="N82" s="2692"/>
      <c r="O82" s="2693"/>
      <c r="P82" s="2693"/>
      <c r="Q82" s="2693"/>
      <c r="S82" s="2772">
        <v>2006</v>
      </c>
      <c r="T82" s="2773">
        <v>15.1</v>
      </c>
      <c r="U82" s="2773">
        <v>7.43</v>
      </c>
      <c r="V82" s="2773">
        <v>26.26</v>
      </c>
    </row>
    <row r="83" spans="14:22" s="2688" customFormat="1">
      <c r="N83" s="2692"/>
      <c r="O83" s="2693"/>
      <c r="P83" s="2693"/>
      <c r="Q83" s="2693"/>
      <c r="S83" s="2774">
        <v>2005</v>
      </c>
      <c r="T83" s="2775">
        <v>13.9</v>
      </c>
      <c r="U83" s="2775">
        <v>7.49</v>
      </c>
      <c r="V83" s="2775">
        <v>24.92</v>
      </c>
    </row>
    <row r="84" spans="14:22" s="2688" customFormat="1">
      <c r="N84" s="2692"/>
      <c r="O84" s="2693"/>
      <c r="P84" s="2693"/>
      <c r="Q84" s="2693"/>
      <c r="S84" s="2772">
        <v>2004</v>
      </c>
      <c r="T84" s="2773">
        <v>9.48</v>
      </c>
      <c r="U84" s="2773">
        <v>7.2</v>
      </c>
      <c r="V84" s="2773">
        <v>14.68</v>
      </c>
    </row>
    <row r="85" spans="14:22" s="2688" customFormat="1">
      <c r="N85" s="2692"/>
      <c r="O85" s="2693"/>
      <c r="P85" s="2693"/>
      <c r="Q85" s="2693"/>
      <c r="S85" s="2774">
        <v>2003</v>
      </c>
      <c r="T85" s="2775">
        <v>4.5</v>
      </c>
      <c r="U85" s="2775">
        <v>6.12</v>
      </c>
      <c r="V85" s="2775">
        <v>2.34</v>
      </c>
    </row>
    <row r="86" spans="14:22" s="2688" customFormat="1" ht="13.5" thickBot="1">
      <c r="N86" s="2692"/>
      <c r="O86" s="2693"/>
      <c r="P86" s="2693"/>
      <c r="Q86" s="2693"/>
      <c r="S86" s="2776">
        <v>2002</v>
      </c>
      <c r="T86" s="2777">
        <v>3.59</v>
      </c>
      <c r="U86" s="2777">
        <v>4.54</v>
      </c>
      <c r="V86" s="2777">
        <v>2.5499999999999998</v>
      </c>
    </row>
    <row r="87" spans="14:22" s="2688" customFormat="1">
      <c r="N87" s="2692"/>
      <c r="O87" s="2693"/>
      <c r="P87" s="2693"/>
      <c r="Q87" s="2693"/>
      <c r="S87" s="2703"/>
    </row>
    <row r="88" spans="14:22" s="2688" customFormat="1">
      <c r="N88" s="2692"/>
      <c r="O88" s="2693"/>
      <c r="P88" s="2693"/>
      <c r="Q88" s="2693"/>
      <c r="S88" s="2703"/>
    </row>
    <row r="89" spans="14:22" s="2688" customFormat="1">
      <c r="N89" s="2692"/>
      <c r="O89" s="2693"/>
      <c r="P89" s="2693"/>
      <c r="Q89" s="2693"/>
      <c r="S89" s="2703"/>
    </row>
    <row r="90" spans="14:22" s="2688" customFormat="1">
      <c r="N90" s="2692"/>
      <c r="O90" s="2693"/>
      <c r="P90" s="2693"/>
      <c r="Q90" s="2693"/>
      <c r="S90" s="2703"/>
    </row>
    <row r="91" spans="14:22" s="2688" customFormat="1">
      <c r="N91" s="2692"/>
      <c r="O91" s="2693"/>
      <c r="P91" s="2693"/>
      <c r="Q91" s="2693"/>
      <c r="S91" s="2703"/>
    </row>
    <row r="92" spans="14:22" s="2688" customFormat="1">
      <c r="N92" s="2692"/>
      <c r="O92" s="2693"/>
      <c r="P92" s="2693"/>
      <c r="Q92" s="2693"/>
      <c r="S92" s="2703"/>
    </row>
    <row r="93" spans="14:22" s="2688" customFormat="1">
      <c r="N93" s="2692"/>
      <c r="O93" s="2693"/>
      <c r="P93" s="2693"/>
      <c r="Q93" s="2693"/>
      <c r="S93" s="2703"/>
    </row>
    <row r="94" spans="14:22" s="2688" customFormat="1">
      <c r="N94" s="2692"/>
      <c r="O94" s="2693"/>
      <c r="P94" s="2693"/>
      <c r="Q94" s="2693"/>
      <c r="S94" s="2703"/>
    </row>
    <row r="95" spans="14:22" s="2688" customFormat="1">
      <c r="N95" s="2692"/>
      <c r="O95" s="2693"/>
      <c r="P95" s="2693"/>
      <c r="Q95" s="2693"/>
      <c r="S95" s="2703"/>
    </row>
    <row r="96" spans="14:22" s="2688" customFormat="1">
      <c r="N96" s="2692"/>
      <c r="O96" s="2693"/>
      <c r="P96" s="2693"/>
      <c r="Q96" s="2693"/>
      <c r="S96" s="2703"/>
    </row>
    <row r="97" spans="14:17" s="2688" customFormat="1">
      <c r="N97" s="2692"/>
      <c r="O97" s="2693"/>
      <c r="P97" s="2693"/>
      <c r="Q97" s="2693"/>
    </row>
    <row r="98" spans="14:17" s="2688" customFormat="1">
      <c r="N98" s="2692"/>
      <c r="O98" s="2693"/>
      <c r="P98" s="2693"/>
      <c r="Q98" s="2693"/>
    </row>
    <row r="99" spans="14:17" s="2688" customFormat="1">
      <c r="N99" s="2692"/>
      <c r="O99" s="2693"/>
      <c r="P99" s="2693"/>
      <c r="Q99" s="2693"/>
    </row>
    <row r="100" spans="14:17" s="2688" customFormat="1">
      <c r="N100" s="2692"/>
      <c r="O100" s="2693"/>
      <c r="P100" s="2693"/>
      <c r="Q100" s="2693"/>
    </row>
    <row r="101" spans="14:17" s="2688" customFormat="1">
      <c r="N101" s="2692"/>
      <c r="O101" s="2693"/>
      <c r="P101" s="2693"/>
      <c r="Q101" s="2693"/>
    </row>
    <row r="102" spans="14:17" s="2688" customFormat="1">
      <c r="N102" s="2692"/>
      <c r="O102" s="2693"/>
      <c r="P102" s="2693"/>
      <c r="Q102" s="269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3" customWidth="1"/>
    <col min="2" max="2" width="13.25" style="2929" customWidth="1"/>
    <col min="3" max="3" width="15.625" style="2929" customWidth="1"/>
    <col min="4" max="4" width="9.375" style="2929" bestFit="1" customWidth="1"/>
    <col min="5" max="5" width="13.5" style="2929" customWidth="1"/>
    <col min="6" max="6" width="9" style="2929"/>
    <col min="7" max="7" width="9.375" style="2929" bestFit="1" customWidth="1"/>
    <col min="8" max="8" width="11.5" style="2929" customWidth="1"/>
    <col min="9" max="9" width="9" style="2929"/>
    <col min="10" max="10" width="9.375" style="2929" bestFit="1" customWidth="1"/>
    <col min="11" max="11" width="4" style="2923" customWidth="1"/>
    <col min="12" max="12" width="5.125" style="2929" customWidth="1"/>
    <col min="13" max="13" width="13.75" style="2929" customWidth="1"/>
    <col min="14" max="256" width="9" style="2929"/>
    <col min="257" max="257" width="4.875" style="2920" customWidth="1"/>
    <col min="258" max="258" width="13.25" style="2920" customWidth="1"/>
    <col min="259" max="259" width="15.625" style="2920" customWidth="1"/>
    <col min="260" max="260" width="9.375" style="2920" bestFit="1" customWidth="1"/>
    <col min="261" max="261" width="13.5" style="2920" customWidth="1"/>
    <col min="262" max="262" width="9" style="2920"/>
    <col min="263" max="263" width="9.375" style="2920" bestFit="1" customWidth="1"/>
    <col min="264" max="265" width="9" style="2920"/>
    <col min="266" max="266" width="9.375" style="2920" bestFit="1" customWidth="1"/>
    <col min="267" max="267" width="4" style="2920" customWidth="1"/>
    <col min="268" max="268" width="5.125" style="2920" customWidth="1"/>
    <col min="269" max="269" width="13.75" style="2920" customWidth="1"/>
    <col min="270" max="512" width="9" style="2920"/>
    <col min="513" max="513" width="4.875" style="2920" customWidth="1"/>
    <col min="514" max="514" width="13.25" style="2920" customWidth="1"/>
    <col min="515" max="515" width="15.625" style="2920" customWidth="1"/>
    <col min="516" max="516" width="9.375" style="2920" bestFit="1" customWidth="1"/>
    <col min="517" max="517" width="13.5" style="2920" customWidth="1"/>
    <col min="518" max="518" width="9" style="2920"/>
    <col min="519" max="519" width="9.375" style="2920" bestFit="1" customWidth="1"/>
    <col min="520" max="521" width="9" style="2920"/>
    <col min="522" max="522" width="9.375" style="2920" bestFit="1" customWidth="1"/>
    <col min="523" max="523" width="4" style="2920" customWidth="1"/>
    <col min="524" max="524" width="5.125" style="2920" customWidth="1"/>
    <col min="525" max="525" width="13.75" style="2920" customWidth="1"/>
    <col min="526" max="768" width="9" style="2920"/>
    <col min="769" max="769" width="4.875" style="2920" customWidth="1"/>
    <col min="770" max="770" width="13.25" style="2920" customWidth="1"/>
    <col min="771" max="771" width="15.625" style="2920" customWidth="1"/>
    <col min="772" max="772" width="9.375" style="2920" bestFit="1" customWidth="1"/>
    <col min="773" max="773" width="13.5" style="2920" customWidth="1"/>
    <col min="774" max="774" width="9" style="2920"/>
    <col min="775" max="775" width="9.375" style="2920" bestFit="1" customWidth="1"/>
    <col min="776" max="777" width="9" style="2920"/>
    <col min="778" max="778" width="9.375" style="2920" bestFit="1" customWidth="1"/>
    <col min="779" max="779" width="4" style="2920" customWidth="1"/>
    <col min="780" max="780" width="5.125" style="2920" customWidth="1"/>
    <col min="781" max="781" width="13.75" style="2920" customWidth="1"/>
    <col min="782" max="1024" width="9" style="2920"/>
    <col min="1025" max="1025" width="4.875" style="2920" customWidth="1"/>
    <col min="1026" max="1026" width="13.25" style="2920" customWidth="1"/>
    <col min="1027" max="1027" width="15.625" style="2920" customWidth="1"/>
    <col min="1028" max="1028" width="9.375" style="2920" bestFit="1" customWidth="1"/>
    <col min="1029" max="1029" width="13.5" style="2920" customWidth="1"/>
    <col min="1030" max="1030" width="9" style="2920"/>
    <col min="1031" max="1031" width="9.375" style="2920" bestFit="1" customWidth="1"/>
    <col min="1032" max="1033" width="9" style="2920"/>
    <col min="1034" max="1034" width="9.375" style="2920" bestFit="1" customWidth="1"/>
    <col min="1035" max="1035" width="4" style="2920" customWidth="1"/>
    <col min="1036" max="1036" width="5.125" style="2920" customWidth="1"/>
    <col min="1037" max="1037" width="13.75" style="2920" customWidth="1"/>
    <col min="1038" max="1280" width="9" style="2920"/>
    <col min="1281" max="1281" width="4.875" style="2920" customWidth="1"/>
    <col min="1282" max="1282" width="13.25" style="2920" customWidth="1"/>
    <col min="1283" max="1283" width="15.625" style="2920" customWidth="1"/>
    <col min="1284" max="1284" width="9.375" style="2920" bestFit="1" customWidth="1"/>
    <col min="1285" max="1285" width="13.5" style="2920" customWidth="1"/>
    <col min="1286" max="1286" width="9" style="2920"/>
    <col min="1287" max="1287" width="9.375" style="2920" bestFit="1" customWidth="1"/>
    <col min="1288" max="1289" width="9" style="2920"/>
    <col min="1290" max="1290" width="9.375" style="2920" bestFit="1" customWidth="1"/>
    <col min="1291" max="1291" width="4" style="2920" customWidth="1"/>
    <col min="1292" max="1292" width="5.125" style="2920" customWidth="1"/>
    <col min="1293" max="1293" width="13.75" style="2920" customWidth="1"/>
    <col min="1294" max="1536" width="9" style="2920"/>
    <col min="1537" max="1537" width="4.875" style="2920" customWidth="1"/>
    <col min="1538" max="1538" width="13.25" style="2920" customWidth="1"/>
    <col min="1539" max="1539" width="15.625" style="2920" customWidth="1"/>
    <col min="1540" max="1540" width="9.375" style="2920" bestFit="1" customWidth="1"/>
    <col min="1541" max="1541" width="13.5" style="2920" customWidth="1"/>
    <col min="1542" max="1542" width="9" style="2920"/>
    <col min="1543" max="1543" width="9.375" style="2920" bestFit="1" customWidth="1"/>
    <col min="1544" max="1545" width="9" style="2920"/>
    <col min="1546" max="1546" width="9.375" style="2920" bestFit="1" customWidth="1"/>
    <col min="1547" max="1547" width="4" style="2920" customWidth="1"/>
    <col min="1548" max="1548" width="5.125" style="2920" customWidth="1"/>
    <col min="1549" max="1549" width="13.75" style="2920" customWidth="1"/>
    <col min="1550" max="1792" width="9" style="2920"/>
    <col min="1793" max="1793" width="4.875" style="2920" customWidth="1"/>
    <col min="1794" max="1794" width="13.25" style="2920" customWidth="1"/>
    <col min="1795" max="1795" width="15.625" style="2920" customWidth="1"/>
    <col min="1796" max="1796" width="9.375" style="2920" bestFit="1" customWidth="1"/>
    <col min="1797" max="1797" width="13.5" style="2920" customWidth="1"/>
    <col min="1798" max="1798" width="9" style="2920"/>
    <col min="1799" max="1799" width="9.375" style="2920" bestFit="1" customWidth="1"/>
    <col min="1800" max="1801" width="9" style="2920"/>
    <col min="1802" max="1802" width="9.375" style="2920" bestFit="1" customWidth="1"/>
    <col min="1803" max="1803" width="4" style="2920" customWidth="1"/>
    <col min="1804" max="1804" width="5.125" style="2920" customWidth="1"/>
    <col min="1805" max="1805" width="13.75" style="2920" customWidth="1"/>
    <col min="1806" max="2048" width="9" style="2920"/>
    <col min="2049" max="2049" width="4.875" style="2920" customWidth="1"/>
    <col min="2050" max="2050" width="13.25" style="2920" customWidth="1"/>
    <col min="2051" max="2051" width="15.625" style="2920" customWidth="1"/>
    <col min="2052" max="2052" width="9.375" style="2920" bestFit="1" customWidth="1"/>
    <col min="2053" max="2053" width="13.5" style="2920" customWidth="1"/>
    <col min="2054" max="2054" width="9" style="2920"/>
    <col min="2055" max="2055" width="9.375" style="2920" bestFit="1" customWidth="1"/>
    <col min="2056" max="2057" width="9" style="2920"/>
    <col min="2058" max="2058" width="9.375" style="2920" bestFit="1" customWidth="1"/>
    <col min="2059" max="2059" width="4" style="2920" customWidth="1"/>
    <col min="2060" max="2060" width="5.125" style="2920" customWidth="1"/>
    <col min="2061" max="2061" width="13.75" style="2920" customWidth="1"/>
    <col min="2062" max="2304" width="9" style="2920"/>
    <col min="2305" max="2305" width="4.875" style="2920" customWidth="1"/>
    <col min="2306" max="2306" width="13.25" style="2920" customWidth="1"/>
    <col min="2307" max="2307" width="15.625" style="2920" customWidth="1"/>
    <col min="2308" max="2308" width="9.375" style="2920" bestFit="1" customWidth="1"/>
    <col min="2309" max="2309" width="13.5" style="2920" customWidth="1"/>
    <col min="2310" max="2310" width="9" style="2920"/>
    <col min="2311" max="2311" width="9.375" style="2920" bestFit="1" customWidth="1"/>
    <col min="2312" max="2313" width="9" style="2920"/>
    <col min="2314" max="2314" width="9.375" style="2920" bestFit="1" customWidth="1"/>
    <col min="2315" max="2315" width="4" style="2920" customWidth="1"/>
    <col min="2316" max="2316" width="5.125" style="2920" customWidth="1"/>
    <col min="2317" max="2317" width="13.75" style="2920" customWidth="1"/>
    <col min="2318" max="2560" width="9" style="2920"/>
    <col min="2561" max="2561" width="4.875" style="2920" customWidth="1"/>
    <col min="2562" max="2562" width="13.25" style="2920" customWidth="1"/>
    <col min="2563" max="2563" width="15.625" style="2920" customWidth="1"/>
    <col min="2564" max="2564" width="9.375" style="2920" bestFit="1" customWidth="1"/>
    <col min="2565" max="2565" width="13.5" style="2920" customWidth="1"/>
    <col min="2566" max="2566" width="9" style="2920"/>
    <col min="2567" max="2567" width="9.375" style="2920" bestFit="1" customWidth="1"/>
    <col min="2568" max="2569" width="9" style="2920"/>
    <col min="2570" max="2570" width="9.375" style="2920" bestFit="1" customWidth="1"/>
    <col min="2571" max="2571" width="4" style="2920" customWidth="1"/>
    <col min="2572" max="2572" width="5.125" style="2920" customWidth="1"/>
    <col min="2573" max="2573" width="13.75" style="2920" customWidth="1"/>
    <col min="2574" max="2816" width="9" style="2920"/>
    <col min="2817" max="2817" width="4.875" style="2920" customWidth="1"/>
    <col min="2818" max="2818" width="13.25" style="2920" customWidth="1"/>
    <col min="2819" max="2819" width="15.625" style="2920" customWidth="1"/>
    <col min="2820" max="2820" width="9.375" style="2920" bestFit="1" customWidth="1"/>
    <col min="2821" max="2821" width="13.5" style="2920" customWidth="1"/>
    <col min="2822" max="2822" width="9" style="2920"/>
    <col min="2823" max="2823" width="9.375" style="2920" bestFit="1" customWidth="1"/>
    <col min="2824" max="2825" width="9" style="2920"/>
    <col min="2826" max="2826" width="9.375" style="2920" bestFit="1" customWidth="1"/>
    <col min="2827" max="2827" width="4" style="2920" customWidth="1"/>
    <col min="2828" max="2828" width="5.125" style="2920" customWidth="1"/>
    <col min="2829" max="2829" width="13.75" style="2920" customWidth="1"/>
    <col min="2830" max="3072" width="9" style="2920"/>
    <col min="3073" max="3073" width="4.875" style="2920" customWidth="1"/>
    <col min="3074" max="3074" width="13.25" style="2920" customWidth="1"/>
    <col min="3075" max="3075" width="15.625" style="2920" customWidth="1"/>
    <col min="3076" max="3076" width="9.375" style="2920" bestFit="1" customWidth="1"/>
    <col min="3077" max="3077" width="13.5" style="2920" customWidth="1"/>
    <col min="3078" max="3078" width="9" style="2920"/>
    <col min="3079" max="3079" width="9.375" style="2920" bestFit="1" customWidth="1"/>
    <col min="3080" max="3081" width="9" style="2920"/>
    <col min="3082" max="3082" width="9.375" style="2920" bestFit="1" customWidth="1"/>
    <col min="3083" max="3083" width="4" style="2920" customWidth="1"/>
    <col min="3084" max="3084" width="5.125" style="2920" customWidth="1"/>
    <col min="3085" max="3085" width="13.75" style="2920" customWidth="1"/>
    <col min="3086" max="3328" width="9" style="2920"/>
    <col min="3329" max="3329" width="4.875" style="2920" customWidth="1"/>
    <col min="3330" max="3330" width="13.25" style="2920" customWidth="1"/>
    <col min="3331" max="3331" width="15.625" style="2920" customWidth="1"/>
    <col min="3332" max="3332" width="9.375" style="2920" bestFit="1" customWidth="1"/>
    <col min="3333" max="3333" width="13.5" style="2920" customWidth="1"/>
    <col min="3334" max="3334" width="9" style="2920"/>
    <col min="3335" max="3335" width="9.375" style="2920" bestFit="1" customWidth="1"/>
    <col min="3336" max="3337" width="9" style="2920"/>
    <col min="3338" max="3338" width="9.375" style="2920" bestFit="1" customWidth="1"/>
    <col min="3339" max="3339" width="4" style="2920" customWidth="1"/>
    <col min="3340" max="3340" width="5.125" style="2920" customWidth="1"/>
    <col min="3341" max="3341" width="13.75" style="2920" customWidth="1"/>
    <col min="3342" max="3584" width="9" style="2920"/>
    <col min="3585" max="3585" width="4.875" style="2920" customWidth="1"/>
    <col min="3586" max="3586" width="13.25" style="2920" customWidth="1"/>
    <col min="3587" max="3587" width="15.625" style="2920" customWidth="1"/>
    <col min="3588" max="3588" width="9.375" style="2920" bestFit="1" customWidth="1"/>
    <col min="3589" max="3589" width="13.5" style="2920" customWidth="1"/>
    <col min="3590" max="3590" width="9" style="2920"/>
    <col min="3591" max="3591" width="9.375" style="2920" bestFit="1" customWidth="1"/>
    <col min="3592" max="3593" width="9" style="2920"/>
    <col min="3594" max="3594" width="9.375" style="2920" bestFit="1" customWidth="1"/>
    <col min="3595" max="3595" width="4" style="2920" customWidth="1"/>
    <col min="3596" max="3596" width="5.125" style="2920" customWidth="1"/>
    <col min="3597" max="3597" width="13.75" style="2920" customWidth="1"/>
    <col min="3598" max="3840" width="9" style="2920"/>
    <col min="3841" max="3841" width="4.875" style="2920" customWidth="1"/>
    <col min="3842" max="3842" width="13.25" style="2920" customWidth="1"/>
    <col min="3843" max="3843" width="15.625" style="2920" customWidth="1"/>
    <col min="3844" max="3844" width="9.375" style="2920" bestFit="1" customWidth="1"/>
    <col min="3845" max="3845" width="13.5" style="2920" customWidth="1"/>
    <col min="3846" max="3846" width="9" style="2920"/>
    <col min="3847" max="3847" width="9.375" style="2920" bestFit="1" customWidth="1"/>
    <col min="3848" max="3849" width="9" style="2920"/>
    <col min="3850" max="3850" width="9.375" style="2920" bestFit="1" customWidth="1"/>
    <col min="3851" max="3851" width="4" style="2920" customWidth="1"/>
    <col min="3852" max="3852" width="5.125" style="2920" customWidth="1"/>
    <col min="3853" max="3853" width="13.75" style="2920" customWidth="1"/>
    <col min="3854" max="4096" width="9" style="2920"/>
    <col min="4097" max="4097" width="4.875" style="2920" customWidth="1"/>
    <col min="4098" max="4098" width="13.25" style="2920" customWidth="1"/>
    <col min="4099" max="4099" width="15.625" style="2920" customWidth="1"/>
    <col min="4100" max="4100" width="9.375" style="2920" bestFit="1" customWidth="1"/>
    <col min="4101" max="4101" width="13.5" style="2920" customWidth="1"/>
    <col min="4102" max="4102" width="9" style="2920"/>
    <col min="4103" max="4103" width="9.375" style="2920" bestFit="1" customWidth="1"/>
    <col min="4104" max="4105" width="9" style="2920"/>
    <col min="4106" max="4106" width="9.375" style="2920" bestFit="1" customWidth="1"/>
    <col min="4107" max="4107" width="4" style="2920" customWidth="1"/>
    <col min="4108" max="4108" width="5.125" style="2920" customWidth="1"/>
    <col min="4109" max="4109" width="13.75" style="2920" customWidth="1"/>
    <col min="4110" max="4352" width="9" style="2920"/>
    <col min="4353" max="4353" width="4.875" style="2920" customWidth="1"/>
    <col min="4354" max="4354" width="13.25" style="2920" customWidth="1"/>
    <col min="4355" max="4355" width="15.625" style="2920" customWidth="1"/>
    <col min="4356" max="4356" width="9.375" style="2920" bestFit="1" customWidth="1"/>
    <col min="4357" max="4357" width="13.5" style="2920" customWidth="1"/>
    <col min="4358" max="4358" width="9" style="2920"/>
    <col min="4359" max="4359" width="9.375" style="2920" bestFit="1" customWidth="1"/>
    <col min="4360" max="4361" width="9" style="2920"/>
    <col min="4362" max="4362" width="9.375" style="2920" bestFit="1" customWidth="1"/>
    <col min="4363" max="4363" width="4" style="2920" customWidth="1"/>
    <col min="4364" max="4364" width="5.125" style="2920" customWidth="1"/>
    <col min="4365" max="4365" width="13.75" style="2920" customWidth="1"/>
    <col min="4366" max="4608" width="9" style="2920"/>
    <col min="4609" max="4609" width="4.875" style="2920" customWidth="1"/>
    <col min="4610" max="4610" width="13.25" style="2920" customWidth="1"/>
    <col min="4611" max="4611" width="15.625" style="2920" customWidth="1"/>
    <col min="4612" max="4612" width="9.375" style="2920" bestFit="1" customWidth="1"/>
    <col min="4613" max="4613" width="13.5" style="2920" customWidth="1"/>
    <col min="4614" max="4614" width="9" style="2920"/>
    <col min="4615" max="4615" width="9.375" style="2920" bestFit="1" customWidth="1"/>
    <col min="4616" max="4617" width="9" style="2920"/>
    <col min="4618" max="4618" width="9.375" style="2920" bestFit="1" customWidth="1"/>
    <col min="4619" max="4619" width="4" style="2920" customWidth="1"/>
    <col min="4620" max="4620" width="5.125" style="2920" customWidth="1"/>
    <col min="4621" max="4621" width="13.75" style="2920" customWidth="1"/>
    <col min="4622" max="4864" width="9" style="2920"/>
    <col min="4865" max="4865" width="4.875" style="2920" customWidth="1"/>
    <col min="4866" max="4866" width="13.25" style="2920" customWidth="1"/>
    <col min="4867" max="4867" width="15.625" style="2920" customWidth="1"/>
    <col min="4868" max="4868" width="9.375" style="2920" bestFit="1" customWidth="1"/>
    <col min="4869" max="4869" width="13.5" style="2920" customWidth="1"/>
    <col min="4870" max="4870" width="9" style="2920"/>
    <col min="4871" max="4871" width="9.375" style="2920" bestFit="1" customWidth="1"/>
    <col min="4872" max="4873" width="9" style="2920"/>
    <col min="4874" max="4874" width="9.375" style="2920" bestFit="1" customWidth="1"/>
    <col min="4875" max="4875" width="4" style="2920" customWidth="1"/>
    <col min="4876" max="4876" width="5.125" style="2920" customWidth="1"/>
    <col min="4877" max="4877" width="13.75" style="2920" customWidth="1"/>
    <col min="4878" max="5120" width="9" style="2920"/>
    <col min="5121" max="5121" width="4.875" style="2920" customWidth="1"/>
    <col min="5122" max="5122" width="13.25" style="2920" customWidth="1"/>
    <col min="5123" max="5123" width="15.625" style="2920" customWidth="1"/>
    <col min="5124" max="5124" width="9.375" style="2920" bestFit="1" customWidth="1"/>
    <col min="5125" max="5125" width="13.5" style="2920" customWidth="1"/>
    <col min="5126" max="5126" width="9" style="2920"/>
    <col min="5127" max="5127" width="9.375" style="2920" bestFit="1" customWidth="1"/>
    <col min="5128" max="5129" width="9" style="2920"/>
    <col min="5130" max="5130" width="9.375" style="2920" bestFit="1" customWidth="1"/>
    <col min="5131" max="5131" width="4" style="2920" customWidth="1"/>
    <col min="5132" max="5132" width="5.125" style="2920" customWidth="1"/>
    <col min="5133" max="5133" width="13.75" style="2920" customWidth="1"/>
    <col min="5134" max="5376" width="9" style="2920"/>
    <col min="5377" max="5377" width="4.875" style="2920" customWidth="1"/>
    <col min="5378" max="5378" width="13.25" style="2920" customWidth="1"/>
    <col min="5379" max="5379" width="15.625" style="2920" customWidth="1"/>
    <col min="5380" max="5380" width="9.375" style="2920" bestFit="1" customWidth="1"/>
    <col min="5381" max="5381" width="13.5" style="2920" customWidth="1"/>
    <col min="5382" max="5382" width="9" style="2920"/>
    <col min="5383" max="5383" width="9.375" style="2920" bestFit="1" customWidth="1"/>
    <col min="5384" max="5385" width="9" style="2920"/>
    <col min="5386" max="5386" width="9.375" style="2920" bestFit="1" customWidth="1"/>
    <col min="5387" max="5387" width="4" style="2920" customWidth="1"/>
    <col min="5388" max="5388" width="5.125" style="2920" customWidth="1"/>
    <col min="5389" max="5389" width="13.75" style="2920" customWidth="1"/>
    <col min="5390" max="5632" width="9" style="2920"/>
    <col min="5633" max="5633" width="4.875" style="2920" customWidth="1"/>
    <col min="5634" max="5634" width="13.25" style="2920" customWidth="1"/>
    <col min="5635" max="5635" width="15.625" style="2920" customWidth="1"/>
    <col min="5636" max="5636" width="9.375" style="2920" bestFit="1" customWidth="1"/>
    <col min="5637" max="5637" width="13.5" style="2920" customWidth="1"/>
    <col min="5638" max="5638" width="9" style="2920"/>
    <col min="5639" max="5639" width="9.375" style="2920" bestFit="1" customWidth="1"/>
    <col min="5640" max="5641" width="9" style="2920"/>
    <col min="5642" max="5642" width="9.375" style="2920" bestFit="1" customWidth="1"/>
    <col min="5643" max="5643" width="4" style="2920" customWidth="1"/>
    <col min="5644" max="5644" width="5.125" style="2920" customWidth="1"/>
    <col min="5645" max="5645" width="13.75" style="2920" customWidth="1"/>
    <col min="5646" max="5888" width="9" style="2920"/>
    <col min="5889" max="5889" width="4.875" style="2920" customWidth="1"/>
    <col min="5890" max="5890" width="13.25" style="2920" customWidth="1"/>
    <col min="5891" max="5891" width="15.625" style="2920" customWidth="1"/>
    <col min="5892" max="5892" width="9.375" style="2920" bestFit="1" customWidth="1"/>
    <col min="5893" max="5893" width="13.5" style="2920" customWidth="1"/>
    <col min="5894" max="5894" width="9" style="2920"/>
    <col min="5895" max="5895" width="9.375" style="2920" bestFit="1" customWidth="1"/>
    <col min="5896" max="5897" width="9" style="2920"/>
    <col min="5898" max="5898" width="9.375" style="2920" bestFit="1" customWidth="1"/>
    <col min="5899" max="5899" width="4" style="2920" customWidth="1"/>
    <col min="5900" max="5900" width="5.125" style="2920" customWidth="1"/>
    <col min="5901" max="5901" width="13.75" style="2920" customWidth="1"/>
    <col min="5902" max="6144" width="9" style="2920"/>
    <col min="6145" max="6145" width="4.875" style="2920" customWidth="1"/>
    <col min="6146" max="6146" width="13.25" style="2920" customWidth="1"/>
    <col min="6147" max="6147" width="15.625" style="2920" customWidth="1"/>
    <col min="6148" max="6148" width="9.375" style="2920" bestFit="1" customWidth="1"/>
    <col min="6149" max="6149" width="13.5" style="2920" customWidth="1"/>
    <col min="6150" max="6150" width="9" style="2920"/>
    <col min="6151" max="6151" width="9.375" style="2920" bestFit="1" customWidth="1"/>
    <col min="6152" max="6153" width="9" style="2920"/>
    <col min="6154" max="6154" width="9.375" style="2920" bestFit="1" customWidth="1"/>
    <col min="6155" max="6155" width="4" style="2920" customWidth="1"/>
    <col min="6156" max="6156" width="5.125" style="2920" customWidth="1"/>
    <col min="6157" max="6157" width="13.75" style="2920" customWidth="1"/>
    <col min="6158" max="6400" width="9" style="2920"/>
    <col min="6401" max="6401" width="4.875" style="2920" customWidth="1"/>
    <col min="6402" max="6402" width="13.25" style="2920" customWidth="1"/>
    <col min="6403" max="6403" width="15.625" style="2920" customWidth="1"/>
    <col min="6404" max="6404" width="9.375" style="2920" bestFit="1" customWidth="1"/>
    <col min="6405" max="6405" width="13.5" style="2920" customWidth="1"/>
    <col min="6406" max="6406" width="9" style="2920"/>
    <col min="6407" max="6407" width="9.375" style="2920" bestFit="1" customWidth="1"/>
    <col min="6408" max="6409" width="9" style="2920"/>
    <col min="6410" max="6410" width="9.375" style="2920" bestFit="1" customWidth="1"/>
    <col min="6411" max="6411" width="4" style="2920" customWidth="1"/>
    <col min="6412" max="6412" width="5.125" style="2920" customWidth="1"/>
    <col min="6413" max="6413" width="13.75" style="2920" customWidth="1"/>
    <col min="6414" max="6656" width="9" style="2920"/>
    <col min="6657" max="6657" width="4.875" style="2920" customWidth="1"/>
    <col min="6658" max="6658" width="13.25" style="2920" customWidth="1"/>
    <col min="6659" max="6659" width="15.625" style="2920" customWidth="1"/>
    <col min="6660" max="6660" width="9.375" style="2920" bestFit="1" customWidth="1"/>
    <col min="6661" max="6661" width="13.5" style="2920" customWidth="1"/>
    <col min="6662" max="6662" width="9" style="2920"/>
    <col min="6663" max="6663" width="9.375" style="2920" bestFit="1" customWidth="1"/>
    <col min="6664" max="6665" width="9" style="2920"/>
    <col min="6666" max="6666" width="9.375" style="2920" bestFit="1" customWidth="1"/>
    <col min="6667" max="6667" width="4" style="2920" customWidth="1"/>
    <col min="6668" max="6668" width="5.125" style="2920" customWidth="1"/>
    <col min="6669" max="6669" width="13.75" style="2920" customWidth="1"/>
    <col min="6670" max="6912" width="9" style="2920"/>
    <col min="6913" max="6913" width="4.875" style="2920" customWidth="1"/>
    <col min="6914" max="6914" width="13.25" style="2920" customWidth="1"/>
    <col min="6915" max="6915" width="15.625" style="2920" customWidth="1"/>
    <col min="6916" max="6916" width="9.375" style="2920" bestFit="1" customWidth="1"/>
    <col min="6917" max="6917" width="13.5" style="2920" customWidth="1"/>
    <col min="6918" max="6918" width="9" style="2920"/>
    <col min="6919" max="6919" width="9.375" style="2920" bestFit="1" customWidth="1"/>
    <col min="6920" max="6921" width="9" style="2920"/>
    <col min="6922" max="6922" width="9.375" style="2920" bestFit="1" customWidth="1"/>
    <col min="6923" max="6923" width="4" style="2920" customWidth="1"/>
    <col min="6924" max="6924" width="5.125" style="2920" customWidth="1"/>
    <col min="6925" max="6925" width="13.75" style="2920" customWidth="1"/>
    <col min="6926" max="7168" width="9" style="2920"/>
    <col min="7169" max="7169" width="4.875" style="2920" customWidth="1"/>
    <col min="7170" max="7170" width="13.25" style="2920" customWidth="1"/>
    <col min="7171" max="7171" width="15.625" style="2920" customWidth="1"/>
    <col min="7172" max="7172" width="9.375" style="2920" bestFit="1" customWidth="1"/>
    <col min="7173" max="7173" width="13.5" style="2920" customWidth="1"/>
    <col min="7174" max="7174" width="9" style="2920"/>
    <col min="7175" max="7175" width="9.375" style="2920" bestFit="1" customWidth="1"/>
    <col min="7176" max="7177" width="9" style="2920"/>
    <col min="7178" max="7178" width="9.375" style="2920" bestFit="1" customWidth="1"/>
    <col min="7179" max="7179" width="4" style="2920" customWidth="1"/>
    <col min="7180" max="7180" width="5.125" style="2920" customWidth="1"/>
    <col min="7181" max="7181" width="13.75" style="2920" customWidth="1"/>
    <col min="7182" max="7424" width="9" style="2920"/>
    <col min="7425" max="7425" width="4.875" style="2920" customWidth="1"/>
    <col min="7426" max="7426" width="13.25" style="2920" customWidth="1"/>
    <col min="7427" max="7427" width="15.625" style="2920" customWidth="1"/>
    <col min="7428" max="7428" width="9.375" style="2920" bestFit="1" customWidth="1"/>
    <col min="7429" max="7429" width="13.5" style="2920" customWidth="1"/>
    <col min="7430" max="7430" width="9" style="2920"/>
    <col min="7431" max="7431" width="9.375" style="2920" bestFit="1" customWidth="1"/>
    <col min="7432" max="7433" width="9" style="2920"/>
    <col min="7434" max="7434" width="9.375" style="2920" bestFit="1" customWidth="1"/>
    <col min="7435" max="7435" width="4" style="2920" customWidth="1"/>
    <col min="7436" max="7436" width="5.125" style="2920" customWidth="1"/>
    <col min="7437" max="7437" width="13.75" style="2920" customWidth="1"/>
    <col min="7438" max="7680" width="9" style="2920"/>
    <col min="7681" max="7681" width="4.875" style="2920" customWidth="1"/>
    <col min="7682" max="7682" width="13.25" style="2920" customWidth="1"/>
    <col min="7683" max="7683" width="15.625" style="2920" customWidth="1"/>
    <col min="7684" max="7684" width="9.375" style="2920" bestFit="1" customWidth="1"/>
    <col min="7685" max="7685" width="13.5" style="2920" customWidth="1"/>
    <col min="7686" max="7686" width="9" style="2920"/>
    <col min="7687" max="7687" width="9.375" style="2920" bestFit="1" customWidth="1"/>
    <col min="7688" max="7689" width="9" style="2920"/>
    <col min="7690" max="7690" width="9.375" style="2920" bestFit="1" customWidth="1"/>
    <col min="7691" max="7691" width="4" style="2920" customWidth="1"/>
    <col min="7692" max="7692" width="5.125" style="2920" customWidth="1"/>
    <col min="7693" max="7693" width="13.75" style="2920" customWidth="1"/>
    <col min="7694" max="7936" width="9" style="2920"/>
    <col min="7937" max="7937" width="4.875" style="2920" customWidth="1"/>
    <col min="7938" max="7938" width="13.25" style="2920" customWidth="1"/>
    <col min="7939" max="7939" width="15.625" style="2920" customWidth="1"/>
    <col min="7940" max="7940" width="9.375" style="2920" bestFit="1" customWidth="1"/>
    <col min="7941" max="7941" width="13.5" style="2920" customWidth="1"/>
    <col min="7942" max="7942" width="9" style="2920"/>
    <col min="7943" max="7943" width="9.375" style="2920" bestFit="1" customWidth="1"/>
    <col min="7944" max="7945" width="9" style="2920"/>
    <col min="7946" max="7946" width="9.375" style="2920" bestFit="1" customWidth="1"/>
    <col min="7947" max="7947" width="4" style="2920" customWidth="1"/>
    <col min="7948" max="7948" width="5.125" style="2920" customWidth="1"/>
    <col min="7949" max="7949" width="13.75" style="2920" customWidth="1"/>
    <col min="7950" max="8192" width="9" style="2920"/>
    <col min="8193" max="8193" width="4.875" style="2920" customWidth="1"/>
    <col min="8194" max="8194" width="13.25" style="2920" customWidth="1"/>
    <col min="8195" max="8195" width="15.625" style="2920" customWidth="1"/>
    <col min="8196" max="8196" width="9.375" style="2920" bestFit="1" customWidth="1"/>
    <col min="8197" max="8197" width="13.5" style="2920" customWidth="1"/>
    <col min="8198" max="8198" width="9" style="2920"/>
    <col min="8199" max="8199" width="9.375" style="2920" bestFit="1" customWidth="1"/>
    <col min="8200" max="8201" width="9" style="2920"/>
    <col min="8202" max="8202" width="9.375" style="2920" bestFit="1" customWidth="1"/>
    <col min="8203" max="8203" width="4" style="2920" customWidth="1"/>
    <col min="8204" max="8204" width="5.125" style="2920" customWidth="1"/>
    <col min="8205" max="8205" width="13.75" style="2920" customWidth="1"/>
    <col min="8206" max="8448" width="9" style="2920"/>
    <col min="8449" max="8449" width="4.875" style="2920" customWidth="1"/>
    <col min="8450" max="8450" width="13.25" style="2920" customWidth="1"/>
    <col min="8451" max="8451" width="15.625" style="2920" customWidth="1"/>
    <col min="8452" max="8452" width="9.375" style="2920" bestFit="1" customWidth="1"/>
    <col min="8453" max="8453" width="13.5" style="2920" customWidth="1"/>
    <col min="8454" max="8454" width="9" style="2920"/>
    <col min="8455" max="8455" width="9.375" style="2920" bestFit="1" customWidth="1"/>
    <col min="8456" max="8457" width="9" style="2920"/>
    <col min="8458" max="8458" width="9.375" style="2920" bestFit="1" customWidth="1"/>
    <col min="8459" max="8459" width="4" style="2920" customWidth="1"/>
    <col min="8460" max="8460" width="5.125" style="2920" customWidth="1"/>
    <col min="8461" max="8461" width="13.75" style="2920" customWidth="1"/>
    <col min="8462" max="8704" width="9" style="2920"/>
    <col min="8705" max="8705" width="4.875" style="2920" customWidth="1"/>
    <col min="8706" max="8706" width="13.25" style="2920" customWidth="1"/>
    <col min="8707" max="8707" width="15.625" style="2920" customWidth="1"/>
    <col min="8708" max="8708" width="9.375" style="2920" bestFit="1" customWidth="1"/>
    <col min="8709" max="8709" width="13.5" style="2920" customWidth="1"/>
    <col min="8710" max="8710" width="9" style="2920"/>
    <col min="8711" max="8711" width="9.375" style="2920" bestFit="1" customWidth="1"/>
    <col min="8712" max="8713" width="9" style="2920"/>
    <col min="8714" max="8714" width="9.375" style="2920" bestFit="1" customWidth="1"/>
    <col min="8715" max="8715" width="4" style="2920" customWidth="1"/>
    <col min="8716" max="8716" width="5.125" style="2920" customWidth="1"/>
    <col min="8717" max="8717" width="13.75" style="2920" customWidth="1"/>
    <col min="8718" max="8960" width="9" style="2920"/>
    <col min="8961" max="8961" width="4.875" style="2920" customWidth="1"/>
    <col min="8962" max="8962" width="13.25" style="2920" customWidth="1"/>
    <col min="8963" max="8963" width="15.625" style="2920" customWidth="1"/>
    <col min="8964" max="8964" width="9.375" style="2920" bestFit="1" customWidth="1"/>
    <col min="8965" max="8965" width="13.5" style="2920" customWidth="1"/>
    <col min="8966" max="8966" width="9" style="2920"/>
    <col min="8967" max="8967" width="9.375" style="2920" bestFit="1" customWidth="1"/>
    <col min="8968" max="8969" width="9" style="2920"/>
    <col min="8970" max="8970" width="9.375" style="2920" bestFit="1" customWidth="1"/>
    <col min="8971" max="8971" width="4" style="2920" customWidth="1"/>
    <col min="8972" max="8972" width="5.125" style="2920" customWidth="1"/>
    <col min="8973" max="8973" width="13.75" style="2920" customWidth="1"/>
    <col min="8974" max="9216" width="9" style="2920"/>
    <col min="9217" max="9217" width="4.875" style="2920" customWidth="1"/>
    <col min="9218" max="9218" width="13.25" style="2920" customWidth="1"/>
    <col min="9219" max="9219" width="15.625" style="2920" customWidth="1"/>
    <col min="9220" max="9220" width="9.375" style="2920" bestFit="1" customWidth="1"/>
    <col min="9221" max="9221" width="13.5" style="2920" customWidth="1"/>
    <col min="9222" max="9222" width="9" style="2920"/>
    <col min="9223" max="9223" width="9.375" style="2920" bestFit="1" customWidth="1"/>
    <col min="9224" max="9225" width="9" style="2920"/>
    <col min="9226" max="9226" width="9.375" style="2920" bestFit="1" customWidth="1"/>
    <col min="9227" max="9227" width="4" style="2920" customWidth="1"/>
    <col min="9228" max="9228" width="5.125" style="2920" customWidth="1"/>
    <col min="9229" max="9229" width="13.75" style="2920" customWidth="1"/>
    <col min="9230" max="9472" width="9" style="2920"/>
    <col min="9473" max="9473" width="4.875" style="2920" customWidth="1"/>
    <col min="9474" max="9474" width="13.25" style="2920" customWidth="1"/>
    <col min="9475" max="9475" width="15.625" style="2920" customWidth="1"/>
    <col min="9476" max="9476" width="9.375" style="2920" bestFit="1" customWidth="1"/>
    <col min="9477" max="9477" width="13.5" style="2920" customWidth="1"/>
    <col min="9478" max="9478" width="9" style="2920"/>
    <col min="9479" max="9479" width="9.375" style="2920" bestFit="1" customWidth="1"/>
    <col min="9480" max="9481" width="9" style="2920"/>
    <col min="9482" max="9482" width="9.375" style="2920" bestFit="1" customWidth="1"/>
    <col min="9483" max="9483" width="4" style="2920" customWidth="1"/>
    <col min="9484" max="9484" width="5.125" style="2920" customWidth="1"/>
    <col min="9485" max="9485" width="13.75" style="2920" customWidth="1"/>
    <col min="9486" max="9728" width="9" style="2920"/>
    <col min="9729" max="9729" width="4.875" style="2920" customWidth="1"/>
    <col min="9730" max="9730" width="13.25" style="2920" customWidth="1"/>
    <col min="9731" max="9731" width="15.625" style="2920" customWidth="1"/>
    <col min="9732" max="9732" width="9.375" style="2920" bestFit="1" customWidth="1"/>
    <col min="9733" max="9733" width="13.5" style="2920" customWidth="1"/>
    <col min="9734" max="9734" width="9" style="2920"/>
    <col min="9735" max="9735" width="9.375" style="2920" bestFit="1" customWidth="1"/>
    <col min="9736" max="9737" width="9" style="2920"/>
    <col min="9738" max="9738" width="9.375" style="2920" bestFit="1" customWidth="1"/>
    <col min="9739" max="9739" width="4" style="2920" customWidth="1"/>
    <col min="9740" max="9740" width="5.125" style="2920" customWidth="1"/>
    <col min="9741" max="9741" width="13.75" style="2920" customWidth="1"/>
    <col min="9742" max="9984" width="9" style="2920"/>
    <col min="9985" max="9985" width="4.875" style="2920" customWidth="1"/>
    <col min="9986" max="9986" width="13.25" style="2920" customWidth="1"/>
    <col min="9987" max="9987" width="15.625" style="2920" customWidth="1"/>
    <col min="9988" max="9988" width="9.375" style="2920" bestFit="1" customWidth="1"/>
    <col min="9989" max="9989" width="13.5" style="2920" customWidth="1"/>
    <col min="9990" max="9990" width="9" style="2920"/>
    <col min="9991" max="9991" width="9.375" style="2920" bestFit="1" customWidth="1"/>
    <col min="9992" max="9993" width="9" style="2920"/>
    <col min="9994" max="9994" width="9.375" style="2920" bestFit="1" customWidth="1"/>
    <col min="9995" max="9995" width="4" style="2920" customWidth="1"/>
    <col min="9996" max="9996" width="5.125" style="2920" customWidth="1"/>
    <col min="9997" max="9997" width="13.75" style="2920" customWidth="1"/>
    <col min="9998" max="10240" width="9" style="2920"/>
    <col min="10241" max="10241" width="4.875" style="2920" customWidth="1"/>
    <col min="10242" max="10242" width="13.25" style="2920" customWidth="1"/>
    <col min="10243" max="10243" width="15.625" style="2920" customWidth="1"/>
    <col min="10244" max="10244" width="9.375" style="2920" bestFit="1" customWidth="1"/>
    <col min="10245" max="10245" width="13.5" style="2920" customWidth="1"/>
    <col min="10246" max="10246" width="9" style="2920"/>
    <col min="10247" max="10247" width="9.375" style="2920" bestFit="1" customWidth="1"/>
    <col min="10248" max="10249" width="9" style="2920"/>
    <col min="10250" max="10250" width="9.375" style="2920" bestFit="1" customWidth="1"/>
    <col min="10251" max="10251" width="4" style="2920" customWidth="1"/>
    <col min="10252" max="10252" width="5.125" style="2920" customWidth="1"/>
    <col min="10253" max="10253" width="13.75" style="2920" customWidth="1"/>
    <col min="10254" max="10496" width="9" style="2920"/>
    <col min="10497" max="10497" width="4.875" style="2920" customWidth="1"/>
    <col min="10498" max="10498" width="13.25" style="2920" customWidth="1"/>
    <col min="10499" max="10499" width="15.625" style="2920" customWidth="1"/>
    <col min="10500" max="10500" width="9.375" style="2920" bestFit="1" customWidth="1"/>
    <col min="10501" max="10501" width="13.5" style="2920" customWidth="1"/>
    <col min="10502" max="10502" width="9" style="2920"/>
    <col min="10503" max="10503" width="9.375" style="2920" bestFit="1" customWidth="1"/>
    <col min="10504" max="10505" width="9" style="2920"/>
    <col min="10506" max="10506" width="9.375" style="2920" bestFit="1" customWidth="1"/>
    <col min="10507" max="10507" width="4" style="2920" customWidth="1"/>
    <col min="10508" max="10508" width="5.125" style="2920" customWidth="1"/>
    <col min="10509" max="10509" width="13.75" style="2920" customWidth="1"/>
    <col min="10510" max="10752" width="9" style="2920"/>
    <col min="10753" max="10753" width="4.875" style="2920" customWidth="1"/>
    <col min="10754" max="10754" width="13.25" style="2920" customWidth="1"/>
    <col min="10755" max="10755" width="15.625" style="2920" customWidth="1"/>
    <col min="10756" max="10756" width="9.375" style="2920" bestFit="1" customWidth="1"/>
    <col min="10757" max="10757" width="13.5" style="2920" customWidth="1"/>
    <col min="10758" max="10758" width="9" style="2920"/>
    <col min="10759" max="10759" width="9.375" style="2920" bestFit="1" customWidth="1"/>
    <col min="10760" max="10761" width="9" style="2920"/>
    <col min="10762" max="10762" width="9.375" style="2920" bestFit="1" customWidth="1"/>
    <col min="10763" max="10763" width="4" style="2920" customWidth="1"/>
    <col min="10764" max="10764" width="5.125" style="2920" customWidth="1"/>
    <col min="10765" max="10765" width="13.75" style="2920" customWidth="1"/>
    <col min="10766" max="11008" width="9" style="2920"/>
    <col min="11009" max="11009" width="4.875" style="2920" customWidth="1"/>
    <col min="11010" max="11010" width="13.25" style="2920" customWidth="1"/>
    <col min="11011" max="11011" width="15.625" style="2920" customWidth="1"/>
    <col min="11012" max="11012" width="9.375" style="2920" bestFit="1" customWidth="1"/>
    <col min="11013" max="11013" width="13.5" style="2920" customWidth="1"/>
    <col min="11014" max="11014" width="9" style="2920"/>
    <col min="11015" max="11015" width="9.375" style="2920" bestFit="1" customWidth="1"/>
    <col min="11016" max="11017" width="9" style="2920"/>
    <col min="11018" max="11018" width="9.375" style="2920" bestFit="1" customWidth="1"/>
    <col min="11019" max="11019" width="4" style="2920" customWidth="1"/>
    <col min="11020" max="11020" width="5.125" style="2920" customWidth="1"/>
    <col min="11021" max="11021" width="13.75" style="2920" customWidth="1"/>
    <col min="11022" max="11264" width="9" style="2920"/>
    <col min="11265" max="11265" width="4.875" style="2920" customWidth="1"/>
    <col min="11266" max="11266" width="13.25" style="2920" customWidth="1"/>
    <col min="11267" max="11267" width="15.625" style="2920" customWidth="1"/>
    <col min="11268" max="11268" width="9.375" style="2920" bestFit="1" customWidth="1"/>
    <col min="11269" max="11269" width="13.5" style="2920" customWidth="1"/>
    <col min="11270" max="11270" width="9" style="2920"/>
    <col min="11271" max="11271" width="9.375" style="2920" bestFit="1" customWidth="1"/>
    <col min="11272" max="11273" width="9" style="2920"/>
    <col min="11274" max="11274" width="9.375" style="2920" bestFit="1" customWidth="1"/>
    <col min="11275" max="11275" width="4" style="2920" customWidth="1"/>
    <col min="11276" max="11276" width="5.125" style="2920" customWidth="1"/>
    <col min="11277" max="11277" width="13.75" style="2920" customWidth="1"/>
    <col min="11278" max="11520" width="9" style="2920"/>
    <col min="11521" max="11521" width="4.875" style="2920" customWidth="1"/>
    <col min="11522" max="11522" width="13.25" style="2920" customWidth="1"/>
    <col min="11523" max="11523" width="15.625" style="2920" customWidth="1"/>
    <col min="11524" max="11524" width="9.375" style="2920" bestFit="1" customWidth="1"/>
    <col min="11525" max="11525" width="13.5" style="2920" customWidth="1"/>
    <col min="11526" max="11526" width="9" style="2920"/>
    <col min="11527" max="11527" width="9.375" style="2920" bestFit="1" customWidth="1"/>
    <col min="11528" max="11529" width="9" style="2920"/>
    <col min="11530" max="11530" width="9.375" style="2920" bestFit="1" customWidth="1"/>
    <col min="11531" max="11531" width="4" style="2920" customWidth="1"/>
    <col min="11532" max="11532" width="5.125" style="2920" customWidth="1"/>
    <col min="11533" max="11533" width="13.75" style="2920" customWidth="1"/>
    <col min="11534" max="11776" width="9" style="2920"/>
    <col min="11777" max="11777" width="4.875" style="2920" customWidth="1"/>
    <col min="11778" max="11778" width="13.25" style="2920" customWidth="1"/>
    <col min="11779" max="11779" width="15.625" style="2920" customWidth="1"/>
    <col min="11780" max="11780" width="9.375" style="2920" bestFit="1" customWidth="1"/>
    <col min="11781" max="11781" width="13.5" style="2920" customWidth="1"/>
    <col min="11782" max="11782" width="9" style="2920"/>
    <col min="11783" max="11783" width="9.375" style="2920" bestFit="1" customWidth="1"/>
    <col min="11784" max="11785" width="9" style="2920"/>
    <col min="11786" max="11786" width="9.375" style="2920" bestFit="1" customWidth="1"/>
    <col min="11787" max="11787" width="4" style="2920" customWidth="1"/>
    <col min="11788" max="11788" width="5.125" style="2920" customWidth="1"/>
    <col min="11789" max="11789" width="13.75" style="2920" customWidth="1"/>
    <col min="11790" max="12032" width="9" style="2920"/>
    <col min="12033" max="12033" width="4.875" style="2920" customWidth="1"/>
    <col min="12034" max="12034" width="13.25" style="2920" customWidth="1"/>
    <col min="12035" max="12035" width="15.625" style="2920" customWidth="1"/>
    <col min="12036" max="12036" width="9.375" style="2920" bestFit="1" customWidth="1"/>
    <col min="12037" max="12037" width="13.5" style="2920" customWidth="1"/>
    <col min="12038" max="12038" width="9" style="2920"/>
    <col min="12039" max="12039" width="9.375" style="2920" bestFit="1" customWidth="1"/>
    <col min="12040" max="12041" width="9" style="2920"/>
    <col min="12042" max="12042" width="9.375" style="2920" bestFit="1" customWidth="1"/>
    <col min="12043" max="12043" width="4" style="2920" customWidth="1"/>
    <col min="12044" max="12044" width="5.125" style="2920" customWidth="1"/>
    <col min="12045" max="12045" width="13.75" style="2920" customWidth="1"/>
    <col min="12046" max="12288" width="9" style="2920"/>
    <col min="12289" max="12289" width="4.875" style="2920" customWidth="1"/>
    <col min="12290" max="12290" width="13.25" style="2920" customWidth="1"/>
    <col min="12291" max="12291" width="15.625" style="2920" customWidth="1"/>
    <col min="12292" max="12292" width="9.375" style="2920" bestFit="1" customWidth="1"/>
    <col min="12293" max="12293" width="13.5" style="2920" customWidth="1"/>
    <col min="12294" max="12294" width="9" style="2920"/>
    <col min="12295" max="12295" width="9.375" style="2920" bestFit="1" customWidth="1"/>
    <col min="12296" max="12297" width="9" style="2920"/>
    <col min="12298" max="12298" width="9.375" style="2920" bestFit="1" customWidth="1"/>
    <col min="12299" max="12299" width="4" style="2920" customWidth="1"/>
    <col min="12300" max="12300" width="5.125" style="2920" customWidth="1"/>
    <col min="12301" max="12301" width="13.75" style="2920" customWidth="1"/>
    <col min="12302" max="12544" width="9" style="2920"/>
    <col min="12545" max="12545" width="4.875" style="2920" customWidth="1"/>
    <col min="12546" max="12546" width="13.25" style="2920" customWidth="1"/>
    <col min="12547" max="12547" width="15.625" style="2920" customWidth="1"/>
    <col min="12548" max="12548" width="9.375" style="2920" bestFit="1" customWidth="1"/>
    <col min="12549" max="12549" width="13.5" style="2920" customWidth="1"/>
    <col min="12550" max="12550" width="9" style="2920"/>
    <col min="12551" max="12551" width="9.375" style="2920" bestFit="1" customWidth="1"/>
    <col min="12552" max="12553" width="9" style="2920"/>
    <col min="12554" max="12554" width="9.375" style="2920" bestFit="1" customWidth="1"/>
    <col min="12555" max="12555" width="4" style="2920" customWidth="1"/>
    <col min="12556" max="12556" width="5.125" style="2920" customWidth="1"/>
    <col min="12557" max="12557" width="13.75" style="2920" customWidth="1"/>
    <col min="12558" max="12800" width="9" style="2920"/>
    <col min="12801" max="12801" width="4.875" style="2920" customWidth="1"/>
    <col min="12802" max="12802" width="13.25" style="2920" customWidth="1"/>
    <col min="12803" max="12803" width="15.625" style="2920" customWidth="1"/>
    <col min="12804" max="12804" width="9.375" style="2920" bestFit="1" customWidth="1"/>
    <col min="12805" max="12805" width="13.5" style="2920" customWidth="1"/>
    <col min="12806" max="12806" width="9" style="2920"/>
    <col min="12807" max="12807" width="9.375" style="2920" bestFit="1" customWidth="1"/>
    <col min="12808" max="12809" width="9" style="2920"/>
    <col min="12810" max="12810" width="9.375" style="2920" bestFit="1" customWidth="1"/>
    <col min="12811" max="12811" width="4" style="2920" customWidth="1"/>
    <col min="12812" max="12812" width="5.125" style="2920" customWidth="1"/>
    <col min="12813" max="12813" width="13.75" style="2920" customWidth="1"/>
    <col min="12814" max="13056" width="9" style="2920"/>
    <col min="13057" max="13057" width="4.875" style="2920" customWidth="1"/>
    <col min="13058" max="13058" width="13.25" style="2920" customWidth="1"/>
    <col min="13059" max="13059" width="15.625" style="2920" customWidth="1"/>
    <col min="13060" max="13060" width="9.375" style="2920" bestFit="1" customWidth="1"/>
    <col min="13061" max="13061" width="13.5" style="2920" customWidth="1"/>
    <col min="13062" max="13062" width="9" style="2920"/>
    <col min="13063" max="13063" width="9.375" style="2920" bestFit="1" customWidth="1"/>
    <col min="13064" max="13065" width="9" style="2920"/>
    <col min="13066" max="13066" width="9.375" style="2920" bestFit="1" customWidth="1"/>
    <col min="13067" max="13067" width="4" style="2920" customWidth="1"/>
    <col min="13068" max="13068" width="5.125" style="2920" customWidth="1"/>
    <col min="13069" max="13069" width="13.75" style="2920" customWidth="1"/>
    <col min="13070" max="13312" width="9" style="2920"/>
    <col min="13313" max="13313" width="4.875" style="2920" customWidth="1"/>
    <col min="13314" max="13314" width="13.25" style="2920" customWidth="1"/>
    <col min="13315" max="13315" width="15.625" style="2920" customWidth="1"/>
    <col min="13316" max="13316" width="9.375" style="2920" bestFit="1" customWidth="1"/>
    <col min="13317" max="13317" width="13.5" style="2920" customWidth="1"/>
    <col min="13318" max="13318" width="9" style="2920"/>
    <col min="13319" max="13319" width="9.375" style="2920" bestFit="1" customWidth="1"/>
    <col min="13320" max="13321" width="9" style="2920"/>
    <col min="13322" max="13322" width="9.375" style="2920" bestFit="1" customWidth="1"/>
    <col min="13323" max="13323" width="4" style="2920" customWidth="1"/>
    <col min="13324" max="13324" width="5.125" style="2920" customWidth="1"/>
    <col min="13325" max="13325" width="13.75" style="2920" customWidth="1"/>
    <col min="13326" max="13568" width="9" style="2920"/>
    <col min="13569" max="13569" width="4.875" style="2920" customWidth="1"/>
    <col min="13570" max="13570" width="13.25" style="2920" customWidth="1"/>
    <col min="13571" max="13571" width="15.625" style="2920" customWidth="1"/>
    <col min="13572" max="13572" width="9.375" style="2920" bestFit="1" customWidth="1"/>
    <col min="13573" max="13573" width="13.5" style="2920" customWidth="1"/>
    <col min="13574" max="13574" width="9" style="2920"/>
    <col min="13575" max="13575" width="9.375" style="2920" bestFit="1" customWidth="1"/>
    <col min="13576" max="13577" width="9" style="2920"/>
    <col min="13578" max="13578" width="9.375" style="2920" bestFit="1" customWidth="1"/>
    <col min="13579" max="13579" width="4" style="2920" customWidth="1"/>
    <col min="13580" max="13580" width="5.125" style="2920" customWidth="1"/>
    <col min="13581" max="13581" width="13.75" style="2920" customWidth="1"/>
    <col min="13582" max="13824" width="9" style="2920"/>
    <col min="13825" max="13825" width="4.875" style="2920" customWidth="1"/>
    <col min="13826" max="13826" width="13.25" style="2920" customWidth="1"/>
    <col min="13827" max="13827" width="15.625" style="2920" customWidth="1"/>
    <col min="13828" max="13828" width="9.375" style="2920" bestFit="1" customWidth="1"/>
    <col min="13829" max="13829" width="13.5" style="2920" customWidth="1"/>
    <col min="13830" max="13830" width="9" style="2920"/>
    <col min="13831" max="13831" width="9.375" style="2920" bestFit="1" customWidth="1"/>
    <col min="13832" max="13833" width="9" style="2920"/>
    <col min="13834" max="13834" width="9.375" style="2920" bestFit="1" customWidth="1"/>
    <col min="13835" max="13835" width="4" style="2920" customWidth="1"/>
    <col min="13836" max="13836" width="5.125" style="2920" customWidth="1"/>
    <col min="13837" max="13837" width="13.75" style="2920" customWidth="1"/>
    <col min="13838" max="14080" width="9" style="2920"/>
    <col min="14081" max="14081" width="4.875" style="2920" customWidth="1"/>
    <col min="14082" max="14082" width="13.25" style="2920" customWidth="1"/>
    <col min="14083" max="14083" width="15.625" style="2920" customWidth="1"/>
    <col min="14084" max="14084" width="9.375" style="2920" bestFit="1" customWidth="1"/>
    <col min="14085" max="14085" width="13.5" style="2920" customWidth="1"/>
    <col min="14086" max="14086" width="9" style="2920"/>
    <col min="14087" max="14087" width="9.375" style="2920" bestFit="1" customWidth="1"/>
    <col min="14088" max="14089" width="9" style="2920"/>
    <col min="14090" max="14090" width="9.375" style="2920" bestFit="1" customWidth="1"/>
    <col min="14091" max="14091" width="4" style="2920" customWidth="1"/>
    <col min="14092" max="14092" width="5.125" style="2920" customWidth="1"/>
    <col min="14093" max="14093" width="13.75" style="2920" customWidth="1"/>
    <col min="14094" max="14336" width="9" style="2920"/>
    <col min="14337" max="14337" width="4.875" style="2920" customWidth="1"/>
    <col min="14338" max="14338" width="13.25" style="2920" customWidth="1"/>
    <col min="14339" max="14339" width="15.625" style="2920" customWidth="1"/>
    <col min="14340" max="14340" width="9.375" style="2920" bestFit="1" customWidth="1"/>
    <col min="14341" max="14341" width="13.5" style="2920" customWidth="1"/>
    <col min="14342" max="14342" width="9" style="2920"/>
    <col min="14343" max="14343" width="9.375" style="2920" bestFit="1" customWidth="1"/>
    <col min="14344" max="14345" width="9" style="2920"/>
    <col min="14346" max="14346" width="9.375" style="2920" bestFit="1" customWidth="1"/>
    <col min="14347" max="14347" width="4" style="2920" customWidth="1"/>
    <col min="14348" max="14348" width="5.125" style="2920" customWidth="1"/>
    <col min="14349" max="14349" width="13.75" style="2920" customWidth="1"/>
    <col min="14350" max="14592" width="9" style="2920"/>
    <col min="14593" max="14593" width="4.875" style="2920" customWidth="1"/>
    <col min="14594" max="14594" width="13.25" style="2920" customWidth="1"/>
    <col min="14595" max="14595" width="15.625" style="2920" customWidth="1"/>
    <col min="14596" max="14596" width="9.375" style="2920" bestFit="1" customWidth="1"/>
    <col min="14597" max="14597" width="13.5" style="2920" customWidth="1"/>
    <col min="14598" max="14598" width="9" style="2920"/>
    <col min="14599" max="14599" width="9.375" style="2920" bestFit="1" customWidth="1"/>
    <col min="14600" max="14601" width="9" style="2920"/>
    <col min="14602" max="14602" width="9.375" style="2920" bestFit="1" customWidth="1"/>
    <col min="14603" max="14603" width="4" style="2920" customWidth="1"/>
    <col min="14604" max="14604" width="5.125" style="2920" customWidth="1"/>
    <col min="14605" max="14605" width="13.75" style="2920" customWidth="1"/>
    <col min="14606" max="14848" width="9" style="2920"/>
    <col min="14849" max="14849" width="4.875" style="2920" customWidth="1"/>
    <col min="14850" max="14850" width="13.25" style="2920" customWidth="1"/>
    <col min="14851" max="14851" width="15.625" style="2920" customWidth="1"/>
    <col min="14852" max="14852" width="9.375" style="2920" bestFit="1" customWidth="1"/>
    <col min="14853" max="14853" width="13.5" style="2920" customWidth="1"/>
    <col min="14854" max="14854" width="9" style="2920"/>
    <col min="14855" max="14855" width="9.375" style="2920" bestFit="1" customWidth="1"/>
    <col min="14856" max="14857" width="9" style="2920"/>
    <col min="14858" max="14858" width="9.375" style="2920" bestFit="1" customWidth="1"/>
    <col min="14859" max="14859" width="4" style="2920" customWidth="1"/>
    <col min="14860" max="14860" width="5.125" style="2920" customWidth="1"/>
    <col min="14861" max="14861" width="13.75" style="2920" customWidth="1"/>
    <col min="14862" max="15104" width="9" style="2920"/>
    <col min="15105" max="15105" width="4.875" style="2920" customWidth="1"/>
    <col min="15106" max="15106" width="13.25" style="2920" customWidth="1"/>
    <col min="15107" max="15107" width="15.625" style="2920" customWidth="1"/>
    <col min="15108" max="15108" width="9.375" style="2920" bestFit="1" customWidth="1"/>
    <col min="15109" max="15109" width="13.5" style="2920" customWidth="1"/>
    <col min="15110" max="15110" width="9" style="2920"/>
    <col min="15111" max="15111" width="9.375" style="2920" bestFit="1" customWidth="1"/>
    <col min="15112" max="15113" width="9" style="2920"/>
    <col min="15114" max="15114" width="9.375" style="2920" bestFit="1" customWidth="1"/>
    <col min="15115" max="15115" width="4" style="2920" customWidth="1"/>
    <col min="15116" max="15116" width="5.125" style="2920" customWidth="1"/>
    <col min="15117" max="15117" width="13.75" style="2920" customWidth="1"/>
    <col min="15118" max="15360" width="9" style="2920"/>
    <col min="15361" max="15361" width="4.875" style="2920" customWidth="1"/>
    <col min="15362" max="15362" width="13.25" style="2920" customWidth="1"/>
    <col min="15363" max="15363" width="15.625" style="2920" customWidth="1"/>
    <col min="15364" max="15364" width="9.375" style="2920" bestFit="1" customWidth="1"/>
    <col min="15365" max="15365" width="13.5" style="2920" customWidth="1"/>
    <col min="15366" max="15366" width="9" style="2920"/>
    <col min="15367" max="15367" width="9.375" style="2920" bestFit="1" customWidth="1"/>
    <col min="15368" max="15369" width="9" style="2920"/>
    <col min="15370" max="15370" width="9.375" style="2920" bestFit="1" customWidth="1"/>
    <col min="15371" max="15371" width="4" style="2920" customWidth="1"/>
    <col min="15372" max="15372" width="5.125" style="2920" customWidth="1"/>
    <col min="15373" max="15373" width="13.75" style="2920" customWidth="1"/>
    <col min="15374" max="15616" width="9" style="2920"/>
    <col min="15617" max="15617" width="4.875" style="2920" customWidth="1"/>
    <col min="15618" max="15618" width="13.25" style="2920" customWidth="1"/>
    <col min="15619" max="15619" width="15.625" style="2920" customWidth="1"/>
    <col min="15620" max="15620" width="9.375" style="2920" bestFit="1" customWidth="1"/>
    <col min="15621" max="15621" width="13.5" style="2920" customWidth="1"/>
    <col min="15622" max="15622" width="9" style="2920"/>
    <col min="15623" max="15623" width="9.375" style="2920" bestFit="1" customWidth="1"/>
    <col min="15624" max="15625" width="9" style="2920"/>
    <col min="15626" max="15626" width="9.375" style="2920" bestFit="1" customWidth="1"/>
    <col min="15627" max="15627" width="4" style="2920" customWidth="1"/>
    <col min="15628" max="15628" width="5.125" style="2920" customWidth="1"/>
    <col min="15629" max="15629" width="13.75" style="2920" customWidth="1"/>
    <col min="15630" max="15872" width="9" style="2920"/>
    <col min="15873" max="15873" width="4.875" style="2920" customWidth="1"/>
    <col min="15874" max="15874" width="13.25" style="2920" customWidth="1"/>
    <col min="15875" max="15875" width="15.625" style="2920" customWidth="1"/>
    <col min="15876" max="15876" width="9.375" style="2920" bestFit="1" customWidth="1"/>
    <col min="15877" max="15877" width="13.5" style="2920" customWidth="1"/>
    <col min="15878" max="15878" width="9" style="2920"/>
    <col min="15879" max="15879" width="9.375" style="2920" bestFit="1" customWidth="1"/>
    <col min="15880" max="15881" width="9" style="2920"/>
    <col min="15882" max="15882" width="9.375" style="2920" bestFit="1" customWidth="1"/>
    <col min="15883" max="15883" width="4" style="2920" customWidth="1"/>
    <col min="15884" max="15884" width="5.125" style="2920" customWidth="1"/>
    <col min="15885" max="15885" width="13.75" style="2920" customWidth="1"/>
    <col min="15886" max="16128" width="9" style="2920"/>
    <col min="16129" max="16129" width="4.875" style="2920" customWidth="1"/>
    <col min="16130" max="16130" width="13.25" style="2920" customWidth="1"/>
    <col min="16131" max="16131" width="15.625" style="2920" customWidth="1"/>
    <col min="16132" max="16132" width="9.375" style="2920" bestFit="1" customWidth="1"/>
    <col min="16133" max="16133" width="13.5" style="2920" customWidth="1"/>
    <col min="16134" max="16134" width="9" style="2920"/>
    <col min="16135" max="16135" width="9.375" style="2920" bestFit="1" customWidth="1"/>
    <col min="16136" max="16137" width="9" style="2920"/>
    <col min="16138" max="16138" width="9.375" style="2920" bestFit="1" customWidth="1"/>
    <col min="16139" max="16139" width="4" style="2920" customWidth="1"/>
    <col min="16140" max="16140" width="5.125" style="2920" customWidth="1"/>
    <col min="16141" max="16141" width="13.75" style="2920" customWidth="1"/>
    <col min="16142" max="16384" width="9" style="2920"/>
  </cols>
  <sheetData>
    <row r="1" spans="1:257" s="2983" customFormat="1" ht="14.25" thickBot="1">
      <c r="A1" s="2978"/>
      <c r="B1" s="2979" t="s">
        <v>2762</v>
      </c>
      <c r="C1" s="2984">
        <f>项目基本情况!D2</f>
        <v>42916</v>
      </c>
      <c r="D1" s="2979" t="s">
        <v>2763</v>
      </c>
      <c r="E1" s="2985">
        <f>'数据-取费表'!B23</f>
        <v>2</v>
      </c>
      <c r="F1" s="2979" t="s">
        <v>2764</v>
      </c>
      <c r="G1" s="2986">
        <f ca="1">INDIRECT("d"&amp;$K$1)/100</f>
        <v>4.7500000000000001E-2</v>
      </c>
      <c r="H1" s="2979" t="s">
        <v>2794</v>
      </c>
      <c r="I1" s="2986">
        <f ca="1">F4/100</f>
        <v>1.4999999999999999E-2</v>
      </c>
      <c r="J1" s="2980">
        <f>IF(C1&gt;C13,0,MATCH(C1,C$13:C$100,-1))+IF(SUMIF(C13:C100,C1,D13:D100)=0,13,12)</f>
        <v>13</v>
      </c>
      <c r="K1" s="2980">
        <f>MATCH(E1,C3:C7,1)+IF(SUMIF(C3:C7,E1,D3:D7)=0,2,1)</f>
        <v>5</v>
      </c>
      <c r="L1" s="2980">
        <f>IF(C1&gt;M13,0,MATCH(C1,M$13:M$100,-1))+IF(SUMIF(M13:M100,C1,N13:N100)=0,13,12)</f>
        <v>13</v>
      </c>
      <c r="M1" s="2978"/>
      <c r="N1" s="2978"/>
      <c r="O1" s="2978"/>
      <c r="P1" s="2978"/>
      <c r="Q1" s="2978"/>
      <c r="R1" s="2978"/>
      <c r="S1" s="2978"/>
      <c r="T1" s="2978"/>
      <c r="U1" s="2978"/>
      <c r="V1" s="2978"/>
      <c r="W1" s="2978"/>
      <c r="X1" s="2978"/>
      <c r="Y1" s="2978"/>
      <c r="Z1" s="2978"/>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1"/>
      <c r="BF1" s="2981"/>
      <c r="BG1" s="2981"/>
      <c r="BH1" s="2981"/>
      <c r="BI1" s="2981"/>
      <c r="BJ1" s="2981"/>
      <c r="BK1" s="2981"/>
      <c r="BL1" s="2981"/>
      <c r="BM1" s="2981"/>
      <c r="BN1" s="2981"/>
      <c r="BO1" s="2981"/>
      <c r="BP1" s="2981"/>
      <c r="BQ1" s="2981"/>
      <c r="BR1" s="2981"/>
      <c r="BS1" s="2981"/>
      <c r="BT1" s="2981"/>
      <c r="BU1" s="2981"/>
      <c r="BV1" s="2981"/>
      <c r="BW1" s="2981"/>
      <c r="BX1" s="2981"/>
      <c r="BY1" s="2981"/>
      <c r="BZ1" s="2981"/>
      <c r="CA1" s="2981"/>
      <c r="CB1" s="2981"/>
      <c r="CC1" s="2981"/>
      <c r="CD1" s="2981"/>
      <c r="CE1" s="2981"/>
      <c r="CF1" s="2981"/>
      <c r="CG1" s="2981"/>
      <c r="CH1" s="2981"/>
      <c r="CI1" s="2981"/>
      <c r="CJ1" s="2981"/>
      <c r="CK1" s="2981"/>
      <c r="CL1" s="2981"/>
      <c r="CM1" s="2981"/>
      <c r="CN1" s="2981"/>
      <c r="CO1" s="2981"/>
      <c r="CP1" s="2981"/>
      <c r="CQ1" s="2981"/>
      <c r="CR1" s="2981"/>
      <c r="CS1" s="2981"/>
      <c r="CT1" s="2981"/>
      <c r="CU1" s="2981"/>
      <c r="CV1" s="2981"/>
      <c r="CW1" s="2981"/>
      <c r="CX1" s="2981"/>
      <c r="CY1" s="2981"/>
      <c r="CZ1" s="2981"/>
      <c r="DA1" s="2981"/>
      <c r="DB1" s="2981"/>
      <c r="DC1" s="2981"/>
      <c r="DD1" s="2981"/>
      <c r="DE1" s="2981"/>
      <c r="DF1" s="2981"/>
      <c r="DG1" s="2981"/>
      <c r="DH1" s="2981"/>
      <c r="DI1" s="2981"/>
      <c r="DJ1" s="2981"/>
      <c r="DK1" s="2981"/>
      <c r="DL1" s="2981"/>
      <c r="DM1" s="2981"/>
      <c r="DN1" s="2981"/>
      <c r="DO1" s="2981"/>
      <c r="DP1" s="2981"/>
      <c r="DQ1" s="2981"/>
      <c r="DR1" s="2981"/>
      <c r="DS1" s="2981"/>
      <c r="DT1" s="2981"/>
      <c r="DU1" s="2981"/>
      <c r="DV1" s="2981"/>
      <c r="DW1" s="2981"/>
      <c r="DX1" s="2981"/>
      <c r="DY1" s="2981"/>
      <c r="DZ1" s="2981"/>
      <c r="EA1" s="2981"/>
      <c r="EB1" s="2981"/>
      <c r="EC1" s="2981"/>
      <c r="ED1" s="2981"/>
      <c r="EE1" s="2981"/>
      <c r="EF1" s="2981"/>
      <c r="EG1" s="2981"/>
      <c r="EH1" s="2981"/>
      <c r="EI1" s="2981"/>
      <c r="EJ1" s="2981"/>
      <c r="EK1" s="2981"/>
      <c r="EL1" s="2981"/>
      <c r="EM1" s="2981"/>
      <c r="EN1" s="2981"/>
      <c r="EO1" s="2981"/>
      <c r="EP1" s="2981"/>
      <c r="EQ1" s="2981"/>
      <c r="ER1" s="2981"/>
      <c r="ES1" s="2981"/>
      <c r="ET1" s="2981"/>
      <c r="EU1" s="2981"/>
      <c r="EV1" s="2981"/>
      <c r="EW1" s="2981"/>
      <c r="EX1" s="2981"/>
      <c r="EY1" s="2981"/>
      <c r="EZ1" s="2981"/>
      <c r="FA1" s="2981"/>
      <c r="FB1" s="2981"/>
      <c r="FC1" s="2981"/>
      <c r="FD1" s="2981"/>
      <c r="FE1" s="2981"/>
      <c r="FF1" s="2981"/>
      <c r="FG1" s="2981"/>
      <c r="FH1" s="2981"/>
      <c r="FI1" s="2981"/>
      <c r="FJ1" s="2981"/>
      <c r="FK1" s="2981"/>
      <c r="FL1" s="2981"/>
      <c r="FM1" s="2981"/>
      <c r="FN1" s="2981"/>
      <c r="FO1" s="2981"/>
      <c r="FP1" s="2981"/>
      <c r="FQ1" s="2981"/>
      <c r="FR1" s="2981"/>
      <c r="FS1" s="2981"/>
      <c r="FT1" s="2981"/>
      <c r="FU1" s="2981"/>
      <c r="FV1" s="2981"/>
      <c r="FW1" s="2981"/>
      <c r="FX1" s="2981"/>
      <c r="FY1" s="2981"/>
      <c r="FZ1" s="2981"/>
      <c r="GA1" s="2981"/>
      <c r="GB1" s="2981"/>
      <c r="GC1" s="2981"/>
      <c r="GD1" s="2981"/>
      <c r="GE1" s="2981"/>
      <c r="GF1" s="2981"/>
      <c r="GG1" s="2981"/>
      <c r="GH1" s="2981"/>
      <c r="GI1" s="2981"/>
      <c r="GJ1" s="2981"/>
      <c r="GK1" s="2981"/>
      <c r="GL1" s="2981"/>
      <c r="GM1" s="2981"/>
      <c r="GN1" s="2981"/>
      <c r="GO1" s="2981"/>
      <c r="GP1" s="2981"/>
      <c r="GQ1" s="2981"/>
      <c r="GR1" s="2981"/>
      <c r="GS1" s="2981"/>
      <c r="GT1" s="2981"/>
      <c r="GU1" s="2981"/>
      <c r="GV1" s="2981"/>
      <c r="GW1" s="2981"/>
      <c r="GX1" s="2981"/>
      <c r="GY1" s="2981"/>
      <c r="GZ1" s="2981"/>
      <c r="HA1" s="2981"/>
      <c r="HB1" s="2981"/>
      <c r="HC1" s="2981"/>
      <c r="HD1" s="2981"/>
      <c r="HE1" s="2981"/>
      <c r="HF1" s="2981"/>
      <c r="HG1" s="2981"/>
      <c r="HH1" s="2981"/>
      <c r="HI1" s="2981"/>
      <c r="HJ1" s="2981"/>
      <c r="HK1" s="2981"/>
      <c r="HL1" s="2981"/>
      <c r="HM1" s="2981"/>
      <c r="HN1" s="2981"/>
      <c r="HO1" s="2981"/>
      <c r="HP1" s="2981"/>
      <c r="HQ1" s="2981"/>
      <c r="HR1" s="2981"/>
      <c r="HS1" s="2981"/>
      <c r="HT1" s="2981"/>
      <c r="HU1" s="2981"/>
      <c r="HV1" s="2981"/>
      <c r="HW1" s="2981"/>
      <c r="HX1" s="2981"/>
      <c r="HY1" s="2981"/>
      <c r="HZ1" s="2981"/>
      <c r="IA1" s="2981"/>
      <c r="IB1" s="2981"/>
      <c r="IC1" s="2981"/>
      <c r="ID1" s="2981"/>
      <c r="IE1" s="2981"/>
      <c r="IF1" s="2981"/>
      <c r="IG1" s="2981"/>
      <c r="IH1" s="2981"/>
      <c r="II1" s="2981"/>
      <c r="IJ1" s="2981"/>
      <c r="IK1" s="2981"/>
      <c r="IL1" s="2981"/>
      <c r="IM1" s="2981"/>
      <c r="IN1" s="2981"/>
      <c r="IO1" s="2981"/>
      <c r="IP1" s="2981"/>
      <c r="IQ1" s="2981"/>
      <c r="IR1" s="2981"/>
      <c r="IS1" s="2981"/>
      <c r="IT1" s="2981"/>
      <c r="IU1" s="2981"/>
      <c r="IV1" s="2981"/>
      <c r="IW1" s="2982"/>
    </row>
    <row r="2" spans="1:257" ht="15" thickTop="1" thickBot="1">
      <c r="A2" s="2921"/>
      <c r="B2" s="2921"/>
      <c r="C2" s="2921"/>
      <c r="D2" s="2921" t="s">
        <v>2765</v>
      </c>
      <c r="E2" s="2921"/>
      <c r="F2" s="2921" t="s">
        <v>2766</v>
      </c>
      <c r="G2" s="2922"/>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2921"/>
      <c r="AO2" s="2921"/>
      <c r="AP2" s="2921"/>
      <c r="AQ2" s="2921"/>
      <c r="AR2" s="2921"/>
      <c r="AS2" s="2921"/>
      <c r="AT2" s="2921"/>
      <c r="AU2" s="2921"/>
      <c r="AV2" s="2921"/>
      <c r="AW2" s="2921"/>
      <c r="AX2" s="2921"/>
      <c r="AY2" s="2921"/>
      <c r="AZ2" s="2921"/>
      <c r="BA2" s="2921"/>
      <c r="BB2" s="2921"/>
      <c r="BC2" s="2921"/>
      <c r="BD2" s="2921"/>
      <c r="BE2" s="2921"/>
      <c r="BF2" s="2921"/>
      <c r="BG2" s="2921"/>
      <c r="BH2" s="2921"/>
      <c r="BI2" s="2921"/>
      <c r="BJ2" s="2921"/>
      <c r="BK2" s="2921"/>
      <c r="BL2" s="2921"/>
      <c r="BM2" s="2921"/>
      <c r="BN2" s="2921"/>
      <c r="BO2" s="2921"/>
      <c r="BP2" s="2921"/>
      <c r="BQ2" s="2921"/>
      <c r="BR2" s="2921"/>
      <c r="BS2" s="2921"/>
      <c r="BT2" s="2921"/>
      <c r="BU2" s="2921"/>
      <c r="BV2" s="2921"/>
      <c r="BW2" s="2921"/>
      <c r="BX2" s="2921"/>
      <c r="BY2" s="2921"/>
      <c r="BZ2" s="2921"/>
      <c r="CA2" s="2921"/>
      <c r="CB2" s="2921"/>
      <c r="CC2" s="2921"/>
      <c r="CD2" s="2921"/>
      <c r="CE2" s="2921"/>
      <c r="CF2" s="2921"/>
      <c r="CG2" s="2921"/>
      <c r="CH2" s="2921"/>
      <c r="CI2" s="2921"/>
      <c r="CJ2" s="2921"/>
      <c r="CK2" s="2921"/>
      <c r="CL2" s="2921"/>
      <c r="CM2" s="2921"/>
      <c r="CN2" s="2921"/>
      <c r="CO2" s="2921"/>
      <c r="CP2" s="2921"/>
      <c r="CQ2" s="2921"/>
      <c r="CR2" s="2921"/>
      <c r="CS2" s="2921"/>
      <c r="CT2" s="2921"/>
      <c r="CU2" s="2921"/>
      <c r="CV2" s="2921"/>
      <c r="CW2" s="2921"/>
      <c r="CX2" s="2921"/>
      <c r="CY2" s="2921"/>
      <c r="CZ2" s="2921"/>
      <c r="DA2" s="2921"/>
      <c r="DB2" s="2921"/>
      <c r="DC2" s="2921"/>
      <c r="DD2" s="2921"/>
      <c r="DE2" s="2921"/>
      <c r="DF2" s="2921"/>
      <c r="DG2" s="2921"/>
      <c r="DH2" s="2921"/>
      <c r="DI2" s="2921"/>
      <c r="DJ2" s="2921"/>
      <c r="DK2" s="2921"/>
      <c r="DL2" s="2921"/>
      <c r="DM2" s="2921"/>
      <c r="DN2" s="2921"/>
      <c r="DO2" s="2921"/>
      <c r="DP2" s="2921"/>
      <c r="DQ2" s="2921"/>
      <c r="DR2" s="2921"/>
      <c r="DS2" s="2921"/>
      <c r="DT2" s="2921"/>
      <c r="DU2" s="2921"/>
      <c r="DV2" s="2921"/>
      <c r="DW2" s="2921"/>
      <c r="DX2" s="2921"/>
      <c r="DY2" s="2921"/>
      <c r="DZ2" s="2921"/>
      <c r="EA2" s="2921"/>
      <c r="EB2" s="2921"/>
      <c r="EC2" s="2921"/>
      <c r="ED2" s="2921"/>
      <c r="EE2" s="2921"/>
      <c r="EF2" s="2921"/>
      <c r="EG2" s="2921"/>
      <c r="EH2" s="2921"/>
      <c r="EI2" s="2921"/>
      <c r="EJ2" s="2921"/>
      <c r="EK2" s="2921"/>
      <c r="EL2" s="2921"/>
      <c r="EM2" s="2921"/>
      <c r="EN2" s="2921"/>
      <c r="EO2" s="2921"/>
      <c r="EP2" s="2921"/>
      <c r="EQ2" s="2921"/>
      <c r="ER2" s="2921"/>
      <c r="ES2" s="2921"/>
      <c r="ET2" s="2921"/>
      <c r="EU2" s="2921"/>
      <c r="EV2" s="2921"/>
      <c r="EW2" s="2921"/>
      <c r="EX2" s="2921"/>
      <c r="EY2" s="2921"/>
      <c r="EZ2" s="2921"/>
      <c r="FA2" s="2921"/>
      <c r="FB2" s="2921"/>
      <c r="FC2" s="2921"/>
      <c r="FD2" s="2921"/>
      <c r="FE2" s="2921"/>
      <c r="FF2" s="2921"/>
      <c r="FG2" s="2921"/>
      <c r="FH2" s="2921"/>
      <c r="FI2" s="2921"/>
      <c r="FJ2" s="2921"/>
      <c r="FK2" s="2921"/>
      <c r="FL2" s="2921"/>
      <c r="FM2" s="2921"/>
      <c r="FN2" s="2921"/>
      <c r="FO2" s="2921"/>
      <c r="FP2" s="2921"/>
      <c r="FQ2" s="2921"/>
      <c r="FR2" s="2921"/>
      <c r="FS2" s="2921"/>
      <c r="FT2" s="2921"/>
      <c r="FU2" s="2921"/>
      <c r="FV2" s="2921"/>
      <c r="FW2" s="2921"/>
      <c r="FX2" s="2921"/>
      <c r="FY2" s="2921"/>
      <c r="FZ2" s="2921"/>
      <c r="GA2" s="2921"/>
      <c r="GB2" s="2921"/>
      <c r="GC2" s="2921"/>
      <c r="GD2" s="2921"/>
      <c r="GE2" s="2921"/>
      <c r="GF2" s="2921"/>
      <c r="GG2" s="2921"/>
      <c r="GH2" s="2921"/>
      <c r="GI2" s="2921"/>
      <c r="GJ2" s="2921"/>
      <c r="GK2" s="2921"/>
      <c r="GL2" s="2921"/>
      <c r="GM2" s="2921"/>
      <c r="GN2" s="2921"/>
      <c r="GO2" s="2921"/>
      <c r="GP2" s="2921"/>
      <c r="GQ2" s="2921"/>
      <c r="GR2" s="2921"/>
      <c r="GS2" s="2921"/>
      <c r="GT2" s="2921"/>
      <c r="GU2" s="2921"/>
      <c r="GV2" s="2921"/>
      <c r="GW2" s="2921"/>
      <c r="GX2" s="2921"/>
      <c r="GY2" s="2921"/>
      <c r="GZ2" s="2921"/>
      <c r="HA2" s="2921"/>
      <c r="HB2" s="2921"/>
      <c r="HC2" s="2921"/>
      <c r="HD2" s="2921"/>
      <c r="HE2" s="2921"/>
      <c r="HF2" s="2921"/>
      <c r="HG2" s="2921"/>
      <c r="HH2" s="2921"/>
      <c r="HI2" s="2921"/>
      <c r="HJ2" s="2921"/>
      <c r="HK2" s="2921"/>
      <c r="HL2" s="2921"/>
      <c r="HM2" s="2921"/>
      <c r="HN2" s="2921"/>
      <c r="HO2" s="2921"/>
      <c r="HP2" s="2921"/>
      <c r="HQ2" s="2921"/>
      <c r="HR2" s="2921"/>
      <c r="HS2" s="2921"/>
      <c r="HT2" s="2921"/>
      <c r="HU2" s="2921"/>
      <c r="HV2" s="2921"/>
      <c r="HW2" s="2921"/>
      <c r="HX2" s="2921"/>
      <c r="HY2" s="2921"/>
      <c r="HZ2" s="2921"/>
      <c r="IA2" s="2921"/>
      <c r="IB2" s="2921"/>
      <c r="IC2" s="2921"/>
      <c r="ID2" s="2921"/>
      <c r="IE2" s="2921"/>
      <c r="IF2" s="2921"/>
      <c r="IG2" s="2921"/>
      <c r="IH2" s="2921"/>
      <c r="II2" s="2921"/>
      <c r="IJ2" s="2921"/>
      <c r="IK2" s="2921"/>
      <c r="IL2" s="2921"/>
      <c r="IM2" s="2921"/>
      <c r="IN2" s="2921"/>
      <c r="IO2" s="2921"/>
      <c r="IP2" s="2921"/>
      <c r="IQ2" s="2921"/>
      <c r="IR2" s="2921"/>
      <c r="IS2" s="2921"/>
      <c r="IT2" s="2921"/>
      <c r="IU2" s="2921"/>
      <c r="IV2" s="2921"/>
      <c r="IW2" s="2921"/>
    </row>
    <row r="3" spans="1:257">
      <c r="B3" s="2924" t="s">
        <v>2767</v>
      </c>
      <c r="C3" s="2925">
        <v>0</v>
      </c>
      <c r="D3" s="2926">
        <f ca="1">INDIRECT("d"&amp;$J$1)</f>
        <v>4.3499999999999996</v>
      </c>
      <c r="E3" s="2927">
        <v>0.5</v>
      </c>
      <c r="F3" s="2928">
        <f ca="1">INDIRECT("p"&amp;$L$1)</f>
        <v>1.3</v>
      </c>
      <c r="G3" s="2923"/>
      <c r="H3" s="2923"/>
      <c r="I3" s="2923"/>
      <c r="J3" s="2923"/>
      <c r="L3" s="2923"/>
      <c r="M3" s="2923"/>
      <c r="N3" s="2923"/>
      <c r="O3" s="2923"/>
      <c r="P3" s="2923"/>
      <c r="Q3" s="2923"/>
      <c r="R3" s="2923"/>
      <c r="S3" s="2923"/>
      <c r="T3" s="2923"/>
      <c r="U3" s="2923"/>
      <c r="V3" s="2923"/>
      <c r="W3" s="2923"/>
      <c r="X3" s="2923"/>
      <c r="Y3" s="2923"/>
      <c r="Z3" s="2923"/>
    </row>
    <row r="4" spans="1:257">
      <c r="B4" s="2930" t="s">
        <v>2768</v>
      </c>
      <c r="C4" s="2931">
        <v>0.5</v>
      </c>
      <c r="D4" s="2932">
        <f ca="1">INDIRECT("e"&amp;$J$1)</f>
        <v>4.3499999999999996</v>
      </c>
      <c r="E4" s="2933">
        <v>1</v>
      </c>
      <c r="F4" s="2934">
        <f ca="1">INDIRECT("q"&amp;$L$1)</f>
        <v>1.5</v>
      </c>
      <c r="G4" s="2923"/>
      <c r="H4" s="2923"/>
      <c r="I4" s="2923"/>
      <c r="J4" s="2923"/>
      <c r="L4" s="2923"/>
      <c r="M4" s="2923"/>
      <c r="N4" s="2923"/>
      <c r="O4" s="2923"/>
      <c r="P4" s="2923"/>
      <c r="Q4" s="2923"/>
      <c r="R4" s="2923"/>
      <c r="S4" s="2923"/>
      <c r="T4" s="2923"/>
      <c r="U4" s="2923"/>
      <c r="V4" s="2923"/>
      <c r="W4" s="2923"/>
      <c r="X4" s="2923"/>
      <c r="Y4" s="2923"/>
      <c r="Z4" s="2923"/>
    </row>
    <row r="5" spans="1:257">
      <c r="B5" s="2930" t="s">
        <v>2769</v>
      </c>
      <c r="C5" s="2931">
        <v>1</v>
      </c>
      <c r="D5" s="2932">
        <f ca="1">INDIRECT("f"&amp;$J$1)</f>
        <v>4.75</v>
      </c>
      <c r="E5" s="2933">
        <v>2</v>
      </c>
      <c r="F5" s="2934">
        <f ca="1">INDIRECT("r"&amp;$L$1)</f>
        <v>2.1</v>
      </c>
      <c r="G5" s="2923"/>
      <c r="H5" s="2923"/>
      <c r="I5" s="2923"/>
      <c r="J5" s="2923"/>
      <c r="L5" s="2923"/>
      <c r="M5" s="2923"/>
      <c r="N5" s="2923"/>
      <c r="O5" s="2923"/>
      <c r="P5" s="2923"/>
      <c r="Q5" s="2923"/>
      <c r="R5" s="2923"/>
      <c r="S5" s="2923"/>
      <c r="T5" s="2923"/>
      <c r="U5" s="2923"/>
      <c r="V5" s="2923"/>
      <c r="W5" s="2923"/>
      <c r="X5" s="2923"/>
      <c r="Y5" s="2923"/>
      <c r="Z5" s="2923"/>
    </row>
    <row r="6" spans="1:257">
      <c r="B6" s="2930" t="s">
        <v>2770</v>
      </c>
      <c r="C6" s="2931">
        <v>3</v>
      </c>
      <c r="D6" s="2932">
        <f ca="1">INDIRECT("g"&amp;$J$1)</f>
        <v>4.75</v>
      </c>
      <c r="E6" s="2933">
        <v>3</v>
      </c>
      <c r="F6" s="2934">
        <f ca="1">INDIRECT("s"&amp;$L$1)</f>
        <v>2.75</v>
      </c>
      <c r="G6" s="2923"/>
      <c r="H6" s="2923"/>
      <c r="I6" s="2923"/>
      <c r="J6" s="2923"/>
      <c r="L6" s="2923"/>
      <c r="M6" s="2923"/>
      <c r="N6" s="2923"/>
      <c r="O6" s="2923"/>
      <c r="P6" s="2923"/>
      <c r="Q6" s="2923"/>
      <c r="R6" s="2923"/>
      <c r="S6" s="2923"/>
      <c r="T6" s="2923"/>
      <c r="U6" s="2923"/>
      <c r="V6" s="2923"/>
      <c r="W6" s="2923"/>
      <c r="X6" s="2923"/>
      <c r="Y6" s="2923"/>
      <c r="Z6" s="2923"/>
    </row>
    <row r="7" spans="1:257" ht="14.25" thickBot="1">
      <c r="B7" s="2935" t="s">
        <v>2771</v>
      </c>
      <c r="C7" s="2936">
        <v>5</v>
      </c>
      <c r="D7" s="2937">
        <f ca="1">INDIRECT("h"&amp;$J$1)</f>
        <v>4.9000000000000004</v>
      </c>
      <c r="E7" s="2938">
        <v>5</v>
      </c>
      <c r="F7" s="2939">
        <f ca="1">INDIRECT("t"&amp;$L$1)</f>
        <v>0</v>
      </c>
      <c r="G7" s="2923"/>
      <c r="H7" s="2923"/>
      <c r="I7" s="2923"/>
      <c r="J7" s="2923"/>
      <c r="L7" s="2923"/>
      <c r="M7" s="2923"/>
      <c r="N7" s="2923"/>
      <c r="O7" s="2923"/>
      <c r="P7" s="2923"/>
      <c r="Q7" s="2923"/>
      <c r="R7" s="2923"/>
      <c r="S7" s="2923"/>
      <c r="T7" s="2923"/>
      <c r="U7" s="2923"/>
      <c r="V7" s="2923"/>
      <c r="W7" s="2923"/>
      <c r="X7" s="2923"/>
      <c r="Y7" s="2923"/>
      <c r="Z7" s="2923"/>
    </row>
    <row r="8" spans="1:257">
      <c r="A8" s="2940"/>
      <c r="B8" s="2941"/>
      <c r="C8" s="2942"/>
      <c r="D8" s="2923"/>
      <c r="E8" s="2923"/>
      <c r="F8" s="2923"/>
      <c r="G8" s="2923"/>
      <c r="H8" s="2923"/>
      <c r="I8" s="2923"/>
      <c r="J8" s="2923"/>
      <c r="L8" s="2923"/>
      <c r="M8" s="2923"/>
      <c r="N8" s="2923"/>
      <c r="O8" s="2923"/>
      <c r="P8" s="2923"/>
      <c r="Q8" s="2923"/>
      <c r="R8" s="2923"/>
      <c r="S8" s="2923"/>
      <c r="T8" s="2923"/>
      <c r="U8" s="2923"/>
      <c r="V8" s="2923"/>
      <c r="W8" s="2923"/>
      <c r="X8" s="2923"/>
      <c r="Y8" s="2923"/>
      <c r="Z8" s="2923"/>
    </row>
    <row r="9" spans="1:257" ht="20.25">
      <c r="A9" s="2943"/>
      <c r="B9" s="2944" t="s">
        <v>2772</v>
      </c>
      <c r="C9" s="2945"/>
      <c r="D9" s="2946"/>
      <c r="E9" s="2946"/>
      <c r="F9" s="2946"/>
      <c r="G9" s="2946"/>
      <c r="H9" s="2946"/>
      <c r="I9" s="2946"/>
      <c r="J9" s="2946"/>
      <c r="K9" s="2946"/>
      <c r="L9" s="2946"/>
      <c r="M9" s="2946"/>
      <c r="N9" s="2946"/>
      <c r="O9" s="2946"/>
      <c r="P9" s="2946"/>
      <c r="Q9" s="2946"/>
      <c r="R9" s="2946"/>
      <c r="S9" s="2946"/>
      <c r="T9" s="2946"/>
      <c r="U9" s="2946"/>
      <c r="V9" s="2946"/>
      <c r="W9" s="2946"/>
      <c r="X9" s="2946"/>
      <c r="Y9" s="2946"/>
      <c r="Z9" s="2946"/>
      <c r="AA9" s="2947"/>
      <c r="AB9" s="2947"/>
      <c r="AC9" s="2947"/>
      <c r="AD9" s="2947"/>
      <c r="AE9" s="2947"/>
      <c r="AF9" s="2947"/>
      <c r="AG9" s="2947"/>
      <c r="AH9" s="2947"/>
      <c r="AI9" s="2947"/>
      <c r="AJ9" s="2947"/>
      <c r="AK9" s="2947"/>
      <c r="AL9" s="2947"/>
      <c r="AM9" s="2947"/>
      <c r="AN9" s="2947"/>
      <c r="AO9" s="2947"/>
      <c r="AP9" s="2947"/>
      <c r="AQ9" s="2947"/>
      <c r="AR9" s="2947"/>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c r="BP9" s="2947"/>
      <c r="BQ9" s="2947"/>
      <c r="BR9" s="2947"/>
      <c r="BS9" s="2947"/>
      <c r="BT9" s="2947"/>
      <c r="BU9" s="2947"/>
      <c r="BV9" s="2947"/>
      <c r="BW9" s="2947"/>
      <c r="BX9" s="2947"/>
      <c r="BY9" s="2947"/>
      <c r="BZ9" s="2947"/>
      <c r="CA9" s="2947"/>
      <c r="CB9" s="2947"/>
      <c r="CC9" s="2947"/>
      <c r="CD9" s="2947"/>
      <c r="CE9" s="2947"/>
      <c r="CF9" s="2947"/>
      <c r="CG9" s="2947"/>
      <c r="CH9" s="2947"/>
      <c r="CI9" s="2947"/>
      <c r="CJ9" s="2947"/>
      <c r="CK9" s="2947"/>
      <c r="CL9" s="2947"/>
      <c r="CM9" s="2947"/>
      <c r="CN9" s="2947"/>
      <c r="CO9" s="2947"/>
      <c r="CP9" s="2947"/>
      <c r="CQ9" s="2947"/>
      <c r="CR9" s="2947"/>
      <c r="CS9" s="2947"/>
      <c r="CT9" s="2947"/>
      <c r="CU9" s="2947"/>
      <c r="CV9" s="2947"/>
      <c r="CW9" s="2947"/>
      <c r="CX9" s="2947"/>
      <c r="CY9" s="2947"/>
      <c r="CZ9" s="2947"/>
      <c r="DA9" s="2947"/>
      <c r="DB9" s="2947"/>
      <c r="DC9" s="2947"/>
      <c r="DD9" s="2947"/>
      <c r="DE9" s="2947"/>
      <c r="DF9" s="2947"/>
      <c r="DG9" s="2947"/>
      <c r="DH9" s="2947"/>
      <c r="DI9" s="2947"/>
      <c r="DJ9" s="2947"/>
      <c r="DK9" s="2947"/>
      <c r="DL9" s="2947"/>
      <c r="DM9" s="2947"/>
      <c r="DN9" s="2947"/>
      <c r="DO9" s="2947"/>
      <c r="DP9" s="2947"/>
      <c r="DQ9" s="2947"/>
      <c r="DR9" s="2947"/>
      <c r="DS9" s="2947"/>
      <c r="DT9" s="2947"/>
      <c r="DU9" s="2947"/>
      <c r="DV9" s="2947"/>
      <c r="DW9" s="2947"/>
      <c r="DX9" s="2947"/>
      <c r="DY9" s="2947"/>
      <c r="DZ9" s="2947"/>
      <c r="EA9" s="2947"/>
      <c r="EB9" s="2947"/>
      <c r="EC9" s="2947"/>
      <c r="ED9" s="2947"/>
      <c r="EE9" s="2947"/>
      <c r="EF9" s="2947"/>
      <c r="EG9" s="2947"/>
      <c r="EH9" s="2947"/>
      <c r="EI9" s="2947"/>
      <c r="EJ9" s="2947"/>
      <c r="EK9" s="2947"/>
      <c r="EL9" s="2947"/>
      <c r="EM9" s="2947"/>
      <c r="EN9" s="2947"/>
      <c r="EO9" s="2947"/>
      <c r="EP9" s="2947"/>
      <c r="EQ9" s="2947"/>
      <c r="ER9" s="2947"/>
      <c r="ES9" s="2947"/>
      <c r="ET9" s="2947"/>
      <c r="EU9" s="2947"/>
      <c r="EV9" s="2947"/>
      <c r="EW9" s="2947"/>
      <c r="EX9" s="2947"/>
      <c r="EY9" s="2947"/>
      <c r="EZ9" s="2947"/>
      <c r="FA9" s="2947"/>
      <c r="FB9" s="2947"/>
      <c r="FC9" s="2947"/>
      <c r="FD9" s="2947"/>
      <c r="FE9" s="2947"/>
      <c r="FF9" s="2947"/>
      <c r="FG9" s="2947"/>
      <c r="FH9" s="2947"/>
      <c r="FI9" s="2947"/>
      <c r="FJ9" s="2947"/>
      <c r="FK9" s="2947"/>
      <c r="FL9" s="2947"/>
      <c r="FM9" s="2947"/>
      <c r="FN9" s="2947"/>
      <c r="FO9" s="2947"/>
      <c r="FP9" s="2947"/>
      <c r="FQ9" s="2947"/>
      <c r="FR9" s="2947"/>
      <c r="FS9" s="2947"/>
      <c r="FT9" s="2947"/>
      <c r="FU9" s="2947"/>
      <c r="FV9" s="2947"/>
      <c r="FW9" s="2947"/>
      <c r="FX9" s="2947"/>
      <c r="FY9" s="2947"/>
      <c r="FZ9" s="2947"/>
      <c r="GA9" s="2947"/>
      <c r="GB9" s="2947"/>
      <c r="GC9" s="2947"/>
      <c r="GD9" s="2947"/>
      <c r="GE9" s="2947"/>
      <c r="GF9" s="2947"/>
      <c r="GG9" s="2947"/>
      <c r="GH9" s="2947"/>
      <c r="GI9" s="2947"/>
      <c r="GJ9" s="2947"/>
      <c r="GK9" s="2947"/>
      <c r="GL9" s="2947"/>
      <c r="GM9" s="2947"/>
      <c r="GN9" s="2947"/>
      <c r="GO9" s="2947"/>
      <c r="GP9" s="2947"/>
      <c r="GQ9" s="2947"/>
      <c r="GR9" s="2947"/>
      <c r="GS9" s="2947"/>
      <c r="GT9" s="2947"/>
      <c r="GU9" s="2947"/>
      <c r="GV9" s="2947"/>
      <c r="GW9" s="2947"/>
      <c r="GX9" s="2947"/>
      <c r="GY9" s="2947"/>
      <c r="GZ9" s="2947"/>
      <c r="HA9" s="2947"/>
      <c r="HB9" s="2947"/>
      <c r="HC9" s="2947"/>
      <c r="HD9" s="2947"/>
      <c r="HE9" s="2947"/>
      <c r="HF9" s="2947"/>
      <c r="HG9" s="2947"/>
      <c r="HH9" s="2947"/>
      <c r="HI9" s="2947"/>
      <c r="HJ9" s="2947"/>
      <c r="HK9" s="2947"/>
      <c r="HL9" s="2947"/>
      <c r="HM9" s="2947"/>
      <c r="HN9" s="2947"/>
      <c r="HO9" s="2947"/>
      <c r="HP9" s="2947"/>
      <c r="HQ9" s="2947"/>
      <c r="HR9" s="2947"/>
      <c r="HS9" s="2947"/>
      <c r="HT9" s="2947"/>
      <c r="HU9" s="2947"/>
      <c r="HV9" s="2947"/>
      <c r="HW9" s="2947"/>
      <c r="HX9" s="2947"/>
      <c r="HY9" s="2947"/>
      <c r="HZ9" s="2947"/>
      <c r="IA9" s="2947"/>
      <c r="IB9" s="2947"/>
      <c r="IC9" s="2947"/>
      <c r="ID9" s="2947"/>
      <c r="IE9" s="2947"/>
      <c r="IF9" s="2947"/>
      <c r="IG9" s="2947"/>
      <c r="IH9" s="2947"/>
      <c r="II9" s="2947"/>
      <c r="IJ9" s="2947"/>
      <c r="IK9" s="2947"/>
      <c r="IL9" s="2947"/>
      <c r="IM9" s="2947"/>
      <c r="IN9" s="2947"/>
      <c r="IO9" s="2947"/>
      <c r="IP9" s="2947"/>
      <c r="IQ9" s="2947"/>
      <c r="IR9" s="2947"/>
      <c r="IS9" s="2947"/>
      <c r="IT9" s="2947"/>
      <c r="IU9" s="2947"/>
      <c r="IV9" s="2947"/>
      <c r="IW9" s="2948"/>
    </row>
    <row r="10" spans="1:257" ht="22.5">
      <c r="A10" s="2949"/>
      <c r="B10" s="2950" t="s">
        <v>2773</v>
      </c>
      <c r="C10" s="2949"/>
      <c r="D10" s="2949"/>
      <c r="E10" s="2949"/>
      <c r="F10" s="2949"/>
      <c r="G10" s="2949"/>
      <c r="H10" s="2949"/>
      <c r="I10" s="2923"/>
      <c r="J10" s="2923"/>
      <c r="K10" s="2949"/>
      <c r="L10" s="2950" t="s">
        <v>2774</v>
      </c>
      <c r="M10" s="2949"/>
      <c r="N10" s="2949"/>
      <c r="O10" s="2949"/>
      <c r="P10" s="2949"/>
      <c r="Q10" s="2949"/>
      <c r="R10" s="2949"/>
      <c r="S10" s="2949"/>
      <c r="T10" s="2949"/>
      <c r="U10" s="2949"/>
      <c r="V10" s="2949"/>
      <c r="W10" s="2949"/>
      <c r="X10" s="2949"/>
      <c r="Y10" s="2949"/>
      <c r="Z10" s="2949"/>
      <c r="AA10" s="2951"/>
      <c r="AB10" s="2951"/>
      <c r="AC10" s="2951"/>
      <c r="AD10" s="2951"/>
      <c r="AE10" s="2951"/>
      <c r="AF10" s="2951"/>
      <c r="AG10" s="2951"/>
      <c r="AH10" s="2951"/>
      <c r="AI10" s="2951"/>
      <c r="AJ10" s="2951"/>
      <c r="AK10" s="2951"/>
      <c r="AL10" s="2951"/>
      <c r="AM10" s="2951"/>
      <c r="AN10" s="2951"/>
      <c r="AO10" s="2951"/>
      <c r="AP10" s="2951"/>
      <c r="AQ10" s="2951"/>
      <c r="AR10" s="2951"/>
      <c r="AS10" s="2951"/>
      <c r="AT10" s="2951"/>
      <c r="AU10" s="2951"/>
      <c r="AV10" s="2951"/>
      <c r="AW10" s="2951"/>
      <c r="AX10" s="2951"/>
      <c r="AY10" s="2951"/>
      <c r="AZ10" s="2951"/>
      <c r="BA10" s="2951"/>
      <c r="BB10" s="2951"/>
      <c r="BC10" s="2951"/>
      <c r="BD10" s="2951"/>
      <c r="BE10" s="2951"/>
      <c r="BF10" s="2951"/>
      <c r="BG10" s="2951"/>
      <c r="BH10" s="2951"/>
      <c r="BI10" s="2951"/>
      <c r="BJ10" s="2951"/>
      <c r="BK10" s="2951"/>
      <c r="BL10" s="2951"/>
      <c r="BM10" s="2951"/>
      <c r="BN10" s="2951"/>
      <c r="BO10" s="2951"/>
      <c r="BP10" s="2951"/>
      <c r="BQ10" s="2951"/>
      <c r="BR10" s="2951"/>
      <c r="BS10" s="2951"/>
      <c r="BT10" s="2951"/>
      <c r="BU10" s="2951"/>
      <c r="BV10" s="2951"/>
      <c r="BW10" s="2951"/>
      <c r="BX10" s="2951"/>
      <c r="BY10" s="2951"/>
      <c r="BZ10" s="2951"/>
      <c r="CA10" s="2951"/>
      <c r="CB10" s="2951"/>
      <c r="CC10" s="2951"/>
      <c r="CD10" s="2951"/>
      <c r="CE10" s="2951"/>
      <c r="CF10" s="2951"/>
      <c r="CG10" s="2951"/>
      <c r="CH10" s="2951"/>
      <c r="CI10" s="2951"/>
      <c r="CJ10" s="2951"/>
      <c r="CK10" s="2951"/>
      <c r="CL10" s="2951"/>
      <c r="CM10" s="2951"/>
      <c r="CN10" s="2951"/>
      <c r="CO10" s="2951"/>
      <c r="CP10" s="2951"/>
      <c r="CQ10" s="2951"/>
      <c r="CR10" s="2951"/>
      <c r="CS10" s="2951"/>
      <c r="CT10" s="2951"/>
      <c r="CU10" s="2951"/>
      <c r="CV10" s="2951"/>
      <c r="CW10" s="2951"/>
      <c r="CX10" s="2951"/>
      <c r="CY10" s="2951"/>
      <c r="CZ10" s="2951"/>
      <c r="DA10" s="2951"/>
      <c r="DB10" s="2951"/>
      <c r="DC10" s="2951"/>
      <c r="DD10" s="2951"/>
      <c r="DE10" s="2951"/>
      <c r="DF10" s="2951"/>
      <c r="DG10" s="2951"/>
      <c r="DH10" s="2951"/>
      <c r="DI10" s="2951"/>
      <c r="DJ10" s="2951"/>
      <c r="DK10" s="2951"/>
      <c r="DL10" s="2951"/>
      <c r="DM10" s="2951"/>
      <c r="DN10" s="2951"/>
      <c r="DO10" s="2951"/>
      <c r="DP10" s="2951"/>
      <c r="DQ10" s="2951"/>
      <c r="DR10" s="2951"/>
      <c r="DS10" s="2951"/>
      <c r="DT10" s="2951"/>
      <c r="DU10" s="2951"/>
      <c r="DV10" s="2951"/>
      <c r="DW10" s="2951"/>
      <c r="DX10" s="2951"/>
      <c r="DY10" s="2951"/>
      <c r="DZ10" s="2951"/>
      <c r="EA10" s="2951"/>
      <c r="EB10" s="2951"/>
      <c r="EC10" s="2951"/>
      <c r="ED10" s="2951"/>
      <c r="EE10" s="2951"/>
      <c r="EF10" s="2951"/>
      <c r="EG10" s="2951"/>
      <c r="EH10" s="2951"/>
      <c r="EI10" s="2951"/>
      <c r="EJ10" s="2951"/>
      <c r="EK10" s="2951"/>
      <c r="EL10" s="2951"/>
      <c r="EM10" s="2951"/>
      <c r="EN10" s="2951"/>
      <c r="EO10" s="2951"/>
      <c r="EP10" s="2951"/>
      <c r="EQ10" s="2951"/>
      <c r="ER10" s="2951"/>
      <c r="ES10" s="2951"/>
      <c r="ET10" s="2951"/>
      <c r="EU10" s="2951"/>
      <c r="EV10" s="2951"/>
      <c r="EW10" s="2951"/>
      <c r="EX10" s="2951"/>
      <c r="EY10" s="2951"/>
      <c r="EZ10" s="2951"/>
      <c r="FA10" s="2951"/>
      <c r="FB10" s="2951"/>
      <c r="FC10" s="2951"/>
      <c r="FD10" s="2951"/>
      <c r="FE10" s="2951"/>
      <c r="FF10" s="2951"/>
      <c r="FG10" s="2951"/>
      <c r="FH10" s="2951"/>
      <c r="FI10" s="2951"/>
      <c r="FJ10" s="2951"/>
      <c r="FK10" s="2951"/>
      <c r="FL10" s="2951"/>
      <c r="FM10" s="2951"/>
      <c r="FN10" s="2951"/>
      <c r="FO10" s="2951"/>
      <c r="FP10" s="2951"/>
      <c r="FQ10" s="2951"/>
      <c r="FR10" s="2951"/>
      <c r="FS10" s="2951"/>
      <c r="FT10" s="2951"/>
      <c r="FU10" s="2951"/>
      <c r="FV10" s="2951"/>
      <c r="FW10" s="2951"/>
      <c r="FX10" s="2951"/>
      <c r="FY10" s="2951"/>
      <c r="FZ10" s="2951"/>
      <c r="GA10" s="2951"/>
      <c r="GB10" s="2951"/>
      <c r="GC10" s="2951"/>
      <c r="GD10" s="2951"/>
      <c r="GE10" s="2951"/>
      <c r="GF10" s="2951"/>
      <c r="GG10" s="2951"/>
      <c r="GH10" s="2951"/>
      <c r="GI10" s="2951"/>
      <c r="GJ10" s="2951"/>
      <c r="GK10" s="2951"/>
      <c r="GL10" s="2951"/>
      <c r="GM10" s="2951"/>
      <c r="GN10" s="2951"/>
      <c r="GO10" s="2951"/>
      <c r="GP10" s="2951"/>
      <c r="GQ10" s="2951"/>
      <c r="GR10" s="2951"/>
      <c r="GS10" s="2951"/>
      <c r="GT10" s="2951"/>
      <c r="GU10" s="2951"/>
      <c r="GV10" s="2951"/>
      <c r="GW10" s="2951"/>
      <c r="GX10" s="2951"/>
      <c r="GY10" s="2951"/>
      <c r="GZ10" s="2951"/>
      <c r="HA10" s="2951"/>
      <c r="HB10" s="2951"/>
      <c r="HC10" s="2951"/>
      <c r="HD10" s="2951"/>
      <c r="HE10" s="2951"/>
      <c r="HF10" s="2951"/>
      <c r="HG10" s="2951"/>
      <c r="HH10" s="2951"/>
      <c r="HI10" s="2951"/>
      <c r="HJ10" s="2951"/>
      <c r="HK10" s="2951"/>
      <c r="HL10" s="2951"/>
      <c r="HM10" s="2951"/>
      <c r="HN10" s="2951"/>
      <c r="HO10" s="2951"/>
      <c r="HP10" s="2951"/>
      <c r="HQ10" s="2951"/>
      <c r="HR10" s="2951"/>
      <c r="HS10" s="2951"/>
      <c r="HT10" s="2951"/>
      <c r="HU10" s="2951"/>
      <c r="HV10" s="2951"/>
      <c r="HW10" s="2951"/>
      <c r="HX10" s="2951"/>
      <c r="HY10" s="2951"/>
      <c r="HZ10" s="2951"/>
      <c r="IA10" s="2951"/>
      <c r="IB10" s="2951"/>
      <c r="IC10" s="2951"/>
      <c r="ID10" s="2951"/>
      <c r="IE10" s="2951"/>
      <c r="IF10" s="2951"/>
      <c r="IG10" s="2951"/>
      <c r="IH10" s="2951"/>
      <c r="II10" s="2951"/>
      <c r="IJ10" s="2951"/>
      <c r="IK10" s="2951"/>
      <c r="IL10" s="2951"/>
      <c r="IM10" s="2951"/>
      <c r="IN10" s="2951"/>
      <c r="IO10" s="2951"/>
      <c r="IP10" s="2951"/>
      <c r="IQ10" s="2951"/>
      <c r="IR10" s="2951"/>
      <c r="IS10" s="2951"/>
      <c r="IT10" s="2951"/>
      <c r="IU10" s="2951"/>
      <c r="IV10" s="2951"/>
    </row>
    <row r="11" spans="1:257">
      <c r="A11" s="2952"/>
      <c r="B11" s="2953" t="s">
        <v>2775</v>
      </c>
      <c r="C11" s="2954" t="s">
        <v>2776</v>
      </c>
      <c r="D11" s="2955" t="s">
        <v>2777</v>
      </c>
      <c r="E11" s="2956"/>
      <c r="F11" s="2955" t="s">
        <v>2778</v>
      </c>
      <c r="G11" s="2957"/>
      <c r="H11" s="2956"/>
      <c r="I11" s="2955" t="s">
        <v>2779</v>
      </c>
      <c r="J11" s="2956"/>
      <c r="K11" s="2952"/>
      <c r="L11" s="2953" t="s">
        <v>2775</v>
      </c>
      <c r="M11" s="2954" t="s">
        <v>2776</v>
      </c>
      <c r="N11" s="2953" t="s">
        <v>2780</v>
      </c>
      <c r="O11" s="2955" t="s">
        <v>2781</v>
      </c>
      <c r="P11" s="2957"/>
      <c r="Q11" s="2957"/>
      <c r="R11" s="2957"/>
      <c r="S11" s="2957"/>
      <c r="T11" s="2956"/>
      <c r="U11" s="2955" t="s">
        <v>2782</v>
      </c>
      <c r="V11" s="2957"/>
      <c r="W11" s="2956"/>
      <c r="X11" s="2953" t="s">
        <v>2783</v>
      </c>
      <c r="Y11" s="2953" t="s">
        <v>2784</v>
      </c>
      <c r="Z11" s="2953" t="s">
        <v>2785</v>
      </c>
      <c r="AA11" s="2958"/>
      <c r="AB11" s="2958"/>
      <c r="AC11" s="2958"/>
      <c r="AD11" s="2958"/>
      <c r="AE11" s="2958"/>
      <c r="AF11" s="2958"/>
      <c r="AG11" s="2958"/>
      <c r="AH11" s="2958"/>
      <c r="AI11" s="2958"/>
      <c r="AJ11" s="2958"/>
      <c r="AK11" s="2958"/>
      <c r="AL11" s="2958"/>
      <c r="AM11" s="2958"/>
      <c r="AN11" s="2958"/>
      <c r="AO11" s="2958"/>
      <c r="AP11" s="2958"/>
      <c r="AQ11" s="2958"/>
      <c r="AR11" s="2958"/>
      <c r="AS11" s="2958"/>
      <c r="AT11" s="2958"/>
      <c r="AU11" s="2958"/>
      <c r="AV11" s="2958"/>
      <c r="AW11" s="2958"/>
      <c r="AX11" s="2958"/>
      <c r="AY11" s="2958"/>
      <c r="AZ11" s="2958"/>
      <c r="BA11" s="2958"/>
      <c r="BB11" s="2958"/>
      <c r="BC11" s="2958"/>
      <c r="BD11" s="2958"/>
      <c r="BE11" s="2958"/>
      <c r="BF11" s="2958"/>
      <c r="BG11" s="2958"/>
      <c r="BH11" s="2958"/>
      <c r="BI11" s="2958"/>
      <c r="BJ11" s="2958"/>
      <c r="BK11" s="2958"/>
      <c r="BL11" s="2958"/>
      <c r="BM11" s="2958"/>
      <c r="BN11" s="2958"/>
      <c r="BO11" s="2958"/>
      <c r="BP11" s="2958"/>
      <c r="BQ11" s="2958"/>
      <c r="BR11" s="2958"/>
      <c r="BS11" s="2958"/>
      <c r="BT11" s="2958"/>
      <c r="BU11" s="2958"/>
      <c r="BV11" s="2958"/>
      <c r="BW11" s="2958"/>
      <c r="BX11" s="2958"/>
      <c r="BY11" s="2958"/>
      <c r="BZ11" s="2958"/>
      <c r="CA11" s="2958"/>
      <c r="CB11" s="2958"/>
      <c r="CC11" s="2958"/>
      <c r="CD11" s="2958"/>
      <c r="CE11" s="2958"/>
      <c r="CF11" s="2958"/>
      <c r="CG11" s="2958"/>
      <c r="CH11" s="2958"/>
      <c r="CI11" s="2958"/>
      <c r="CJ11" s="2958"/>
      <c r="CK11" s="2958"/>
      <c r="CL11" s="2958"/>
      <c r="CM11" s="2958"/>
      <c r="CN11" s="2958"/>
      <c r="CO11" s="2958"/>
      <c r="CP11" s="2958"/>
      <c r="CQ11" s="2958"/>
      <c r="CR11" s="2958"/>
      <c r="CS11" s="2958"/>
      <c r="CT11" s="2958"/>
      <c r="CU11" s="2958"/>
      <c r="CV11" s="2958"/>
      <c r="CW11" s="2958"/>
      <c r="CX11" s="2958"/>
      <c r="CY11" s="2958"/>
      <c r="CZ11" s="2958"/>
      <c r="DA11" s="2958"/>
      <c r="DB11" s="2958"/>
      <c r="DC11" s="2958"/>
      <c r="DD11" s="2958"/>
      <c r="DE11" s="2958"/>
      <c r="DF11" s="2958"/>
      <c r="DG11" s="2958"/>
      <c r="DH11" s="2958"/>
      <c r="DI11" s="2958"/>
      <c r="DJ11" s="2958"/>
      <c r="DK11" s="2958"/>
      <c r="DL11" s="2958"/>
      <c r="DM11" s="2958"/>
      <c r="DN11" s="2958"/>
      <c r="DO11" s="2958"/>
      <c r="DP11" s="2958"/>
      <c r="DQ11" s="2958"/>
      <c r="DR11" s="2958"/>
      <c r="DS11" s="2958"/>
      <c r="DT11" s="2958"/>
      <c r="DU11" s="2958"/>
      <c r="DV11" s="2958"/>
      <c r="DW11" s="2958"/>
      <c r="DX11" s="2958"/>
      <c r="DY11" s="2958"/>
      <c r="DZ11" s="2958"/>
      <c r="EA11" s="2958"/>
      <c r="EB11" s="2958"/>
      <c r="EC11" s="2958"/>
      <c r="ED11" s="2958"/>
      <c r="EE11" s="2958"/>
      <c r="EF11" s="2958"/>
      <c r="EG11" s="2958"/>
      <c r="EH11" s="2958"/>
      <c r="EI11" s="2958"/>
      <c r="EJ11" s="2958"/>
      <c r="EK11" s="2958"/>
      <c r="EL11" s="2958"/>
      <c r="EM11" s="2958"/>
      <c r="EN11" s="2958"/>
      <c r="EO11" s="2958"/>
      <c r="EP11" s="2958"/>
      <c r="EQ11" s="2958"/>
      <c r="ER11" s="2958"/>
      <c r="ES11" s="2958"/>
      <c r="ET11" s="2958"/>
      <c r="EU11" s="2958"/>
      <c r="EV11" s="2958"/>
      <c r="EW11" s="2958"/>
      <c r="EX11" s="2958"/>
      <c r="EY11" s="2958"/>
      <c r="EZ11" s="2958"/>
      <c r="FA11" s="2958"/>
      <c r="FB11" s="2958"/>
      <c r="FC11" s="2958"/>
      <c r="FD11" s="2958"/>
      <c r="FE11" s="2958"/>
      <c r="FF11" s="2958"/>
      <c r="FG11" s="2958"/>
      <c r="FH11" s="2958"/>
      <c r="FI11" s="2958"/>
      <c r="FJ11" s="2958"/>
      <c r="FK11" s="2958"/>
      <c r="FL11" s="2958"/>
      <c r="FM11" s="2958"/>
      <c r="FN11" s="2958"/>
      <c r="FO11" s="2958"/>
      <c r="FP11" s="2958"/>
      <c r="FQ11" s="2958"/>
      <c r="FR11" s="2958"/>
      <c r="FS11" s="2958"/>
      <c r="FT11" s="2958"/>
      <c r="FU11" s="2958"/>
      <c r="FV11" s="2958"/>
      <c r="FW11" s="2958"/>
      <c r="FX11" s="2958"/>
      <c r="FY11" s="2958"/>
      <c r="FZ11" s="2958"/>
      <c r="GA11" s="2958"/>
      <c r="GB11" s="2958"/>
      <c r="GC11" s="2958"/>
      <c r="GD11" s="2958"/>
      <c r="GE11" s="2958"/>
      <c r="GF11" s="2958"/>
      <c r="GG11" s="2958"/>
      <c r="GH11" s="2958"/>
      <c r="GI11" s="2958"/>
      <c r="GJ11" s="2958"/>
      <c r="GK11" s="2958"/>
      <c r="GL11" s="2958"/>
      <c r="GM11" s="2958"/>
      <c r="GN11" s="2958"/>
      <c r="GO11" s="2958"/>
      <c r="GP11" s="2958"/>
      <c r="GQ11" s="2958"/>
      <c r="GR11" s="2958"/>
      <c r="GS11" s="2958"/>
      <c r="GT11" s="2958"/>
      <c r="GU11" s="2958"/>
      <c r="GV11" s="2958"/>
      <c r="GW11" s="2958"/>
      <c r="GX11" s="2958"/>
      <c r="GY11" s="2958"/>
      <c r="GZ11" s="2958"/>
      <c r="HA11" s="2958"/>
      <c r="HB11" s="2958"/>
      <c r="HC11" s="2958"/>
      <c r="HD11" s="2958"/>
      <c r="HE11" s="2958"/>
      <c r="HF11" s="2958"/>
      <c r="HG11" s="2958"/>
      <c r="HH11" s="2958"/>
      <c r="HI11" s="2958"/>
      <c r="HJ11" s="2958"/>
      <c r="HK11" s="2958"/>
      <c r="HL11" s="2958"/>
      <c r="HM11" s="2958"/>
      <c r="HN11" s="2958"/>
      <c r="HO11" s="2958"/>
      <c r="HP11" s="2958"/>
      <c r="HQ11" s="2958"/>
      <c r="HR11" s="2958"/>
      <c r="HS11" s="2958"/>
      <c r="HT11" s="2958"/>
      <c r="HU11" s="2958"/>
      <c r="HV11" s="2958"/>
      <c r="HW11" s="2958"/>
      <c r="HX11" s="2958"/>
      <c r="HY11" s="2958"/>
      <c r="HZ11" s="2958"/>
      <c r="IA11" s="2958"/>
      <c r="IB11" s="2958"/>
      <c r="IC11" s="2958"/>
      <c r="ID11" s="2958"/>
      <c r="IE11" s="2958"/>
      <c r="IF11" s="2958"/>
      <c r="IG11" s="2958"/>
      <c r="IH11" s="2958"/>
      <c r="II11" s="2958"/>
      <c r="IJ11" s="2958"/>
      <c r="IK11" s="2958"/>
      <c r="IL11" s="2958"/>
      <c r="IM11" s="2958"/>
      <c r="IN11" s="2958"/>
      <c r="IO11" s="2958"/>
      <c r="IP11" s="2958"/>
      <c r="IQ11" s="2958"/>
      <c r="IR11" s="2958"/>
      <c r="IS11" s="2958"/>
      <c r="IT11" s="2958"/>
      <c r="IU11" s="2958"/>
      <c r="IV11" s="2958"/>
    </row>
    <row r="12" spans="1:257">
      <c r="A12" s="2959"/>
      <c r="B12" s="2960"/>
      <c r="C12" s="2961"/>
      <c r="D12" s="2962" t="s">
        <v>2786</v>
      </c>
      <c r="E12" s="2962" t="s">
        <v>2787</v>
      </c>
      <c r="F12" s="2962" t="s">
        <v>2788</v>
      </c>
      <c r="G12" s="2962" t="s">
        <v>2789</v>
      </c>
      <c r="H12" s="2962" t="s">
        <v>2771</v>
      </c>
      <c r="I12" s="2963" t="s">
        <v>2790</v>
      </c>
      <c r="J12" s="2963" t="s">
        <v>2790</v>
      </c>
      <c r="K12" s="2959"/>
      <c r="L12" s="2960"/>
      <c r="M12" s="2961"/>
      <c r="N12" s="2960"/>
      <c r="O12" s="2963" t="s">
        <v>2791</v>
      </c>
      <c r="P12" s="2963">
        <v>0.5</v>
      </c>
      <c r="Q12" s="2963">
        <v>1</v>
      </c>
      <c r="R12" s="2963">
        <v>2</v>
      </c>
      <c r="S12" s="2963">
        <v>3</v>
      </c>
      <c r="T12" s="2963">
        <v>5</v>
      </c>
      <c r="U12" s="2963">
        <v>1</v>
      </c>
      <c r="V12" s="2963">
        <v>3</v>
      </c>
      <c r="W12" s="2963">
        <v>5</v>
      </c>
      <c r="X12" s="2960"/>
      <c r="Y12" s="2960"/>
      <c r="Z12" s="2960"/>
      <c r="AA12" s="2964"/>
      <c r="AB12" s="2964"/>
      <c r="AC12" s="2964"/>
      <c r="AD12" s="2964"/>
      <c r="AE12" s="2964"/>
      <c r="AF12" s="2964"/>
      <c r="AG12" s="2964"/>
      <c r="AH12" s="2964"/>
      <c r="AI12" s="2964"/>
      <c r="AJ12" s="2964"/>
      <c r="AK12" s="2964"/>
      <c r="AL12" s="2964"/>
      <c r="AM12" s="2964"/>
      <c r="AN12" s="2964"/>
      <c r="AO12" s="2964"/>
      <c r="AP12" s="2964"/>
      <c r="AQ12" s="2964"/>
      <c r="AR12" s="2964"/>
      <c r="AS12" s="2964"/>
      <c r="AT12" s="2964"/>
      <c r="AU12" s="2964"/>
      <c r="AV12" s="2964"/>
      <c r="AW12" s="2964"/>
      <c r="AX12" s="2964"/>
      <c r="AY12" s="2964"/>
      <c r="AZ12" s="2964"/>
      <c r="BA12" s="2964"/>
      <c r="BB12" s="2964"/>
      <c r="BC12" s="2964"/>
      <c r="BD12" s="2964"/>
      <c r="BE12" s="2964"/>
      <c r="BF12" s="2964"/>
      <c r="BG12" s="2964"/>
      <c r="BH12" s="2964"/>
      <c r="BI12" s="2964"/>
      <c r="BJ12" s="2964"/>
      <c r="BK12" s="2964"/>
      <c r="BL12" s="2964"/>
      <c r="BM12" s="2964"/>
      <c r="BN12" s="2964"/>
      <c r="BO12" s="2964"/>
      <c r="BP12" s="2964"/>
      <c r="BQ12" s="2964"/>
      <c r="BR12" s="2964"/>
      <c r="BS12" s="2964"/>
      <c r="BT12" s="2964"/>
      <c r="BU12" s="2964"/>
      <c r="BV12" s="2964"/>
      <c r="BW12" s="2964"/>
      <c r="BX12" s="2964"/>
      <c r="BY12" s="2964"/>
      <c r="BZ12" s="2964"/>
      <c r="CA12" s="2964"/>
      <c r="CB12" s="2964"/>
      <c r="CC12" s="2964"/>
      <c r="CD12" s="2964"/>
      <c r="CE12" s="2964"/>
      <c r="CF12" s="2964"/>
      <c r="CG12" s="2964"/>
      <c r="CH12" s="2964"/>
      <c r="CI12" s="2964"/>
      <c r="CJ12" s="2964"/>
      <c r="CK12" s="2964"/>
      <c r="CL12" s="2964"/>
      <c r="CM12" s="2964"/>
      <c r="CN12" s="2964"/>
      <c r="CO12" s="2964"/>
      <c r="CP12" s="2964"/>
      <c r="CQ12" s="2964"/>
      <c r="CR12" s="2964"/>
      <c r="CS12" s="2964"/>
      <c r="CT12" s="2964"/>
      <c r="CU12" s="2964"/>
      <c r="CV12" s="2964"/>
      <c r="CW12" s="2964"/>
      <c r="CX12" s="2964"/>
      <c r="CY12" s="2964"/>
      <c r="CZ12" s="2964"/>
      <c r="DA12" s="2964"/>
      <c r="DB12" s="2964"/>
      <c r="DC12" s="2964"/>
      <c r="DD12" s="2964"/>
      <c r="DE12" s="2964"/>
      <c r="DF12" s="2964"/>
      <c r="DG12" s="2964"/>
      <c r="DH12" s="2964"/>
      <c r="DI12" s="2964"/>
      <c r="DJ12" s="2964"/>
      <c r="DK12" s="2964"/>
      <c r="DL12" s="2964"/>
      <c r="DM12" s="2964"/>
      <c r="DN12" s="2964"/>
      <c r="DO12" s="2964"/>
      <c r="DP12" s="2964"/>
      <c r="DQ12" s="2964"/>
      <c r="DR12" s="2964"/>
      <c r="DS12" s="2964"/>
      <c r="DT12" s="2964"/>
      <c r="DU12" s="2964"/>
      <c r="DV12" s="2964"/>
      <c r="DW12" s="2964"/>
      <c r="DX12" s="2964"/>
      <c r="DY12" s="2964"/>
      <c r="DZ12" s="2964"/>
      <c r="EA12" s="2964"/>
      <c r="EB12" s="2964"/>
      <c r="EC12" s="2964"/>
      <c r="ED12" s="2964"/>
      <c r="EE12" s="2964"/>
      <c r="EF12" s="2964"/>
      <c r="EG12" s="2964"/>
      <c r="EH12" s="2964"/>
      <c r="EI12" s="2964"/>
      <c r="EJ12" s="2964"/>
      <c r="EK12" s="2964"/>
      <c r="EL12" s="2964"/>
      <c r="EM12" s="2964"/>
      <c r="EN12" s="2964"/>
      <c r="EO12" s="2964"/>
      <c r="EP12" s="2964"/>
      <c r="EQ12" s="2964"/>
      <c r="ER12" s="2964"/>
      <c r="ES12" s="2964"/>
      <c r="ET12" s="2964"/>
      <c r="EU12" s="2964"/>
      <c r="EV12" s="2964"/>
      <c r="EW12" s="2964"/>
      <c r="EX12" s="2964"/>
      <c r="EY12" s="2964"/>
      <c r="EZ12" s="2964"/>
      <c r="FA12" s="2964"/>
      <c r="FB12" s="2964"/>
      <c r="FC12" s="2964"/>
      <c r="FD12" s="2964"/>
      <c r="FE12" s="2964"/>
      <c r="FF12" s="2964"/>
      <c r="FG12" s="2964"/>
      <c r="FH12" s="2964"/>
      <c r="FI12" s="2964"/>
      <c r="FJ12" s="2964"/>
      <c r="FK12" s="2964"/>
      <c r="FL12" s="2964"/>
      <c r="FM12" s="2964"/>
      <c r="FN12" s="2964"/>
      <c r="FO12" s="2964"/>
      <c r="FP12" s="2964"/>
      <c r="FQ12" s="2964"/>
      <c r="FR12" s="2964"/>
      <c r="FS12" s="2964"/>
      <c r="FT12" s="2964"/>
      <c r="FU12" s="2964"/>
      <c r="FV12" s="2964"/>
      <c r="FW12" s="2964"/>
      <c r="FX12" s="2964"/>
      <c r="FY12" s="2964"/>
      <c r="FZ12" s="2964"/>
      <c r="GA12" s="2964"/>
      <c r="GB12" s="2964"/>
      <c r="GC12" s="2964"/>
      <c r="GD12" s="2964"/>
      <c r="GE12" s="2964"/>
      <c r="GF12" s="2964"/>
      <c r="GG12" s="2964"/>
      <c r="GH12" s="2964"/>
      <c r="GI12" s="2964"/>
      <c r="GJ12" s="2964"/>
      <c r="GK12" s="2964"/>
      <c r="GL12" s="2964"/>
      <c r="GM12" s="2964"/>
      <c r="GN12" s="2964"/>
      <c r="GO12" s="2964"/>
      <c r="GP12" s="2964"/>
      <c r="GQ12" s="2964"/>
      <c r="GR12" s="2964"/>
      <c r="GS12" s="2964"/>
      <c r="GT12" s="2964"/>
      <c r="GU12" s="2964"/>
      <c r="GV12" s="2964"/>
      <c r="GW12" s="2964"/>
      <c r="GX12" s="2964"/>
      <c r="GY12" s="2964"/>
      <c r="GZ12" s="2964"/>
      <c r="HA12" s="2964"/>
      <c r="HB12" s="2964"/>
      <c r="HC12" s="2964"/>
      <c r="HD12" s="2964"/>
      <c r="HE12" s="2964"/>
      <c r="HF12" s="2964"/>
      <c r="HG12" s="2964"/>
      <c r="HH12" s="2964"/>
      <c r="HI12" s="2964"/>
      <c r="HJ12" s="2964"/>
      <c r="HK12" s="2964"/>
      <c r="HL12" s="2964"/>
      <c r="HM12" s="2964"/>
      <c r="HN12" s="2964"/>
      <c r="HO12" s="2964"/>
      <c r="HP12" s="2964"/>
      <c r="HQ12" s="2964"/>
      <c r="HR12" s="2964"/>
      <c r="HS12" s="2964"/>
      <c r="HT12" s="2964"/>
      <c r="HU12" s="2964"/>
      <c r="HV12" s="2964"/>
      <c r="HW12" s="2964"/>
      <c r="HX12" s="2964"/>
      <c r="HY12" s="2964"/>
      <c r="HZ12" s="2964"/>
      <c r="IA12" s="2964"/>
      <c r="IB12" s="2964"/>
      <c r="IC12" s="2964"/>
      <c r="ID12" s="2964"/>
      <c r="IE12" s="2964"/>
      <c r="IF12" s="2964"/>
      <c r="IG12" s="2964"/>
      <c r="IH12" s="2964"/>
      <c r="II12" s="2964"/>
      <c r="IJ12" s="2964"/>
      <c r="IK12" s="2964"/>
      <c r="IL12" s="2964"/>
      <c r="IM12" s="2964"/>
      <c r="IN12" s="2964"/>
      <c r="IO12" s="2964"/>
      <c r="IP12" s="2964"/>
      <c r="IQ12" s="2964"/>
      <c r="IR12" s="2964"/>
      <c r="IS12" s="2964"/>
      <c r="IT12" s="2964"/>
      <c r="IU12" s="2964"/>
      <c r="IV12" s="2964"/>
    </row>
    <row r="13" spans="1:257" ht="14.25">
      <c r="A13" s="2965"/>
      <c r="B13" s="2966" t="s">
        <v>2792</v>
      </c>
      <c r="C13" s="2967">
        <v>42301</v>
      </c>
      <c r="D13" s="2968">
        <v>4.3499999999999996</v>
      </c>
      <c r="E13" s="2968">
        <v>4.3499999999999996</v>
      </c>
      <c r="F13" s="2968">
        <v>4.75</v>
      </c>
      <c r="G13" s="2968">
        <v>4.75</v>
      </c>
      <c r="H13" s="2968">
        <v>4.9000000000000004</v>
      </c>
      <c r="I13" s="2968">
        <v>2.75</v>
      </c>
      <c r="J13" s="2968">
        <v>3.25</v>
      </c>
      <c r="K13" s="2965"/>
      <c r="L13" s="2966" t="s">
        <v>2792</v>
      </c>
      <c r="M13" s="2969">
        <v>42301</v>
      </c>
      <c r="N13" s="2968">
        <v>0.35</v>
      </c>
      <c r="O13" s="2968">
        <v>1.1000000000000001</v>
      </c>
      <c r="P13" s="2968">
        <v>1.3</v>
      </c>
      <c r="Q13" s="2968">
        <v>1.5</v>
      </c>
      <c r="R13" s="2968">
        <v>2.1</v>
      </c>
      <c r="S13" s="2968">
        <v>2.75</v>
      </c>
      <c r="T13" s="2968"/>
      <c r="U13" s="2968"/>
      <c r="V13" s="2968"/>
      <c r="W13" s="2968"/>
      <c r="X13" s="2968"/>
      <c r="Y13" s="2968"/>
      <c r="Z13" s="2968"/>
      <c r="AA13" s="2970"/>
      <c r="AB13" s="2970"/>
      <c r="AC13" s="2970"/>
      <c r="AD13" s="2970"/>
      <c r="AE13" s="2970"/>
      <c r="AF13" s="2970"/>
      <c r="AG13" s="2970"/>
      <c r="AH13" s="2970"/>
      <c r="AI13" s="2970"/>
      <c r="AJ13" s="2970"/>
      <c r="AK13" s="2970"/>
      <c r="AL13" s="2970"/>
      <c r="AM13" s="2970"/>
      <c r="AN13" s="2970"/>
      <c r="AO13" s="2970"/>
      <c r="AP13" s="2970"/>
      <c r="AQ13" s="2970"/>
      <c r="AR13" s="2970"/>
      <c r="AS13" s="2970"/>
      <c r="AT13" s="2970"/>
      <c r="AU13" s="2970"/>
      <c r="AV13" s="2970"/>
      <c r="AW13" s="2970"/>
      <c r="AX13" s="2970"/>
      <c r="AY13" s="2970"/>
      <c r="AZ13" s="2970"/>
      <c r="BA13" s="2970"/>
      <c r="BB13" s="2970"/>
      <c r="BC13" s="2970"/>
      <c r="BD13" s="2970"/>
      <c r="BE13" s="2970"/>
      <c r="BF13" s="2970"/>
      <c r="BG13" s="2970"/>
      <c r="BH13" s="2970"/>
      <c r="BI13" s="2970"/>
      <c r="BJ13" s="2970"/>
      <c r="BK13" s="2970"/>
      <c r="BL13" s="2970"/>
      <c r="BM13" s="2970"/>
      <c r="BN13" s="2970"/>
      <c r="BO13" s="2970"/>
      <c r="BP13" s="2970"/>
      <c r="BQ13" s="2970"/>
      <c r="BR13" s="2970"/>
      <c r="BS13" s="2970"/>
      <c r="BT13" s="2970"/>
      <c r="BU13" s="2970"/>
      <c r="BV13" s="2970"/>
      <c r="BW13" s="2970"/>
      <c r="BX13" s="2970"/>
      <c r="BY13" s="2970"/>
      <c r="BZ13" s="2970"/>
      <c r="CA13" s="2970"/>
      <c r="CB13" s="2970"/>
      <c r="CC13" s="2970"/>
      <c r="CD13" s="2970"/>
      <c r="CE13" s="2970"/>
      <c r="CF13" s="2970"/>
      <c r="CG13" s="2970"/>
      <c r="CH13" s="2970"/>
      <c r="CI13" s="2970"/>
      <c r="CJ13" s="2970"/>
      <c r="CK13" s="2970"/>
      <c r="CL13" s="2970"/>
      <c r="CM13" s="2970"/>
      <c r="CN13" s="2970"/>
      <c r="CO13" s="2970"/>
      <c r="CP13" s="2970"/>
      <c r="CQ13" s="2970"/>
      <c r="CR13" s="2970"/>
      <c r="CS13" s="2970"/>
      <c r="CT13" s="2970"/>
      <c r="CU13" s="2970"/>
      <c r="CV13" s="2970"/>
      <c r="CW13" s="2970"/>
      <c r="CX13" s="2970"/>
      <c r="CY13" s="2970"/>
      <c r="CZ13" s="2970"/>
      <c r="DA13" s="2970"/>
      <c r="DB13" s="2970"/>
      <c r="DC13" s="2970"/>
      <c r="DD13" s="2970"/>
      <c r="DE13" s="2970"/>
      <c r="DF13" s="2970"/>
      <c r="DG13" s="2970"/>
      <c r="DH13" s="2970"/>
      <c r="DI13" s="2970"/>
      <c r="DJ13" s="2970"/>
      <c r="DK13" s="2970"/>
      <c r="DL13" s="2970"/>
      <c r="DM13" s="2970"/>
      <c r="DN13" s="2970"/>
      <c r="DO13" s="2970"/>
      <c r="DP13" s="2970"/>
      <c r="DQ13" s="2970"/>
      <c r="DR13" s="2970"/>
      <c r="DS13" s="2970"/>
      <c r="DT13" s="2970"/>
      <c r="DU13" s="2970"/>
      <c r="DV13" s="2970"/>
      <c r="DW13" s="2970"/>
      <c r="DX13" s="2970"/>
      <c r="DY13" s="2970"/>
      <c r="DZ13" s="2970"/>
      <c r="EA13" s="2970"/>
      <c r="EB13" s="2970"/>
      <c r="EC13" s="2970"/>
      <c r="ED13" s="2970"/>
      <c r="EE13" s="2970"/>
      <c r="EF13" s="2970"/>
      <c r="EG13" s="2970"/>
      <c r="EH13" s="2970"/>
      <c r="EI13" s="2970"/>
      <c r="EJ13" s="2970"/>
      <c r="EK13" s="2970"/>
      <c r="EL13" s="2970"/>
      <c r="EM13" s="2970"/>
      <c r="EN13" s="2970"/>
      <c r="EO13" s="2970"/>
      <c r="EP13" s="2970"/>
      <c r="EQ13" s="2970"/>
      <c r="ER13" s="2970"/>
      <c r="ES13" s="2970"/>
      <c r="ET13" s="2970"/>
      <c r="EU13" s="2970"/>
      <c r="EV13" s="2970"/>
      <c r="EW13" s="2970"/>
      <c r="EX13" s="2970"/>
      <c r="EY13" s="2970"/>
      <c r="EZ13" s="2970"/>
      <c r="FA13" s="2970"/>
      <c r="FB13" s="2970"/>
      <c r="FC13" s="2970"/>
      <c r="FD13" s="2970"/>
      <c r="FE13" s="2970"/>
      <c r="FF13" s="2970"/>
      <c r="FG13" s="2970"/>
      <c r="FH13" s="2970"/>
      <c r="FI13" s="2970"/>
      <c r="FJ13" s="2970"/>
      <c r="FK13" s="2970"/>
      <c r="FL13" s="2970"/>
      <c r="FM13" s="2970"/>
      <c r="FN13" s="2970"/>
      <c r="FO13" s="2970"/>
      <c r="FP13" s="2970"/>
      <c r="FQ13" s="2970"/>
      <c r="FR13" s="2970"/>
      <c r="FS13" s="2970"/>
      <c r="FT13" s="2970"/>
      <c r="FU13" s="2970"/>
      <c r="FV13" s="2970"/>
      <c r="FW13" s="2970"/>
      <c r="FX13" s="2970"/>
      <c r="FY13" s="2970"/>
      <c r="FZ13" s="2970"/>
      <c r="GA13" s="2970"/>
      <c r="GB13" s="2970"/>
      <c r="GC13" s="2970"/>
      <c r="GD13" s="2970"/>
      <c r="GE13" s="2970"/>
      <c r="GF13" s="2970"/>
      <c r="GG13" s="2970"/>
      <c r="GH13" s="2970"/>
      <c r="GI13" s="2970"/>
      <c r="GJ13" s="2970"/>
      <c r="GK13" s="2970"/>
      <c r="GL13" s="2970"/>
      <c r="GM13" s="2970"/>
      <c r="GN13" s="2970"/>
      <c r="GO13" s="2970"/>
      <c r="GP13" s="2970"/>
      <c r="GQ13" s="2970"/>
      <c r="GR13" s="2970"/>
      <c r="GS13" s="2970"/>
      <c r="GT13" s="2970"/>
      <c r="GU13" s="2970"/>
      <c r="GV13" s="2970"/>
      <c r="GW13" s="2970"/>
      <c r="GX13" s="2970"/>
      <c r="GY13" s="2970"/>
      <c r="GZ13" s="2970"/>
      <c r="HA13" s="2970"/>
      <c r="HB13" s="2970"/>
      <c r="HC13" s="2970"/>
      <c r="HD13" s="2970"/>
      <c r="HE13" s="2970"/>
      <c r="HF13" s="2970"/>
      <c r="HG13" s="2970"/>
      <c r="HH13" s="2970"/>
      <c r="HI13" s="2970"/>
      <c r="HJ13" s="2970"/>
      <c r="HK13" s="2970"/>
      <c r="HL13" s="2970"/>
      <c r="HM13" s="2970"/>
      <c r="HN13" s="2970"/>
      <c r="HO13" s="2970"/>
      <c r="HP13" s="2970"/>
      <c r="HQ13" s="2970"/>
      <c r="HR13" s="2970"/>
      <c r="HS13" s="2970"/>
      <c r="HT13" s="2970"/>
      <c r="HU13" s="2970"/>
      <c r="HV13" s="2970"/>
      <c r="HW13" s="2970"/>
      <c r="HX13" s="2970"/>
      <c r="HY13" s="2970"/>
      <c r="HZ13" s="2970"/>
      <c r="IA13" s="2970"/>
      <c r="IB13" s="2970"/>
      <c r="IC13" s="2970"/>
      <c r="ID13" s="2970"/>
      <c r="IE13" s="2970"/>
      <c r="IF13" s="2970"/>
      <c r="IG13" s="2970"/>
      <c r="IH13" s="2970"/>
      <c r="II13" s="2970"/>
      <c r="IJ13" s="2970"/>
      <c r="IK13" s="2970"/>
      <c r="IL13" s="2970"/>
      <c r="IM13" s="2970"/>
      <c r="IN13" s="2970"/>
      <c r="IO13" s="2970"/>
      <c r="IP13" s="2970"/>
      <c r="IQ13" s="2970"/>
      <c r="IR13" s="2970"/>
      <c r="IS13" s="2970"/>
      <c r="IT13" s="2970"/>
      <c r="IU13" s="2970"/>
      <c r="IV13" s="2970"/>
      <c r="IW13" s="2971"/>
    </row>
    <row r="14" spans="1:257">
      <c r="B14" s="2972"/>
      <c r="C14" s="2973">
        <v>42242</v>
      </c>
      <c r="D14" s="2972">
        <v>4.5999999999999996</v>
      </c>
      <c r="E14" s="2972">
        <v>4.5999999999999996</v>
      </c>
      <c r="F14" s="2972">
        <v>5</v>
      </c>
      <c r="G14" s="2972">
        <v>5</v>
      </c>
      <c r="H14" s="2972">
        <v>5.15</v>
      </c>
      <c r="I14" s="2972">
        <v>2.75</v>
      </c>
      <c r="J14" s="2972">
        <v>3.25</v>
      </c>
      <c r="L14" s="2972"/>
      <c r="M14" s="2973">
        <v>42242</v>
      </c>
      <c r="N14" s="2972">
        <v>0.35</v>
      </c>
      <c r="O14" s="2972">
        <v>1.35</v>
      </c>
      <c r="P14" s="2972">
        <v>1.55</v>
      </c>
      <c r="Q14" s="2972">
        <v>1.75</v>
      </c>
      <c r="R14" s="2972">
        <v>2.35</v>
      </c>
      <c r="S14" s="2972">
        <v>3</v>
      </c>
      <c r="T14" s="2972"/>
      <c r="U14" s="2972"/>
      <c r="V14" s="2972"/>
      <c r="W14" s="2972"/>
      <c r="X14" s="2972"/>
      <c r="Y14" s="2972"/>
      <c r="Z14" s="2972"/>
    </row>
    <row r="15" spans="1:257">
      <c r="B15" s="2972"/>
      <c r="C15" s="2973">
        <v>42183</v>
      </c>
      <c r="D15" s="2972">
        <v>4.8499999999999996</v>
      </c>
      <c r="E15" s="2972">
        <v>4.8499999999999996</v>
      </c>
      <c r="F15" s="2972">
        <v>5.25</v>
      </c>
      <c r="G15" s="2972">
        <v>5.25</v>
      </c>
      <c r="H15" s="2972">
        <v>5.4</v>
      </c>
      <c r="I15" s="2972">
        <v>3</v>
      </c>
      <c r="J15" s="2972">
        <v>3.5</v>
      </c>
      <c r="L15" s="2972"/>
      <c r="M15" s="2973">
        <v>42183</v>
      </c>
      <c r="N15" s="2972">
        <v>0.35</v>
      </c>
      <c r="O15" s="2972">
        <v>1.6</v>
      </c>
      <c r="P15" s="2972">
        <v>1.8</v>
      </c>
      <c r="Q15" s="2972">
        <v>2</v>
      </c>
      <c r="R15" s="2972">
        <v>2.6</v>
      </c>
      <c r="S15" s="2972">
        <v>3.25</v>
      </c>
      <c r="T15" s="2972"/>
      <c r="U15" s="2972"/>
      <c r="V15" s="2972"/>
      <c r="W15" s="2972"/>
      <c r="X15" s="2972"/>
      <c r="Y15" s="2972"/>
      <c r="Z15" s="2972"/>
    </row>
    <row r="16" spans="1:257">
      <c r="B16" s="2972"/>
      <c r="C16" s="2973">
        <v>42135</v>
      </c>
      <c r="D16" s="2972">
        <v>5.0999999999999996</v>
      </c>
      <c r="E16" s="2972">
        <v>5.0999999999999996</v>
      </c>
      <c r="F16" s="2972">
        <v>5.5</v>
      </c>
      <c r="G16" s="2972">
        <v>5.5</v>
      </c>
      <c r="H16" s="2972">
        <v>5.65</v>
      </c>
      <c r="I16" s="2972">
        <v>3.25</v>
      </c>
      <c r="J16" s="2972">
        <v>3.75</v>
      </c>
      <c r="L16" s="2972"/>
      <c r="M16" s="2973">
        <v>42135</v>
      </c>
      <c r="N16" s="2972">
        <v>0.35</v>
      </c>
      <c r="O16" s="2972">
        <v>1.85</v>
      </c>
      <c r="P16" s="2972">
        <v>2.0499999999999998</v>
      </c>
      <c r="Q16" s="2972">
        <v>2.25</v>
      </c>
      <c r="R16" s="2972">
        <v>2.85</v>
      </c>
      <c r="S16" s="2972">
        <v>3.5</v>
      </c>
      <c r="T16" s="2972"/>
      <c r="U16" s="2972"/>
      <c r="V16" s="2972"/>
      <c r="W16" s="2972"/>
      <c r="X16" s="2972"/>
      <c r="Y16" s="2972"/>
      <c r="Z16" s="2972"/>
    </row>
    <row r="17" spans="2:26">
      <c r="B17" s="2972"/>
      <c r="C17" s="2973">
        <v>42064</v>
      </c>
      <c r="D17" s="2972">
        <v>5.35</v>
      </c>
      <c r="E17" s="2972">
        <v>5.35</v>
      </c>
      <c r="F17" s="2972">
        <v>5.75</v>
      </c>
      <c r="G17" s="2972">
        <v>5.75</v>
      </c>
      <c r="H17" s="2972">
        <v>5.9</v>
      </c>
      <c r="I17" s="2972"/>
      <c r="J17" s="2972"/>
      <c r="L17" s="2972"/>
      <c r="M17" s="2973">
        <v>42064</v>
      </c>
      <c r="N17" s="2972">
        <v>0.35</v>
      </c>
      <c r="O17" s="2972">
        <v>2.1</v>
      </c>
      <c r="P17" s="2972">
        <v>2.2999999999999998</v>
      </c>
      <c r="Q17" s="2972">
        <v>2.5</v>
      </c>
      <c r="R17" s="2972">
        <v>3.1</v>
      </c>
      <c r="S17" s="2972">
        <v>3.75</v>
      </c>
      <c r="T17" s="2972">
        <v>4.5</v>
      </c>
      <c r="U17" s="2972">
        <v>2.35</v>
      </c>
      <c r="V17" s="2972">
        <v>2.5499999999999998</v>
      </c>
      <c r="W17" s="2972">
        <v>2.75</v>
      </c>
      <c r="X17" s="2972"/>
      <c r="Y17" s="2972">
        <v>0.8</v>
      </c>
      <c r="Z17" s="2972">
        <v>1.35</v>
      </c>
    </row>
    <row r="18" spans="2:26" ht="15">
      <c r="B18" s="2972"/>
      <c r="C18" s="2973">
        <v>41965</v>
      </c>
      <c r="D18" s="2972">
        <v>5.6</v>
      </c>
      <c r="E18" s="2972">
        <v>5.6</v>
      </c>
      <c r="F18" s="2972">
        <v>6</v>
      </c>
      <c r="G18" s="2972">
        <v>6</v>
      </c>
      <c r="H18" s="2972">
        <v>6.15</v>
      </c>
      <c r="I18" s="2972"/>
      <c r="J18" s="2972"/>
      <c r="L18" s="2972"/>
      <c r="M18" s="2973">
        <v>41965</v>
      </c>
      <c r="N18" s="2972">
        <v>0.35</v>
      </c>
      <c r="O18" s="2972">
        <v>2.35</v>
      </c>
      <c r="P18" s="2972">
        <v>2.5499999999999998</v>
      </c>
      <c r="Q18" s="2972">
        <v>2.75</v>
      </c>
      <c r="R18" s="2972">
        <v>3.35</v>
      </c>
      <c r="S18" s="2972">
        <v>4</v>
      </c>
      <c r="T18" s="2972">
        <v>4.75</v>
      </c>
      <c r="U18" s="2974">
        <v>2.35</v>
      </c>
      <c r="V18" s="2974">
        <v>2.5499999999999998</v>
      </c>
      <c r="W18" s="2974">
        <v>2.75</v>
      </c>
      <c r="X18" s="2972"/>
      <c r="Y18" s="2974">
        <v>0.8</v>
      </c>
      <c r="Z18" s="2974">
        <v>1.35</v>
      </c>
    </row>
    <row r="19" spans="2:26">
      <c r="B19" s="2972"/>
      <c r="C19" s="2973">
        <v>41096</v>
      </c>
      <c r="D19" s="2972">
        <v>5.6</v>
      </c>
      <c r="E19" s="2972">
        <v>6</v>
      </c>
      <c r="F19" s="2972">
        <v>6.15</v>
      </c>
      <c r="G19" s="2972">
        <v>6.4</v>
      </c>
      <c r="H19" s="2972">
        <v>6.55</v>
      </c>
      <c r="I19" s="2972">
        <v>4</v>
      </c>
      <c r="J19" s="2972">
        <v>4.5</v>
      </c>
      <c r="L19" s="2972"/>
      <c r="M19" s="2973">
        <v>41096</v>
      </c>
      <c r="N19" s="2972">
        <v>0.35</v>
      </c>
      <c r="O19" s="2972">
        <v>2.6</v>
      </c>
      <c r="P19" s="2972">
        <v>2.8</v>
      </c>
      <c r="Q19" s="2972">
        <v>3</v>
      </c>
      <c r="R19" s="2972">
        <v>3.75</v>
      </c>
      <c r="S19" s="2972">
        <v>4.25</v>
      </c>
      <c r="T19" s="2972">
        <v>4.75</v>
      </c>
      <c r="U19" s="2972">
        <v>2.85</v>
      </c>
      <c r="V19" s="2972">
        <v>2.9</v>
      </c>
      <c r="W19" s="2972">
        <v>3</v>
      </c>
      <c r="X19" s="2972">
        <v>1.1499999999999999</v>
      </c>
      <c r="Y19" s="2972">
        <v>0.8</v>
      </c>
      <c r="Z19" s="2972">
        <v>1.35</v>
      </c>
    </row>
    <row r="20" spans="2:26">
      <c r="B20" s="2972"/>
      <c r="C20" s="2973">
        <v>41068</v>
      </c>
      <c r="D20" s="2972">
        <v>5.85</v>
      </c>
      <c r="E20" s="2972">
        <v>6.31</v>
      </c>
      <c r="F20" s="2972">
        <v>6.4</v>
      </c>
      <c r="G20" s="2972">
        <v>6.65</v>
      </c>
      <c r="H20" s="2972">
        <v>6.8</v>
      </c>
      <c r="I20" s="2972">
        <v>4.2</v>
      </c>
      <c r="J20" s="2972">
        <v>4.7</v>
      </c>
      <c r="L20" s="2972"/>
      <c r="M20" s="2973">
        <v>41068</v>
      </c>
      <c r="N20" s="2972">
        <v>0.4</v>
      </c>
      <c r="O20" s="2972">
        <v>2.85</v>
      </c>
      <c r="P20" s="2972">
        <v>3.05</v>
      </c>
      <c r="Q20" s="2972">
        <v>3.25</v>
      </c>
      <c r="R20" s="2972">
        <v>4.0999999999999996</v>
      </c>
      <c r="S20" s="2972">
        <v>4.6500000000000004</v>
      </c>
      <c r="T20" s="2972">
        <v>5.0999999999999996</v>
      </c>
      <c r="U20" s="2972">
        <v>3.1</v>
      </c>
      <c r="V20" s="2972">
        <v>3.15</v>
      </c>
      <c r="W20" s="2972">
        <v>3.25</v>
      </c>
      <c r="X20" s="2972">
        <v>1.31</v>
      </c>
      <c r="Y20" s="2972">
        <v>0.94</v>
      </c>
      <c r="Z20" s="2972">
        <v>1.49</v>
      </c>
    </row>
    <row r="21" spans="2:26">
      <c r="B21" s="2972"/>
      <c r="C21" s="2973">
        <v>40731</v>
      </c>
      <c r="D21" s="2972">
        <v>6.1</v>
      </c>
      <c r="E21" s="2972">
        <v>6.56</v>
      </c>
      <c r="F21" s="2972">
        <v>6.65</v>
      </c>
      <c r="G21" s="2972">
        <v>6.9</v>
      </c>
      <c r="H21" s="2972">
        <v>7.05</v>
      </c>
      <c r="I21" s="2972">
        <v>4.45</v>
      </c>
      <c r="J21" s="2972">
        <v>4.9000000000000004</v>
      </c>
      <c r="L21" s="2972"/>
      <c r="M21" s="2973">
        <v>40731</v>
      </c>
      <c r="N21" s="2972">
        <v>0.5</v>
      </c>
      <c r="O21" s="2972">
        <v>3.1</v>
      </c>
      <c r="P21" s="2972">
        <v>3.3</v>
      </c>
      <c r="Q21" s="2972">
        <v>3.5</v>
      </c>
      <c r="R21" s="2972">
        <v>4.4000000000000004</v>
      </c>
      <c r="S21" s="2972">
        <v>5</v>
      </c>
      <c r="T21" s="2972">
        <v>5.5</v>
      </c>
      <c r="U21" s="2972">
        <v>3.1</v>
      </c>
      <c r="V21" s="2972">
        <v>3.3</v>
      </c>
      <c r="W21" s="2972">
        <v>3.5</v>
      </c>
      <c r="X21" s="2972">
        <v>1.31</v>
      </c>
      <c r="Y21" s="2972">
        <v>0.95</v>
      </c>
      <c r="Z21" s="2972">
        <v>1.49</v>
      </c>
    </row>
    <row r="22" spans="2:26">
      <c r="B22" s="2972"/>
      <c r="C22" s="2973">
        <v>40639</v>
      </c>
      <c r="D22" s="2972">
        <v>5.85</v>
      </c>
      <c r="E22" s="2972">
        <v>6.31</v>
      </c>
      <c r="F22" s="2972">
        <v>6.4</v>
      </c>
      <c r="G22" s="2972">
        <v>6.65</v>
      </c>
      <c r="H22" s="2972">
        <v>6.8</v>
      </c>
      <c r="I22" s="2972">
        <v>4.2</v>
      </c>
      <c r="J22" s="2972">
        <v>4.7</v>
      </c>
      <c r="L22" s="2972"/>
      <c r="M22" s="2973">
        <v>40639</v>
      </c>
      <c r="N22" s="2972">
        <v>0.5</v>
      </c>
      <c r="O22" s="2972">
        <v>2.85</v>
      </c>
      <c r="P22" s="2972">
        <v>3.05</v>
      </c>
      <c r="Q22" s="2972">
        <v>3.25</v>
      </c>
      <c r="R22" s="2972">
        <v>4.1500000000000004</v>
      </c>
      <c r="S22" s="2972">
        <v>4.75</v>
      </c>
      <c r="T22" s="2972">
        <v>5.25</v>
      </c>
      <c r="U22" s="2972">
        <v>2.85</v>
      </c>
      <c r="V22" s="2972">
        <v>3.05</v>
      </c>
      <c r="W22" s="2972">
        <v>3.25</v>
      </c>
      <c r="X22" s="2972">
        <v>1.31</v>
      </c>
      <c r="Y22" s="2972">
        <v>0.95</v>
      </c>
      <c r="Z22" s="2972">
        <v>1.49</v>
      </c>
    </row>
    <row r="23" spans="2:26">
      <c r="B23" s="2972"/>
      <c r="C23" s="2973">
        <v>40583</v>
      </c>
      <c r="D23" s="2972">
        <v>5.6</v>
      </c>
      <c r="E23" s="2972">
        <v>6.06</v>
      </c>
      <c r="F23" s="2972">
        <v>6.1</v>
      </c>
      <c r="G23" s="2972">
        <v>6.45</v>
      </c>
      <c r="H23" s="2972">
        <v>6.6</v>
      </c>
      <c r="I23" s="2972">
        <v>4</v>
      </c>
      <c r="J23" s="2972">
        <v>4.5</v>
      </c>
      <c r="L23" s="2972"/>
      <c r="M23" s="2973">
        <v>40583</v>
      </c>
      <c r="N23" s="2972">
        <v>0.4</v>
      </c>
      <c r="O23" s="2972">
        <v>2.6</v>
      </c>
      <c r="P23" s="2972">
        <v>2.8</v>
      </c>
      <c r="Q23" s="2972">
        <v>3</v>
      </c>
      <c r="R23" s="2972">
        <v>3.9</v>
      </c>
      <c r="S23" s="2972">
        <v>4.5</v>
      </c>
      <c r="T23" s="2972">
        <v>5</v>
      </c>
      <c r="U23" s="2972">
        <v>2.6</v>
      </c>
      <c r="V23" s="2972">
        <v>2.8</v>
      </c>
      <c r="W23" s="2972">
        <v>3</v>
      </c>
      <c r="X23" s="2972">
        <v>1.21</v>
      </c>
      <c r="Y23" s="2972">
        <v>0.85</v>
      </c>
      <c r="Z23" s="2972">
        <v>1.39</v>
      </c>
    </row>
    <row r="24" spans="2:26">
      <c r="B24" s="2972"/>
      <c r="C24" s="2973">
        <v>40538</v>
      </c>
      <c r="D24" s="2972">
        <v>5.35</v>
      </c>
      <c r="E24" s="2972">
        <v>5.81</v>
      </c>
      <c r="F24" s="2972">
        <v>5.85</v>
      </c>
      <c r="G24" s="2972">
        <v>6.22</v>
      </c>
      <c r="H24" s="2972">
        <v>6.4</v>
      </c>
      <c r="I24" s="2972">
        <v>3.75</v>
      </c>
      <c r="J24" s="2972">
        <v>4.3</v>
      </c>
      <c r="L24" s="2972"/>
      <c r="M24" s="2973">
        <v>40538</v>
      </c>
      <c r="N24" s="2972">
        <v>0.36</v>
      </c>
      <c r="O24" s="2972">
        <v>2.25</v>
      </c>
      <c r="P24" s="2972">
        <v>2.5</v>
      </c>
      <c r="Q24" s="2972">
        <v>2.75</v>
      </c>
      <c r="R24" s="2972">
        <v>3.55</v>
      </c>
      <c r="S24" s="2972">
        <v>4.1500000000000004</v>
      </c>
      <c r="T24" s="2972">
        <v>4.55</v>
      </c>
      <c r="U24" s="2972">
        <v>2.16</v>
      </c>
      <c r="V24" s="2972">
        <v>2.5</v>
      </c>
      <c r="W24" s="2972">
        <v>2.85</v>
      </c>
      <c r="X24" s="2972">
        <v>1.17</v>
      </c>
      <c r="Y24" s="2972">
        <v>0.81</v>
      </c>
      <c r="Z24" s="2972">
        <v>1.35</v>
      </c>
    </row>
    <row r="25" spans="2:26">
      <c r="B25" s="2972"/>
      <c r="C25" s="2973">
        <v>40471</v>
      </c>
      <c r="D25" s="2972">
        <v>5.0999999999999996</v>
      </c>
      <c r="E25" s="2972">
        <v>5.56</v>
      </c>
      <c r="F25" s="2972">
        <v>5.6</v>
      </c>
      <c r="G25" s="2972">
        <v>5.96</v>
      </c>
      <c r="H25" s="2972">
        <v>6.14</v>
      </c>
      <c r="I25" s="2972">
        <v>3.5</v>
      </c>
      <c r="J25" s="2972">
        <v>4.05</v>
      </c>
      <c r="L25" s="2972"/>
      <c r="M25" s="2973">
        <v>40471</v>
      </c>
      <c r="N25" s="2972">
        <v>0.36</v>
      </c>
      <c r="O25" s="2972">
        <v>1.91</v>
      </c>
      <c r="P25" s="2972">
        <v>2.2000000000000002</v>
      </c>
      <c r="Q25" s="2972">
        <v>2.5</v>
      </c>
      <c r="R25" s="2972">
        <v>3.25</v>
      </c>
      <c r="S25" s="2972">
        <v>3.85</v>
      </c>
      <c r="T25" s="2972">
        <v>4.2</v>
      </c>
      <c r="U25" s="2972">
        <v>1.91</v>
      </c>
      <c r="V25" s="2972">
        <v>2.2000000000000002</v>
      </c>
      <c r="W25" s="2972">
        <v>2.5</v>
      </c>
      <c r="X25" s="2972">
        <v>1.17</v>
      </c>
      <c r="Y25" s="2972">
        <v>0.81</v>
      </c>
      <c r="Z25" s="2972">
        <v>1.35</v>
      </c>
    </row>
    <row r="26" spans="2:26">
      <c r="B26" s="2972"/>
      <c r="C26" s="2973">
        <v>39805</v>
      </c>
      <c r="D26" s="2972">
        <v>4.8600000000000003</v>
      </c>
      <c r="E26" s="2972">
        <v>5.31</v>
      </c>
      <c r="F26" s="2972">
        <v>5.4</v>
      </c>
      <c r="G26" s="2972">
        <v>5.76</v>
      </c>
      <c r="H26" s="2972">
        <v>5.94</v>
      </c>
      <c r="I26" s="2972">
        <v>3.33</v>
      </c>
      <c r="J26" s="2972">
        <v>3.87</v>
      </c>
      <c r="L26" s="2972"/>
      <c r="M26" s="2973">
        <v>39805</v>
      </c>
      <c r="N26" s="2972">
        <v>0.36</v>
      </c>
      <c r="O26" s="2972">
        <v>1.71</v>
      </c>
      <c r="P26" s="2972">
        <v>1.98</v>
      </c>
      <c r="Q26" s="2972">
        <v>2.25</v>
      </c>
      <c r="R26" s="2972">
        <v>2.79</v>
      </c>
      <c r="S26" s="2972">
        <v>3.33</v>
      </c>
      <c r="T26" s="2972">
        <v>3.6</v>
      </c>
      <c r="U26" s="2972">
        <v>1.71</v>
      </c>
      <c r="V26" s="2972">
        <v>1.98</v>
      </c>
      <c r="W26" s="2972">
        <v>2.25</v>
      </c>
      <c r="X26" s="2972">
        <v>1.17</v>
      </c>
      <c r="Y26" s="2972">
        <v>0.81</v>
      </c>
      <c r="Z26" s="2972">
        <v>1.35</v>
      </c>
    </row>
    <row r="27" spans="2:26">
      <c r="B27" s="2972"/>
      <c r="C27" s="2973">
        <v>39779</v>
      </c>
      <c r="D27" s="2972">
        <v>5.04</v>
      </c>
      <c r="E27" s="2972">
        <v>5.58</v>
      </c>
      <c r="F27" s="2972">
        <v>5.67</v>
      </c>
      <c r="G27" s="2972">
        <v>5.94</v>
      </c>
      <c r="H27" s="2972">
        <v>6.12</v>
      </c>
      <c r="I27" s="2972">
        <v>3.51</v>
      </c>
      <c r="J27" s="2972">
        <v>4.05</v>
      </c>
      <c r="L27" s="2972"/>
      <c r="M27" s="2973">
        <v>39779</v>
      </c>
      <c r="N27" s="2972">
        <v>0.36</v>
      </c>
      <c r="O27" s="2972">
        <v>1.98</v>
      </c>
      <c r="P27" s="2972">
        <v>2.25</v>
      </c>
      <c r="Q27" s="2972">
        <v>2.52</v>
      </c>
      <c r="R27" s="2972">
        <v>3.06</v>
      </c>
      <c r="S27" s="2972">
        <v>3.6</v>
      </c>
      <c r="T27" s="2972">
        <v>3.87</v>
      </c>
      <c r="U27" s="2972">
        <v>1.98</v>
      </c>
      <c r="V27" s="2972">
        <v>2.25</v>
      </c>
      <c r="W27" s="2972">
        <v>2.52</v>
      </c>
      <c r="X27" s="2972">
        <v>1.17</v>
      </c>
      <c r="Y27" s="2972">
        <v>0.81</v>
      </c>
      <c r="Z27" s="2972">
        <v>1.35</v>
      </c>
    </row>
    <row r="28" spans="2:26">
      <c r="B28" s="2972"/>
      <c r="C28" s="2973">
        <v>39751</v>
      </c>
      <c r="D28" s="2972">
        <v>6.03</v>
      </c>
      <c r="E28" s="2972">
        <v>6.66</v>
      </c>
      <c r="F28" s="2972">
        <v>6.75</v>
      </c>
      <c r="G28" s="2972">
        <v>7.02</v>
      </c>
      <c r="H28" s="2972">
        <v>7.2</v>
      </c>
      <c r="I28" s="2972">
        <v>4.05</v>
      </c>
      <c r="J28" s="2972">
        <v>4.59</v>
      </c>
      <c r="L28" s="2972"/>
      <c r="M28" s="2973">
        <v>39751</v>
      </c>
      <c r="N28" s="2972">
        <v>0.72</v>
      </c>
      <c r="O28" s="2972">
        <v>2.88</v>
      </c>
      <c r="P28" s="2972">
        <v>3.24</v>
      </c>
      <c r="Q28" s="2972">
        <v>3.6</v>
      </c>
      <c r="R28" s="2972">
        <v>4.1399999999999997</v>
      </c>
      <c r="S28" s="2972">
        <v>4.7699999999999996</v>
      </c>
      <c r="T28" s="2972">
        <v>5.13</v>
      </c>
      <c r="U28" s="2972">
        <v>2.88</v>
      </c>
      <c r="V28" s="2972">
        <v>3.24</v>
      </c>
      <c r="W28" s="2972">
        <v>3.6</v>
      </c>
      <c r="X28" s="2972">
        <v>1.53</v>
      </c>
      <c r="Y28" s="2972">
        <v>1.17</v>
      </c>
      <c r="Z28" s="2972">
        <v>1.71</v>
      </c>
    </row>
    <row r="29" spans="2:26">
      <c r="B29" s="2972"/>
      <c r="C29" s="2975">
        <v>39748</v>
      </c>
      <c r="D29" s="2972">
        <v>6.12</v>
      </c>
      <c r="E29" s="2972">
        <v>6.93</v>
      </c>
      <c r="F29" s="2972">
        <v>7.02</v>
      </c>
      <c r="G29" s="2972">
        <v>7.29</v>
      </c>
      <c r="H29" s="2972">
        <v>7.47</v>
      </c>
      <c r="I29" s="2972">
        <v>4.05</v>
      </c>
      <c r="J29" s="2972">
        <v>4.59</v>
      </c>
      <c r="L29" s="2972"/>
      <c r="M29" s="2975">
        <v>39736</v>
      </c>
      <c r="N29" s="2972">
        <v>0.72</v>
      </c>
      <c r="O29" s="2972">
        <v>3.15</v>
      </c>
      <c r="P29" s="2972">
        <v>3.51</v>
      </c>
      <c r="Q29" s="2972">
        <v>3.87</v>
      </c>
      <c r="R29" s="2972">
        <v>4.41</v>
      </c>
      <c r="S29" s="2972">
        <v>5.13</v>
      </c>
      <c r="T29" s="2972">
        <v>5.58</v>
      </c>
      <c r="U29" s="2972">
        <v>3.15</v>
      </c>
      <c r="V29" s="2972">
        <v>3.51</v>
      </c>
      <c r="W29" s="2972">
        <v>3.87</v>
      </c>
      <c r="X29" s="2972">
        <v>1.53</v>
      </c>
      <c r="Y29" s="2972">
        <v>1.17</v>
      </c>
      <c r="Z29" s="2972">
        <v>1.71</v>
      </c>
    </row>
    <row r="30" spans="2:26">
      <c r="B30" s="2972"/>
      <c r="C30" s="2973">
        <v>39730</v>
      </c>
      <c r="D30" s="2972">
        <v>6.12</v>
      </c>
      <c r="E30" s="2972">
        <v>6.93</v>
      </c>
      <c r="F30" s="2972">
        <v>7.02</v>
      </c>
      <c r="G30" s="2972">
        <v>7.29</v>
      </c>
      <c r="H30" s="2972">
        <v>7.47</v>
      </c>
      <c r="I30" s="2972">
        <v>4.32</v>
      </c>
      <c r="J30" s="2972">
        <v>4.8600000000000003</v>
      </c>
      <c r="L30" s="2972"/>
      <c r="M30" s="2973">
        <v>39730</v>
      </c>
      <c r="N30" s="2972">
        <v>0.72</v>
      </c>
      <c r="O30" s="2972">
        <v>3.15</v>
      </c>
      <c r="P30" s="2972">
        <v>3.51</v>
      </c>
      <c r="Q30" s="2972">
        <v>3.87</v>
      </c>
      <c r="R30" s="2972">
        <v>4.41</v>
      </c>
      <c r="S30" s="2972">
        <v>5.13</v>
      </c>
      <c r="T30" s="2972">
        <v>5.58</v>
      </c>
      <c r="U30" s="2972">
        <v>3.15</v>
      </c>
      <c r="V30" s="2972">
        <v>3.51</v>
      </c>
      <c r="W30" s="2972">
        <v>3.87</v>
      </c>
      <c r="X30" s="2972">
        <v>1.53</v>
      </c>
      <c r="Y30" s="2972">
        <v>1.17</v>
      </c>
      <c r="Z30" s="2972">
        <v>1.71</v>
      </c>
    </row>
    <row r="31" spans="2:26">
      <c r="B31" s="2972"/>
      <c r="C31" s="2973">
        <v>39707</v>
      </c>
      <c r="D31" s="2972">
        <v>6.21</v>
      </c>
      <c r="E31" s="2972">
        <v>7.2</v>
      </c>
      <c r="F31" s="2972">
        <v>7.29</v>
      </c>
      <c r="G31" s="2972">
        <v>7.56</v>
      </c>
      <c r="H31" s="2972">
        <v>7.74</v>
      </c>
      <c r="I31" s="2972">
        <v>4.59</v>
      </c>
      <c r="J31" s="2972">
        <v>5.13</v>
      </c>
      <c r="L31" s="2972"/>
      <c r="M31" s="2973">
        <v>39437</v>
      </c>
      <c r="N31" s="2972">
        <v>0.72</v>
      </c>
      <c r="O31" s="2972">
        <v>3.33</v>
      </c>
      <c r="P31" s="2972">
        <v>3.78</v>
      </c>
      <c r="Q31" s="2972">
        <v>4.1399999999999997</v>
      </c>
      <c r="R31" s="2972">
        <v>4.68</v>
      </c>
      <c r="S31" s="2972">
        <v>5.4</v>
      </c>
      <c r="T31" s="2972">
        <v>5.85</v>
      </c>
      <c r="U31" s="2972">
        <v>3.33</v>
      </c>
      <c r="V31" s="2972">
        <v>3.78</v>
      </c>
      <c r="W31" s="2972">
        <v>4.1399999999999997</v>
      </c>
      <c r="X31" s="2972">
        <v>1.53</v>
      </c>
      <c r="Y31" s="2972">
        <v>1.17</v>
      </c>
      <c r="Z31" s="2972">
        <v>1.71</v>
      </c>
    </row>
    <row r="32" spans="2:26">
      <c r="B32" s="2972"/>
      <c r="C32" s="2973">
        <v>39437</v>
      </c>
      <c r="D32" s="2972">
        <v>6.57</v>
      </c>
      <c r="E32" s="2972">
        <v>7.47</v>
      </c>
      <c r="F32" s="2972">
        <v>7.56</v>
      </c>
      <c r="G32" s="2972">
        <v>7.74</v>
      </c>
      <c r="H32" s="2972">
        <v>7.83</v>
      </c>
      <c r="I32" s="2972">
        <v>4.7699999999999996</v>
      </c>
      <c r="J32" s="2972">
        <v>5.22</v>
      </c>
      <c r="L32" s="2972"/>
      <c r="M32" s="2973">
        <v>39340</v>
      </c>
      <c r="N32" s="2972">
        <v>0.81</v>
      </c>
      <c r="O32" s="2972">
        <v>2.88</v>
      </c>
      <c r="P32" s="2972">
        <v>3.42</v>
      </c>
      <c r="Q32" s="2972">
        <v>3.87</v>
      </c>
      <c r="R32" s="2972">
        <v>4.5</v>
      </c>
      <c r="S32" s="2972">
        <v>5.22</v>
      </c>
      <c r="T32" s="2972">
        <v>5.76</v>
      </c>
      <c r="U32" s="2972">
        <v>2.88</v>
      </c>
      <c r="V32" s="2972">
        <v>3.42</v>
      </c>
      <c r="W32" s="2972">
        <v>3.87</v>
      </c>
      <c r="X32" s="2972">
        <v>1.53</v>
      </c>
      <c r="Y32" s="2972">
        <v>1.17</v>
      </c>
      <c r="Z32" s="2972">
        <v>1.71</v>
      </c>
    </row>
    <row r="33" spans="2:26">
      <c r="B33" s="2972"/>
      <c r="C33" s="2973">
        <v>39340</v>
      </c>
      <c r="D33" s="2972">
        <v>6.48</v>
      </c>
      <c r="E33" s="2972">
        <v>7.29</v>
      </c>
      <c r="F33" s="2972">
        <v>7.47</v>
      </c>
      <c r="G33" s="2972">
        <v>7.65</v>
      </c>
      <c r="H33" s="2972">
        <v>7.83</v>
      </c>
      <c r="I33" s="2972">
        <v>4.7699999999999996</v>
      </c>
      <c r="J33" s="2972">
        <v>5.22</v>
      </c>
      <c r="L33" s="2972"/>
      <c r="M33" s="2973">
        <v>39316</v>
      </c>
      <c r="N33" s="2972">
        <v>0.81</v>
      </c>
      <c r="O33" s="2972">
        <v>2.61</v>
      </c>
      <c r="P33" s="2972">
        <v>3.15</v>
      </c>
      <c r="Q33" s="2972">
        <v>3.6</v>
      </c>
      <c r="R33" s="2972">
        <v>4.2300000000000004</v>
      </c>
      <c r="S33" s="2972">
        <v>4.95</v>
      </c>
      <c r="T33" s="2972">
        <v>5.49</v>
      </c>
      <c r="U33" s="2972">
        <v>2.61</v>
      </c>
      <c r="V33" s="2972">
        <v>3.15</v>
      </c>
      <c r="W33" s="2972">
        <v>3.6</v>
      </c>
      <c r="X33" s="2972">
        <v>1.53</v>
      </c>
      <c r="Y33" s="2972">
        <v>1.17</v>
      </c>
      <c r="Z33" s="2972">
        <v>1.71</v>
      </c>
    </row>
    <row r="34" spans="2:26">
      <c r="B34" s="2972"/>
      <c r="C34" s="2973">
        <v>39316</v>
      </c>
      <c r="D34" s="2972">
        <v>6.21</v>
      </c>
      <c r="E34" s="2972">
        <v>7.02</v>
      </c>
      <c r="F34" s="2972">
        <v>7.2</v>
      </c>
      <c r="G34" s="2972">
        <v>7.38</v>
      </c>
      <c r="H34" s="2972">
        <v>7.56</v>
      </c>
      <c r="I34" s="2972">
        <v>4.59</v>
      </c>
      <c r="J34" s="2972">
        <v>5.04</v>
      </c>
      <c r="L34" s="2972"/>
      <c r="M34" s="2973">
        <v>39284</v>
      </c>
      <c r="N34" s="2972">
        <v>0.81</v>
      </c>
      <c r="O34" s="2972">
        <v>2.34</v>
      </c>
      <c r="P34" s="2972">
        <v>2.88</v>
      </c>
      <c r="Q34" s="2972">
        <v>3.33</v>
      </c>
      <c r="R34" s="2972">
        <v>3.96</v>
      </c>
      <c r="S34" s="2972">
        <v>4.68</v>
      </c>
      <c r="T34" s="2972">
        <v>5.22</v>
      </c>
      <c r="U34" s="2972">
        <v>2.34</v>
      </c>
      <c r="V34" s="2972">
        <v>2.88</v>
      </c>
      <c r="W34" s="2972">
        <v>3.33</v>
      </c>
      <c r="X34" s="2972">
        <v>1.53</v>
      </c>
      <c r="Y34" s="2972">
        <v>1.17</v>
      </c>
      <c r="Z34" s="2972">
        <v>1.71</v>
      </c>
    </row>
    <row r="35" spans="2:26">
      <c r="B35" s="2972"/>
      <c r="C35" s="2973">
        <v>39284</v>
      </c>
      <c r="D35" s="2972">
        <v>6.03</v>
      </c>
      <c r="E35" s="2972">
        <v>6.84</v>
      </c>
      <c r="F35" s="2972">
        <v>7.02</v>
      </c>
      <c r="G35" s="2972">
        <v>7.2</v>
      </c>
      <c r="H35" s="2972">
        <v>7.38</v>
      </c>
      <c r="I35" s="2972">
        <v>4.5</v>
      </c>
      <c r="J35" s="2972">
        <v>4.95</v>
      </c>
      <c r="L35" s="2972"/>
      <c r="M35" s="2973">
        <v>39221</v>
      </c>
      <c r="N35" s="2972">
        <v>0.72</v>
      </c>
      <c r="O35" s="2972">
        <v>2.0699999999999998</v>
      </c>
      <c r="P35" s="2972">
        <v>2.61</v>
      </c>
      <c r="Q35" s="2972">
        <v>3.06</v>
      </c>
      <c r="R35" s="2972">
        <v>3.69</v>
      </c>
      <c r="S35" s="2972">
        <v>4.41</v>
      </c>
      <c r="T35" s="2972">
        <v>4.95</v>
      </c>
      <c r="U35" s="2972">
        <v>2.0699999999999998</v>
      </c>
      <c r="V35" s="2972">
        <v>2.61</v>
      </c>
      <c r="W35" s="2972">
        <v>3.06</v>
      </c>
      <c r="X35" s="2972">
        <v>1.44</v>
      </c>
      <c r="Y35" s="2972">
        <v>1.08</v>
      </c>
      <c r="Z35" s="2972">
        <v>1.62</v>
      </c>
    </row>
    <row r="36" spans="2:26">
      <c r="B36" s="2972"/>
      <c r="C36" s="2973">
        <v>39221</v>
      </c>
      <c r="D36" s="2972">
        <v>5.85</v>
      </c>
      <c r="E36" s="2972">
        <v>6.57</v>
      </c>
      <c r="F36" s="2972">
        <v>6.75</v>
      </c>
      <c r="G36" s="2972">
        <v>6.93</v>
      </c>
      <c r="H36" s="2972">
        <v>7.2</v>
      </c>
      <c r="I36" s="2972">
        <v>4.41</v>
      </c>
      <c r="J36" s="2972">
        <v>4.8600000000000003</v>
      </c>
      <c r="L36" s="2972"/>
      <c r="M36" s="2973">
        <v>39159</v>
      </c>
      <c r="N36" s="2972">
        <v>0.72</v>
      </c>
      <c r="O36" s="2972">
        <v>1.98</v>
      </c>
      <c r="P36" s="2972">
        <v>2.4300000000000002</v>
      </c>
      <c r="Q36" s="2972">
        <v>2.79</v>
      </c>
      <c r="R36" s="2972">
        <v>3.33</v>
      </c>
      <c r="S36" s="2972">
        <v>3.96</v>
      </c>
      <c r="T36" s="2972">
        <v>4.41</v>
      </c>
      <c r="U36" s="2972">
        <v>1.98</v>
      </c>
      <c r="V36" s="2972">
        <v>2.4300000000000002</v>
      </c>
      <c r="W36" s="2972">
        <v>2.79</v>
      </c>
      <c r="X36" s="2972">
        <v>1.44</v>
      </c>
      <c r="Y36" s="2972">
        <v>1.08</v>
      </c>
      <c r="Z36" s="2972">
        <v>1.62</v>
      </c>
    </row>
    <row r="37" spans="2:26">
      <c r="B37" s="2972"/>
      <c r="C37" s="2973">
        <v>39159</v>
      </c>
      <c r="D37" s="2972">
        <v>5.67</v>
      </c>
      <c r="E37" s="2972">
        <v>6.39</v>
      </c>
      <c r="F37" s="2972">
        <v>6.57</v>
      </c>
      <c r="G37" s="2972">
        <v>6.75</v>
      </c>
      <c r="H37" s="2972">
        <v>7.11</v>
      </c>
      <c r="I37" s="2972">
        <v>4.32</v>
      </c>
      <c r="J37" s="2972">
        <v>4.7699999999999996</v>
      </c>
      <c r="L37" s="2972"/>
      <c r="M37" s="2973">
        <v>38948</v>
      </c>
      <c r="N37" s="2972">
        <v>0.72</v>
      </c>
      <c r="O37" s="2972">
        <v>1.8</v>
      </c>
      <c r="P37" s="2972">
        <v>2.25</v>
      </c>
      <c r="Q37" s="2972">
        <v>2.52</v>
      </c>
      <c r="R37" s="2972">
        <v>3.06</v>
      </c>
      <c r="S37" s="2972">
        <v>3.69</v>
      </c>
      <c r="T37" s="2972">
        <v>4.1399999999999997</v>
      </c>
      <c r="U37" s="2972">
        <v>1.8</v>
      </c>
      <c r="V37" s="2972">
        <v>2.25</v>
      </c>
      <c r="W37" s="2972">
        <v>2.52</v>
      </c>
      <c r="X37" s="2972">
        <v>1.44</v>
      </c>
      <c r="Y37" s="2972">
        <v>1.08</v>
      </c>
      <c r="Z37" s="2972">
        <v>1.62</v>
      </c>
    </row>
    <row r="38" spans="2:26">
      <c r="B38" s="2972"/>
      <c r="C38" s="2973">
        <v>38948</v>
      </c>
      <c r="D38" s="2972">
        <v>5.58</v>
      </c>
      <c r="E38" s="2972">
        <v>6.12</v>
      </c>
      <c r="F38" s="2972">
        <v>6.3</v>
      </c>
      <c r="G38" s="2972">
        <v>6.48</v>
      </c>
      <c r="H38" s="2972">
        <v>6.84</v>
      </c>
      <c r="I38" s="2972">
        <v>4.1399999999999997</v>
      </c>
      <c r="J38" s="2972">
        <v>4.59</v>
      </c>
      <c r="L38" s="2972"/>
      <c r="M38" s="2973">
        <v>38289</v>
      </c>
      <c r="N38" s="2972">
        <v>0.72</v>
      </c>
      <c r="O38" s="2972">
        <v>1.71</v>
      </c>
      <c r="P38" s="2972">
        <v>2.0699999999999998</v>
      </c>
      <c r="Q38" s="2972">
        <v>2.25</v>
      </c>
      <c r="R38" s="2972">
        <v>2.7</v>
      </c>
      <c r="S38" s="2972">
        <v>3.24</v>
      </c>
      <c r="T38" s="2972">
        <v>3.6</v>
      </c>
      <c r="U38" s="2972">
        <v>1.71</v>
      </c>
      <c r="V38" s="2972">
        <v>2.0699999999999998</v>
      </c>
      <c r="W38" s="2972">
        <v>2.25</v>
      </c>
      <c r="X38" s="2972">
        <v>1.44</v>
      </c>
      <c r="Y38" s="2972">
        <v>1.08</v>
      </c>
      <c r="Z38" s="2972">
        <v>1.62</v>
      </c>
    </row>
    <row r="39" spans="2:26">
      <c r="B39" s="2972"/>
      <c r="C39" s="2973">
        <v>38835</v>
      </c>
      <c r="D39" s="2972">
        <v>5.4</v>
      </c>
      <c r="E39" s="2972">
        <v>5.85</v>
      </c>
      <c r="F39" s="2972">
        <v>6.03</v>
      </c>
      <c r="G39" s="2972">
        <v>6.12</v>
      </c>
      <c r="H39" s="2972">
        <v>6.39</v>
      </c>
      <c r="I39" s="2972">
        <v>4.1399999999999997</v>
      </c>
      <c r="J39" s="2972">
        <v>4.59</v>
      </c>
      <c r="L39" s="2972"/>
      <c r="M39" s="2973">
        <v>37308</v>
      </c>
      <c r="N39" s="2972">
        <v>0.72</v>
      </c>
      <c r="O39" s="2972">
        <v>1.71</v>
      </c>
      <c r="P39" s="2972">
        <v>1.89</v>
      </c>
      <c r="Q39" s="2972">
        <v>1.98</v>
      </c>
      <c r="R39" s="2972">
        <v>2.25</v>
      </c>
      <c r="S39" s="2972">
        <v>2.52</v>
      </c>
      <c r="T39" s="2972">
        <v>2.79</v>
      </c>
      <c r="U39" s="2972">
        <v>1.71</v>
      </c>
      <c r="V39" s="2972">
        <v>1.89</v>
      </c>
      <c r="W39" s="2972">
        <v>1.98</v>
      </c>
      <c r="X39" s="2972">
        <v>1.44</v>
      </c>
      <c r="Y39" s="2972">
        <v>1.08</v>
      </c>
      <c r="Z39" s="2972">
        <v>1.62</v>
      </c>
    </row>
    <row r="40" spans="2:26">
      <c r="B40" s="2972"/>
      <c r="C40" s="2973">
        <v>38428</v>
      </c>
      <c r="D40" s="2972">
        <v>5.22</v>
      </c>
      <c r="E40" s="2972">
        <v>5.58</v>
      </c>
      <c r="F40" s="2972">
        <v>5.76</v>
      </c>
      <c r="G40" s="2972">
        <v>5.85</v>
      </c>
      <c r="H40" s="2972">
        <v>6.12</v>
      </c>
      <c r="I40" s="2972">
        <v>3.96</v>
      </c>
      <c r="J40" s="2972">
        <v>4.41</v>
      </c>
      <c r="L40" s="2972"/>
      <c r="M40" s="2973">
        <v>36321</v>
      </c>
      <c r="N40" s="2972">
        <v>0.99</v>
      </c>
      <c r="O40" s="2972">
        <v>1.98</v>
      </c>
      <c r="P40" s="2972">
        <v>2.16</v>
      </c>
      <c r="Q40" s="2972">
        <v>2.25</v>
      </c>
      <c r="R40" s="2972">
        <v>2.4300000000000002</v>
      </c>
      <c r="S40" s="2972">
        <v>2.7</v>
      </c>
      <c r="T40" s="2972">
        <v>2.88</v>
      </c>
      <c r="U40" s="2972">
        <v>1.98</v>
      </c>
      <c r="V40" s="2972">
        <v>2.16</v>
      </c>
      <c r="W40" s="2972">
        <v>2.25</v>
      </c>
      <c r="X40" s="2972">
        <v>1.71</v>
      </c>
      <c r="Y40" s="2972">
        <v>1.35</v>
      </c>
      <c r="Z40" s="2972">
        <v>1.89</v>
      </c>
    </row>
    <row r="41" spans="2:26">
      <c r="B41" s="2972"/>
      <c r="C41" s="2973">
        <v>38289</v>
      </c>
      <c r="D41" s="2972">
        <v>5.22</v>
      </c>
      <c r="E41" s="2972">
        <v>5.58</v>
      </c>
      <c r="F41" s="2972">
        <v>5.76</v>
      </c>
      <c r="G41" s="2972">
        <v>5.85</v>
      </c>
      <c r="H41" s="2972">
        <v>6.12</v>
      </c>
      <c r="I41" s="2972">
        <v>3.78</v>
      </c>
      <c r="J41" s="2972">
        <v>4.2300000000000004</v>
      </c>
      <c r="L41" s="2972"/>
      <c r="M41" s="2973">
        <v>36136</v>
      </c>
      <c r="N41" s="2972">
        <v>1.44</v>
      </c>
      <c r="O41" s="2972">
        <v>2.79</v>
      </c>
      <c r="P41" s="2972">
        <v>3.33</v>
      </c>
      <c r="Q41" s="2972">
        <v>3.78</v>
      </c>
      <c r="R41" s="2972">
        <v>3.96</v>
      </c>
      <c r="S41" s="2972">
        <v>4.1399999999999997</v>
      </c>
      <c r="T41" s="2972">
        <v>4.5</v>
      </c>
      <c r="U41" s="2972">
        <v>3.33</v>
      </c>
      <c r="V41" s="2972">
        <v>3.78</v>
      </c>
      <c r="W41" s="2972">
        <v>4.1399999999999997</v>
      </c>
      <c r="X41" s="2972">
        <v>2.16</v>
      </c>
      <c r="Y41" s="2972">
        <v>1.8</v>
      </c>
      <c r="Z41" s="2972">
        <v>2.34</v>
      </c>
    </row>
    <row r="42" spans="2:26">
      <c r="B42" s="2972"/>
      <c r="C42" s="2973">
        <v>37308</v>
      </c>
      <c r="D42" s="2972">
        <v>5.04</v>
      </c>
      <c r="E42" s="2972">
        <v>5.31</v>
      </c>
      <c r="F42" s="2972">
        <v>5.49</v>
      </c>
      <c r="G42" s="2972">
        <v>5.58</v>
      </c>
      <c r="H42" s="2972">
        <v>5.76</v>
      </c>
      <c r="I42" s="2972">
        <v>3.6</v>
      </c>
      <c r="J42" s="2972">
        <v>4.05</v>
      </c>
      <c r="L42" s="2972"/>
      <c r="M42" s="2973">
        <v>35977</v>
      </c>
      <c r="N42" s="2972">
        <v>1.44</v>
      </c>
      <c r="O42" s="2972">
        <v>2.79</v>
      </c>
      <c r="P42" s="2972">
        <v>3.96</v>
      </c>
      <c r="Q42" s="2972">
        <v>4.7699999999999996</v>
      </c>
      <c r="R42" s="2972">
        <v>4.8600000000000003</v>
      </c>
      <c r="S42" s="2972">
        <v>4.95</v>
      </c>
      <c r="T42" s="2972">
        <v>5.22</v>
      </c>
      <c r="U42" s="2972">
        <v>3.96</v>
      </c>
      <c r="V42" s="2972">
        <v>4.7699999999999996</v>
      </c>
      <c r="W42" s="2972">
        <v>4.95</v>
      </c>
      <c r="X42" s="2972" t="s">
        <v>2793</v>
      </c>
      <c r="Y42" s="2972" t="s">
        <v>2793</v>
      </c>
      <c r="Z42" s="2972" t="s">
        <v>2793</v>
      </c>
    </row>
    <row r="43" spans="2:26">
      <c r="B43" s="2972"/>
      <c r="C43" s="2973">
        <v>36321</v>
      </c>
      <c r="D43" s="2972">
        <v>5.58</v>
      </c>
      <c r="E43" s="2972">
        <v>5.85</v>
      </c>
      <c r="F43" s="2972">
        <v>5.94</v>
      </c>
      <c r="G43" s="2972">
        <v>6.03</v>
      </c>
      <c r="H43" s="2972">
        <v>6.21</v>
      </c>
      <c r="I43" s="2972">
        <v>4.1399999999999997</v>
      </c>
      <c r="J43" s="2972">
        <v>4.59</v>
      </c>
      <c r="L43" s="2972"/>
      <c r="M43" s="2973">
        <v>35879</v>
      </c>
      <c r="N43" s="2972">
        <v>1.71</v>
      </c>
      <c r="O43" s="2972">
        <v>2.88</v>
      </c>
      <c r="P43" s="2972">
        <v>4.1399999999999997</v>
      </c>
      <c r="Q43" s="2972">
        <v>5.22</v>
      </c>
      <c r="R43" s="2972">
        <v>5.58</v>
      </c>
      <c r="S43" s="2972">
        <v>6.21</v>
      </c>
      <c r="T43" s="2972">
        <v>6.66</v>
      </c>
      <c r="U43" s="2972">
        <v>4.1399999999999997</v>
      </c>
      <c r="V43" s="2972">
        <v>5.22</v>
      </c>
      <c r="W43" s="2972">
        <v>6.21</v>
      </c>
      <c r="X43" s="2972" t="s">
        <v>2793</v>
      </c>
      <c r="Y43" s="2972" t="s">
        <v>2793</v>
      </c>
      <c r="Z43" s="2972" t="s">
        <v>2793</v>
      </c>
    </row>
    <row r="44" spans="2:26">
      <c r="B44" s="2972"/>
      <c r="C44" s="2973">
        <v>36136</v>
      </c>
      <c r="D44" s="2972">
        <v>6.12</v>
      </c>
      <c r="E44" s="2972">
        <v>6.39</v>
      </c>
      <c r="F44" s="2972">
        <v>6.66</v>
      </c>
      <c r="G44" s="2972">
        <v>7.2</v>
      </c>
      <c r="H44" s="2972">
        <v>7.56</v>
      </c>
      <c r="I44" s="2972">
        <v>0</v>
      </c>
      <c r="J44" s="2972">
        <v>0</v>
      </c>
      <c r="L44" s="2972"/>
      <c r="M44" s="2973">
        <v>35726</v>
      </c>
      <c r="N44" s="2972">
        <v>1.71</v>
      </c>
      <c r="O44" s="2972">
        <v>2.88</v>
      </c>
      <c r="P44" s="2972">
        <v>4.1399999999999997</v>
      </c>
      <c r="Q44" s="2972">
        <v>5.67</v>
      </c>
      <c r="R44" s="2972">
        <v>5.94</v>
      </c>
      <c r="S44" s="2972">
        <v>6.21</v>
      </c>
      <c r="T44" s="2972">
        <v>6.66</v>
      </c>
      <c r="U44" s="2972">
        <v>4.1399999999999997</v>
      </c>
      <c r="V44" s="2972">
        <v>5.67</v>
      </c>
      <c r="W44" s="2972">
        <v>6.21</v>
      </c>
      <c r="X44" s="2972" t="s">
        <v>2793</v>
      </c>
      <c r="Y44" s="2972" t="s">
        <v>2793</v>
      </c>
      <c r="Z44" s="2972" t="s">
        <v>2793</v>
      </c>
    </row>
    <row r="45" spans="2:26">
      <c r="B45" s="2972"/>
      <c r="C45" s="2973">
        <v>35977</v>
      </c>
      <c r="D45" s="2972">
        <v>6.57</v>
      </c>
      <c r="E45" s="2972">
        <v>6.93</v>
      </c>
      <c r="F45" s="2972">
        <v>7.11</v>
      </c>
      <c r="G45" s="2972">
        <v>7.65</v>
      </c>
      <c r="H45" s="2972">
        <v>8.01</v>
      </c>
      <c r="I45" s="2972">
        <v>0</v>
      </c>
      <c r="J45" s="2972">
        <v>0</v>
      </c>
      <c r="L45" s="2972"/>
      <c r="M45" s="2973">
        <v>35300</v>
      </c>
      <c r="N45" s="2972">
        <v>1.98</v>
      </c>
      <c r="O45" s="2972">
        <v>3.33</v>
      </c>
      <c r="P45" s="2972">
        <v>5.4</v>
      </c>
      <c r="Q45" s="2972">
        <v>7.47</v>
      </c>
      <c r="R45" s="2972">
        <v>7.92</v>
      </c>
      <c r="S45" s="2972">
        <v>8.2799999999999994</v>
      </c>
      <c r="T45" s="2972">
        <v>9</v>
      </c>
      <c r="U45" s="2972">
        <v>5.4</v>
      </c>
      <c r="V45" s="2972">
        <v>7.47</v>
      </c>
      <c r="W45" s="2972">
        <v>8.2799999999999994</v>
      </c>
      <c r="X45" s="2972" t="s">
        <v>2793</v>
      </c>
      <c r="Y45" s="2972" t="s">
        <v>2793</v>
      </c>
      <c r="Z45" s="2972" t="s">
        <v>2793</v>
      </c>
    </row>
    <row r="46" spans="2:26">
      <c r="B46" s="2972"/>
      <c r="C46" s="2973">
        <v>35879</v>
      </c>
      <c r="D46" s="2972">
        <v>7.02</v>
      </c>
      <c r="E46" s="2972">
        <v>7.92</v>
      </c>
      <c r="F46" s="2972">
        <v>9</v>
      </c>
      <c r="G46" s="2972">
        <v>9.7200000000000006</v>
      </c>
      <c r="H46" s="2972">
        <v>10.35</v>
      </c>
      <c r="I46" s="2972">
        <v>0</v>
      </c>
      <c r="J46" s="2972">
        <v>0</v>
      </c>
      <c r="L46" s="2972"/>
      <c r="M46" s="2973">
        <v>35186</v>
      </c>
      <c r="N46" s="2972">
        <v>2.97</v>
      </c>
      <c r="O46" s="2972">
        <v>4.8600000000000003</v>
      </c>
      <c r="P46" s="2972">
        <v>7.2</v>
      </c>
      <c r="Q46" s="2972">
        <v>9.18</v>
      </c>
      <c r="R46" s="2972">
        <v>9.9</v>
      </c>
      <c r="S46" s="2972">
        <v>10.8</v>
      </c>
      <c r="T46" s="2972">
        <v>12.06</v>
      </c>
      <c r="U46" s="2972">
        <v>7.2</v>
      </c>
      <c r="V46" s="2972">
        <v>9.18</v>
      </c>
      <c r="W46" s="2972">
        <v>10.8</v>
      </c>
      <c r="X46" s="2972" t="s">
        <v>2793</v>
      </c>
      <c r="Y46" s="2972" t="s">
        <v>2793</v>
      </c>
      <c r="Z46" s="2972" t="s">
        <v>2793</v>
      </c>
    </row>
    <row r="47" spans="2:26">
      <c r="B47" s="2972"/>
      <c r="C47" s="2973">
        <v>35726</v>
      </c>
      <c r="D47" s="2972">
        <v>7.65</v>
      </c>
      <c r="E47" s="2972">
        <v>8.64</v>
      </c>
      <c r="F47" s="2972">
        <v>9.36</v>
      </c>
      <c r="G47" s="2972">
        <v>9.9</v>
      </c>
      <c r="H47" s="2972">
        <v>10.53</v>
      </c>
      <c r="I47" s="2972">
        <v>0</v>
      </c>
      <c r="J47" s="2972">
        <v>0</v>
      </c>
      <c r="L47" s="2972"/>
      <c r="M47" s="2973">
        <v>34161</v>
      </c>
      <c r="N47" s="2972">
        <v>3.15</v>
      </c>
      <c r="O47" s="2972">
        <v>6.66</v>
      </c>
      <c r="P47" s="2972">
        <v>9</v>
      </c>
      <c r="Q47" s="2972">
        <v>10.98</v>
      </c>
      <c r="R47" s="2972">
        <v>11.7</v>
      </c>
      <c r="S47" s="2972">
        <v>12.24</v>
      </c>
      <c r="T47" s="2972">
        <v>13.86</v>
      </c>
      <c r="U47" s="2972">
        <v>9</v>
      </c>
      <c r="V47" s="2972">
        <v>10.98</v>
      </c>
      <c r="W47" s="2972">
        <v>12.24</v>
      </c>
      <c r="X47" s="2972" t="s">
        <v>2793</v>
      </c>
      <c r="Y47" s="2972" t="s">
        <v>2793</v>
      </c>
      <c r="Z47" s="2972" t="s">
        <v>2793</v>
      </c>
    </row>
    <row r="48" spans="2:26">
      <c r="B48" s="2972"/>
      <c r="C48" s="2973">
        <v>35300</v>
      </c>
      <c r="D48" s="2972">
        <v>9.18</v>
      </c>
      <c r="E48" s="2972">
        <v>10.08</v>
      </c>
      <c r="F48" s="2972">
        <v>10.98</v>
      </c>
      <c r="G48" s="2972">
        <v>11.7</v>
      </c>
      <c r="H48" s="2972">
        <v>12.42</v>
      </c>
      <c r="I48" s="2972">
        <v>0</v>
      </c>
      <c r="J48" s="2972">
        <v>0</v>
      </c>
      <c r="L48" s="2972"/>
      <c r="M48" s="2973">
        <v>34104</v>
      </c>
      <c r="N48" s="2972">
        <v>2.16</v>
      </c>
      <c r="O48" s="2972">
        <v>4.8600000000000003</v>
      </c>
      <c r="P48" s="2972">
        <v>7.2</v>
      </c>
      <c r="Q48" s="2972">
        <v>9.18</v>
      </c>
      <c r="R48" s="2972">
        <v>9.9</v>
      </c>
      <c r="S48" s="2972">
        <v>10.8</v>
      </c>
      <c r="T48" s="2972">
        <v>12.06</v>
      </c>
      <c r="U48" s="2972">
        <v>7.2</v>
      </c>
      <c r="V48" s="2972">
        <v>9.18</v>
      </c>
      <c r="W48" s="2972">
        <v>10.8</v>
      </c>
      <c r="X48" s="2972" t="s">
        <v>2793</v>
      </c>
      <c r="Y48" s="2972" t="s">
        <v>2793</v>
      </c>
      <c r="Z48" s="2972" t="s">
        <v>2793</v>
      </c>
    </row>
    <row r="49" spans="2:26">
      <c r="B49" s="2972"/>
      <c r="C49" s="2973">
        <v>35186</v>
      </c>
      <c r="D49" s="2972">
        <v>9.7200000000000006</v>
      </c>
      <c r="E49" s="2972">
        <v>10.98</v>
      </c>
      <c r="F49" s="2972">
        <v>13.14</v>
      </c>
      <c r="G49" s="2972">
        <v>14.94</v>
      </c>
      <c r="H49" s="2972">
        <v>15.12</v>
      </c>
      <c r="I49" s="2972">
        <v>0</v>
      </c>
      <c r="J49" s="2972">
        <v>0</v>
      </c>
      <c r="L49" s="2972"/>
      <c r="M49" s="2973">
        <v>33349</v>
      </c>
      <c r="N49" s="2972">
        <v>1.8</v>
      </c>
      <c r="O49" s="2972">
        <v>3.24</v>
      </c>
      <c r="P49" s="2972">
        <v>5.4</v>
      </c>
      <c r="Q49" s="2972">
        <v>7.56</v>
      </c>
      <c r="R49" s="2972">
        <v>7.92</v>
      </c>
      <c r="S49" s="2972">
        <v>8.2799999999999994</v>
      </c>
      <c r="T49" s="2972">
        <v>9</v>
      </c>
      <c r="U49" s="2972">
        <v>6.12</v>
      </c>
      <c r="V49" s="2972">
        <v>6.84</v>
      </c>
      <c r="W49" s="2972">
        <v>7.56</v>
      </c>
      <c r="X49" s="2972" t="s">
        <v>2793</v>
      </c>
      <c r="Y49" s="2972" t="s">
        <v>2793</v>
      </c>
      <c r="Z49" s="2972" t="s">
        <v>2793</v>
      </c>
    </row>
    <row r="50" spans="2:26">
      <c r="B50" s="2972"/>
      <c r="C50" s="2973">
        <v>34881</v>
      </c>
      <c r="D50" s="2972">
        <v>10.08</v>
      </c>
      <c r="E50" s="2972">
        <v>12.06</v>
      </c>
      <c r="F50" s="2972">
        <v>13.5</v>
      </c>
      <c r="G50" s="2972">
        <v>15.12</v>
      </c>
      <c r="H50" s="2972">
        <v>15.3</v>
      </c>
      <c r="I50" s="2972">
        <v>0</v>
      </c>
      <c r="J50" s="2972">
        <v>0</v>
      </c>
      <c r="L50" s="2972"/>
      <c r="M50" s="2973">
        <v>33106</v>
      </c>
      <c r="N50" s="2972">
        <v>2.16</v>
      </c>
      <c r="O50" s="2972">
        <v>4.32</v>
      </c>
      <c r="P50" s="2972">
        <v>6.48</v>
      </c>
      <c r="Q50" s="2972">
        <v>8.64</v>
      </c>
      <c r="R50" s="2972">
        <v>9.36</v>
      </c>
      <c r="S50" s="2972">
        <v>10.08</v>
      </c>
      <c r="T50" s="2972">
        <v>11.52</v>
      </c>
      <c r="U50" s="2972">
        <v>7.2</v>
      </c>
      <c r="V50" s="2972">
        <v>8.64</v>
      </c>
      <c r="W50" s="2972">
        <v>10.08</v>
      </c>
      <c r="X50" s="2972" t="s">
        <v>2793</v>
      </c>
      <c r="Y50" s="2972" t="s">
        <v>2793</v>
      </c>
      <c r="Z50" s="2972" t="s">
        <v>2793</v>
      </c>
    </row>
    <row r="51" spans="2:26">
      <c r="B51" s="2972"/>
      <c r="C51" s="2973">
        <v>34700</v>
      </c>
      <c r="D51" s="2972">
        <v>9</v>
      </c>
      <c r="E51" s="2972">
        <v>10.98</v>
      </c>
      <c r="F51" s="2972">
        <v>12.96</v>
      </c>
      <c r="G51" s="2972">
        <v>14.58</v>
      </c>
      <c r="H51" s="2972">
        <v>14.76</v>
      </c>
      <c r="I51" s="2972">
        <v>0</v>
      </c>
      <c r="J51" s="2972">
        <v>0</v>
      </c>
      <c r="L51" s="2972"/>
      <c r="M51" s="2973">
        <v>32978</v>
      </c>
      <c r="N51" s="2972">
        <v>2.88</v>
      </c>
      <c r="O51" s="2972">
        <v>6.3</v>
      </c>
      <c r="P51" s="2972">
        <v>7.74</v>
      </c>
      <c r="Q51" s="2972">
        <v>10.08</v>
      </c>
      <c r="R51" s="2972">
        <v>10.98</v>
      </c>
      <c r="S51" s="2972">
        <v>11.88</v>
      </c>
      <c r="T51" s="2972">
        <v>13.68</v>
      </c>
      <c r="U51" s="2972" t="s">
        <v>2793</v>
      </c>
      <c r="V51" s="2972" t="s">
        <v>2793</v>
      </c>
      <c r="W51" s="2972" t="s">
        <v>2793</v>
      </c>
      <c r="X51" s="2972" t="s">
        <v>2793</v>
      </c>
      <c r="Y51" s="2972" t="s">
        <v>2793</v>
      </c>
      <c r="Z51" s="2972" t="s">
        <v>2793</v>
      </c>
    </row>
    <row r="52" spans="2:26">
      <c r="B52" s="2972"/>
      <c r="C52" s="2973">
        <v>34161</v>
      </c>
      <c r="D52" s="2972">
        <v>9</v>
      </c>
      <c r="E52" s="2972">
        <v>10.98</v>
      </c>
      <c r="F52" s="2972">
        <v>12.24</v>
      </c>
      <c r="G52" s="2972">
        <v>13.86</v>
      </c>
      <c r="H52" s="2972">
        <v>14.04</v>
      </c>
      <c r="I52" s="2972">
        <v>0</v>
      </c>
      <c r="J52" s="2972">
        <v>0</v>
      </c>
      <c r="L52" s="2972"/>
      <c r="M52" s="2973"/>
      <c r="N52" s="2972"/>
      <c r="O52" s="2972"/>
      <c r="P52" s="2972"/>
      <c r="Q52" s="2972"/>
      <c r="R52" s="2972"/>
      <c r="S52" s="2972"/>
      <c r="T52" s="2972"/>
      <c r="U52" s="2972"/>
      <c r="V52" s="2972"/>
      <c r="W52" s="2972"/>
      <c r="X52" s="2972"/>
      <c r="Y52" s="2972"/>
      <c r="Z52" s="2972"/>
    </row>
    <row r="53" spans="2:26">
      <c r="B53" s="2972"/>
      <c r="C53" s="2973">
        <v>34104</v>
      </c>
      <c r="D53" s="2972">
        <v>8.82</v>
      </c>
      <c r="E53" s="2972">
        <v>9.36</v>
      </c>
      <c r="F53" s="2972">
        <v>10.8</v>
      </c>
      <c r="G53" s="2972">
        <v>12.06</v>
      </c>
      <c r="H53" s="2972">
        <v>12.24</v>
      </c>
      <c r="I53" s="2972">
        <v>0</v>
      </c>
      <c r="J53" s="2972">
        <v>0</v>
      </c>
      <c r="L53" s="2972"/>
      <c r="M53" s="2973"/>
      <c r="N53" s="2972"/>
      <c r="O53" s="2972"/>
      <c r="P53" s="2972"/>
      <c r="Q53" s="2972"/>
      <c r="R53" s="2972"/>
      <c r="S53" s="2972"/>
      <c r="T53" s="2972"/>
      <c r="U53" s="2972"/>
      <c r="V53" s="2972"/>
      <c r="W53" s="2972"/>
      <c r="X53" s="2972"/>
      <c r="Y53" s="2972"/>
      <c r="Z53" s="2972"/>
    </row>
    <row r="54" spans="2:26">
      <c r="B54" s="2972"/>
      <c r="C54" s="2973">
        <v>33349</v>
      </c>
      <c r="D54" s="2972">
        <v>8.1</v>
      </c>
      <c r="E54" s="2972">
        <v>8.64</v>
      </c>
      <c r="F54" s="2972">
        <v>9</v>
      </c>
      <c r="G54" s="2972">
        <v>9.5399999999999991</v>
      </c>
      <c r="H54" s="2972">
        <v>9.7200000000000006</v>
      </c>
      <c r="I54" s="2972">
        <v>0</v>
      </c>
      <c r="J54" s="2972">
        <v>0</v>
      </c>
      <c r="L54" s="2972"/>
      <c r="M54" s="2973"/>
      <c r="N54" s="2972"/>
      <c r="O54" s="2972"/>
      <c r="P54" s="2972"/>
      <c r="Q54" s="2972"/>
      <c r="R54" s="2972"/>
      <c r="S54" s="2972"/>
      <c r="T54" s="2972"/>
      <c r="U54" s="2972"/>
      <c r="V54" s="2972"/>
      <c r="W54" s="2972"/>
      <c r="X54" s="2972"/>
      <c r="Y54" s="2972"/>
      <c r="Z54" s="2972"/>
    </row>
    <row r="55" spans="2:26">
      <c r="B55" s="2972"/>
      <c r="C55" s="2973">
        <v>33318</v>
      </c>
      <c r="D55" s="2972">
        <v>9</v>
      </c>
      <c r="E55" s="2972">
        <v>10.08</v>
      </c>
      <c r="F55" s="2972">
        <v>10.8</v>
      </c>
      <c r="G55" s="2972">
        <v>11.52</v>
      </c>
      <c r="H55" s="2972">
        <v>11.88</v>
      </c>
      <c r="I55" s="2972" t="s">
        <v>2793</v>
      </c>
      <c r="J55" s="2972" t="s">
        <v>2793</v>
      </c>
      <c r="L55" s="2972"/>
      <c r="M55" s="2973"/>
      <c r="N55" s="2972"/>
      <c r="O55" s="2972"/>
      <c r="P55" s="2972"/>
      <c r="Q55" s="2972"/>
      <c r="R55" s="2972"/>
      <c r="S55" s="2972"/>
      <c r="T55" s="2972"/>
      <c r="U55" s="2972"/>
      <c r="V55" s="2972"/>
      <c r="W55" s="2972"/>
      <c r="X55" s="2972"/>
      <c r="Y55" s="2972"/>
      <c r="Z55" s="2972"/>
    </row>
    <row r="56" spans="2:26">
      <c r="B56" s="2972"/>
      <c r="C56" s="2973">
        <v>33106</v>
      </c>
      <c r="D56" s="2972">
        <v>8.64</v>
      </c>
      <c r="E56" s="2972">
        <v>9.36</v>
      </c>
      <c r="F56" s="2972">
        <v>10.08</v>
      </c>
      <c r="G56" s="2972">
        <v>10.8</v>
      </c>
      <c r="H56" s="2972">
        <v>11.16</v>
      </c>
      <c r="I56" s="2972">
        <v>0</v>
      </c>
      <c r="J56" s="2972">
        <v>0</v>
      </c>
      <c r="L56" s="2972"/>
      <c r="M56" s="2973"/>
      <c r="N56" s="2972"/>
      <c r="O56" s="2972"/>
      <c r="P56" s="2972"/>
      <c r="Q56" s="2972"/>
      <c r="R56" s="2972"/>
      <c r="S56" s="2972"/>
      <c r="T56" s="2972"/>
      <c r="U56" s="2972"/>
      <c r="V56" s="2972"/>
      <c r="W56" s="2972"/>
      <c r="X56" s="2972"/>
      <c r="Y56" s="2972"/>
      <c r="Z56" s="2972"/>
    </row>
    <row r="57" spans="2:26">
      <c r="B57" s="2972"/>
      <c r="C57" s="2973">
        <v>32540</v>
      </c>
      <c r="D57" s="2972">
        <v>11.34</v>
      </c>
      <c r="E57" s="2972">
        <v>11.34</v>
      </c>
      <c r="F57" s="2972">
        <v>12.78</v>
      </c>
      <c r="G57" s="2972">
        <v>14.4</v>
      </c>
      <c r="H57" s="2972">
        <v>19.260000000000002</v>
      </c>
      <c r="I57" s="2972">
        <v>0</v>
      </c>
      <c r="J57" s="2972">
        <v>0</v>
      </c>
      <c r="L57" s="2972"/>
      <c r="M57" s="2973"/>
      <c r="N57" s="2972"/>
      <c r="O57" s="2972"/>
      <c r="P57" s="2972"/>
      <c r="Q57" s="2972"/>
      <c r="R57" s="2972"/>
      <c r="S57" s="2972"/>
      <c r="T57" s="2972"/>
      <c r="U57" s="2972"/>
      <c r="V57" s="2972"/>
      <c r="W57" s="2972"/>
      <c r="X57" s="2972"/>
      <c r="Y57" s="2972"/>
      <c r="Z57" s="2972"/>
    </row>
    <row r="58" spans="2:26">
      <c r="B58" s="2972"/>
      <c r="C58" s="2973"/>
      <c r="D58" s="2972"/>
      <c r="E58" s="2972"/>
      <c r="F58" s="2972"/>
      <c r="G58" s="2972"/>
      <c r="H58" s="2972"/>
      <c r="I58" s="2972"/>
      <c r="J58" s="2972"/>
    </row>
    <row r="59" spans="2:26">
      <c r="B59" s="2976"/>
      <c r="C59" s="2977"/>
      <c r="D59" s="2976"/>
      <c r="E59" s="2976"/>
      <c r="F59" s="2976"/>
      <c r="G59" s="2976"/>
      <c r="H59" s="2976"/>
      <c r="I59" s="2976"/>
      <c r="J59" s="2976"/>
    </row>
    <row r="60" spans="2:26">
      <c r="B60" s="2976"/>
      <c r="C60" s="2977"/>
      <c r="D60" s="2976"/>
      <c r="E60" s="2976"/>
      <c r="F60" s="2976"/>
      <c r="G60" s="2976"/>
      <c r="H60" s="2976"/>
      <c r="I60" s="2976"/>
      <c r="J60" s="2976"/>
    </row>
    <row r="61" spans="2:26">
      <c r="B61" s="2976"/>
      <c r="C61" s="2977"/>
      <c r="D61" s="2976"/>
      <c r="E61" s="2976"/>
      <c r="F61" s="2976"/>
      <c r="G61" s="2976"/>
      <c r="H61" s="2976"/>
      <c r="I61" s="2976"/>
      <c r="J61" s="2976"/>
    </row>
    <row r="62" spans="2:26">
      <c r="B62" s="2923"/>
      <c r="C62" s="2923"/>
      <c r="D62" s="2923"/>
      <c r="E62" s="2923"/>
      <c r="F62" s="2923"/>
      <c r="G62" s="2923"/>
      <c r="H62" s="2923"/>
      <c r="I62" s="2923"/>
      <c r="J62" s="2923"/>
    </row>
    <row r="63" spans="2:26">
      <c r="B63" s="2923"/>
      <c r="C63" s="2923"/>
      <c r="D63" s="2923"/>
      <c r="E63" s="2923"/>
      <c r="F63" s="2923"/>
      <c r="G63" s="2923"/>
      <c r="H63" s="2923"/>
      <c r="I63" s="2923"/>
      <c r="J63" s="2923"/>
    </row>
  </sheetData>
  <sheetProtection sheet="1" objects="1" scenarios="1"/>
  <phoneticPr fontId="2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opLeftCell="A4" workbookViewId="0">
      <selection activeCell="R23" sqref="R23"/>
    </sheetView>
  </sheetViews>
  <sheetFormatPr defaultRowHeight="13.5"/>
  <sheetData>
    <row r="1" spans="1:6" ht="14.25" thickBot="1">
      <c r="A1" s="3132" t="s">
        <v>6329</v>
      </c>
    </row>
    <row r="2" spans="1:6">
      <c r="A2" s="3135" t="s">
        <v>6330</v>
      </c>
      <c r="B2" s="3136" t="s">
        <v>6331</v>
      </c>
      <c r="C2" s="3136" t="s">
        <v>6332</v>
      </c>
      <c r="D2" s="3136" t="s">
        <v>6333</v>
      </c>
      <c r="E2" s="3136" t="s">
        <v>25</v>
      </c>
      <c r="F2" s="3137" t="s">
        <v>24</v>
      </c>
    </row>
    <row r="3" spans="1:6">
      <c r="A3" s="3138">
        <v>2017</v>
      </c>
      <c r="B3" s="3134">
        <v>2</v>
      </c>
      <c r="C3" s="3134" t="s">
        <v>6334</v>
      </c>
      <c r="D3" s="3134" t="s">
        <v>6334</v>
      </c>
      <c r="E3" s="3134" t="s">
        <v>6334</v>
      </c>
      <c r="F3" s="3139" t="s">
        <v>6334</v>
      </c>
    </row>
    <row r="4" spans="1:6">
      <c r="A4" s="3140">
        <v>2017</v>
      </c>
      <c r="B4" s="3133">
        <v>1</v>
      </c>
      <c r="C4" s="3133">
        <v>1.87</v>
      </c>
      <c r="D4" s="3133">
        <v>0.98</v>
      </c>
      <c r="E4" s="3133">
        <v>1.97</v>
      </c>
      <c r="F4" s="3141">
        <v>0.94</v>
      </c>
    </row>
    <row r="5" spans="1:6">
      <c r="A5" s="3138">
        <v>2016</v>
      </c>
      <c r="B5" s="3134">
        <v>4</v>
      </c>
      <c r="C5" s="3134">
        <v>4.0199999999999996</v>
      </c>
      <c r="D5" s="3134">
        <v>3.1</v>
      </c>
      <c r="E5" s="3134">
        <v>4.17</v>
      </c>
      <c r="F5" s="3139">
        <v>1.1499999999999999</v>
      </c>
    </row>
    <row r="6" spans="1:6">
      <c r="A6" s="3140">
        <v>2016</v>
      </c>
      <c r="B6" s="3133">
        <v>3</v>
      </c>
      <c r="C6" s="3133">
        <v>2.76</v>
      </c>
      <c r="D6" s="3133">
        <v>0.78</v>
      </c>
      <c r="E6" s="3133">
        <v>2.98</v>
      </c>
      <c r="F6" s="3141">
        <v>1.1200000000000001</v>
      </c>
    </row>
    <row r="7" spans="1:6" ht="14.25" thickBot="1">
      <c r="A7" s="3142">
        <v>2016</v>
      </c>
      <c r="B7" s="3143">
        <v>2</v>
      </c>
      <c r="C7" s="3143">
        <v>2.52</v>
      </c>
      <c r="D7" s="3143">
        <v>0.69</v>
      </c>
      <c r="E7" s="3143">
        <v>2.74</v>
      </c>
      <c r="F7" s="3144">
        <v>0.42</v>
      </c>
    </row>
    <row r="8" spans="1:6">
      <c r="E8">
        <f>AVERAGE(E4:E7)</f>
        <v>2.9649999999999999</v>
      </c>
    </row>
  </sheetData>
  <phoneticPr fontId="20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240" t="s">
        <v>1966</v>
      </c>
      <c r="B1" s="3240"/>
      <c r="C1" s="3240"/>
      <c r="D1" s="3240"/>
      <c r="E1" s="3240"/>
      <c r="F1" s="3240"/>
      <c r="G1" s="3240"/>
      <c r="H1" s="3240"/>
      <c r="I1" s="3240"/>
    </row>
    <row r="2" spans="1:9" ht="30" customHeight="1" thickTop="1">
      <c r="A2" s="3241" t="s">
        <v>3</v>
      </c>
      <c r="B2" s="3241" t="s">
        <v>1879</v>
      </c>
      <c r="C2" s="3241" t="s">
        <v>2728</v>
      </c>
      <c r="D2" s="3241" t="str">
        <f>IF('数据-取费表'!E3="否",结果表!D119,'结果表 (1修多)'!D122)</f>
        <v>出让国有建设用地使用权价值</v>
      </c>
      <c r="E2" s="3241"/>
      <c r="F2" s="3241" t="s">
        <v>676</v>
      </c>
      <c r="G2" s="3241"/>
      <c r="H2" s="3241" t="s">
        <v>4</v>
      </c>
      <c r="I2" s="3241"/>
    </row>
    <row r="3" spans="1:9" ht="14.25">
      <c r="A3" s="3234"/>
      <c r="B3" s="3234"/>
      <c r="C3" s="3234"/>
      <c r="D3" s="1726" t="s">
        <v>5</v>
      </c>
      <c r="E3" s="1726" t="s">
        <v>695</v>
      </c>
      <c r="F3" s="1726" t="s">
        <v>5</v>
      </c>
      <c r="G3" s="1726" t="s">
        <v>6</v>
      </c>
      <c r="H3" s="1726" t="s">
        <v>5</v>
      </c>
      <c r="I3" s="1726" t="s">
        <v>6</v>
      </c>
    </row>
    <row r="4" spans="1:9" ht="46.5" customHeight="1">
      <c r="A4" s="1726" t="str">
        <f>项目基本情况!I1</f>
        <v>浙江省杭州市房地产</v>
      </c>
      <c r="B4" s="1765">
        <f>结果表!B121</f>
        <v>88039.929999999338</v>
      </c>
      <c r="C4" s="1765">
        <f>结果表!C121</f>
        <v>4968.7000000000498</v>
      </c>
      <c r="D4" s="1765">
        <f>IF('数据-取费表'!E3="否",结果表!D121,'结果表 (1修多)'!D124)</f>
        <v>0</v>
      </c>
      <c r="E4" s="1765">
        <f>IF('数据-取费表'!E3="否",结果表!E121,'结果表 (1修多)'!E124)</f>
        <v>0</v>
      </c>
      <c r="F4" s="1765">
        <f>IF('数据-取费表'!E3="否",结果表!F121,'结果表 (1修多)'!F124)</f>
        <v>0</v>
      </c>
      <c r="G4" s="1765">
        <f>IF('数据-取费表'!E3="否",结果表!G121,'结果表 (1修多)'!G124)</f>
        <v>0</v>
      </c>
      <c r="H4" s="1765">
        <f ca="1">IF('数据-取费表'!E3="否",结果表!H121,'结果表 (1修多)'!H124)</f>
        <v>143304</v>
      </c>
      <c r="I4" s="1765">
        <f ca="1">IF('数据-取费表'!E3="否",结果表!I121,'结果表 (1修多)'!I124)</f>
        <v>16277</v>
      </c>
    </row>
    <row r="5" spans="1:9" ht="14.25">
      <c r="A5" s="3234" t="s">
        <v>7</v>
      </c>
      <c r="B5" s="3234"/>
      <c r="C5" s="3234"/>
      <c r="D5" s="3235" t="str">
        <f>IF('数据-取费表'!E3="否",结果表!D122,'结果表 (1修多)'!D125)</f>
        <v>零元整</v>
      </c>
      <c r="E5" s="3235"/>
      <c r="F5" s="3235" t="str">
        <f>IF('数据-取费表'!E3="否",结果表!F122,'结果表 (1修多)'!F125)</f>
        <v>零元整</v>
      </c>
      <c r="G5" s="3235"/>
      <c r="H5" s="3235" t="str">
        <f ca="1">IF('数据-取费表'!E3="否",结果表!H122,'结果表 (1修多)'!H125)</f>
        <v>壹拾肆亿叁仟叁佰零肆万元整</v>
      </c>
      <c r="I5" s="3235"/>
    </row>
    <row r="6" spans="1:9" ht="15.75">
      <c r="A6" s="3236" t="str">
        <f>IF('数据-取费表'!E3="否",结果表!A123,'结果表 (1修多)'!A126)</f>
        <v>估价师所知悉的法定优先受偿款</v>
      </c>
      <c r="B6" s="3236"/>
      <c r="C6" s="3236"/>
      <c r="D6" s="3232">
        <f>IF('数据-取费表'!E3="否",结果表!D123,'结果表 (1修多)'!D126)</f>
        <v>0</v>
      </c>
      <c r="E6" s="3232"/>
      <c r="F6" s="3232"/>
      <c r="G6" s="3232"/>
      <c r="H6" s="3232"/>
      <c r="I6" s="3232"/>
    </row>
    <row r="7" spans="1:9" ht="14.25">
      <c r="A7" s="3234" t="s">
        <v>7</v>
      </c>
      <c r="B7" s="3234"/>
      <c r="C7" s="3234"/>
      <c r="D7" s="3242">
        <f>IF('数据-取费表'!E3="否",结果表!D124,'结果表 (1修多)'!D127)</f>
        <v>0</v>
      </c>
      <c r="E7" s="3243"/>
      <c r="F7" s="3243"/>
      <c r="G7" s="3243"/>
      <c r="H7" s="3243"/>
      <c r="I7" s="3244"/>
    </row>
    <row r="8" spans="1:9" ht="15.75">
      <c r="A8" s="3236" t="str">
        <f>IF('数据-取费表'!E3="否",结果表!A125,'结果表 (1修多)'!A128)</f>
        <v>房地产抵押价值</v>
      </c>
      <c r="B8" s="3236"/>
      <c r="C8" s="3236"/>
      <c r="D8" s="3232">
        <f ca="1">IF('数据-取费表'!E3="否",结果表!D125,'结果表 (1修多)'!D128)</f>
        <v>143304</v>
      </c>
      <c r="E8" s="3232"/>
      <c r="F8" s="3232"/>
      <c r="G8" s="3232"/>
      <c r="H8" s="3232"/>
      <c r="I8" s="3232"/>
    </row>
    <row r="9" spans="1:9" ht="14.25">
      <c r="A9" s="3234" t="s">
        <v>7</v>
      </c>
      <c r="B9" s="3234"/>
      <c r="C9" s="3234"/>
      <c r="D9" s="3235">
        <f ca="1">IF('数据-取费表'!E3="否",结果表!D126,'结果表 (1修多)'!D129)</f>
        <v>16277</v>
      </c>
      <c r="E9" s="3235"/>
      <c r="F9" s="3235"/>
      <c r="G9" s="3235"/>
      <c r="H9" s="3235"/>
      <c r="I9" s="3235"/>
    </row>
    <row r="10" spans="1:9" ht="15.75">
      <c r="A10" s="3236" t="str">
        <f>IF('数据-取费表'!E3="否",结果表!A127,'结果表 (1修多)'!A130)</f>
        <v/>
      </c>
      <c r="B10" s="3236"/>
      <c r="C10" s="3236"/>
      <c r="D10" s="3232">
        <f ca="1">IF('数据-取费表'!E3="否",结果表!D127,'结果表 (1修多)'!D129)</f>
        <v>16277</v>
      </c>
      <c r="E10" s="3232"/>
      <c r="F10" s="3232"/>
      <c r="G10" s="3232"/>
      <c r="H10" s="3232"/>
      <c r="I10" s="3232"/>
    </row>
    <row r="11" spans="1:9" ht="14.25">
      <c r="A11" s="3234" t="s">
        <v>7</v>
      </c>
      <c r="B11" s="3234"/>
      <c r="C11" s="3234"/>
      <c r="D11" s="3235" t="str">
        <f>IF('数据-取费表'!E3="否",结果表!D128,'结果表 (1修多)'!D131)</f>
        <v>——</v>
      </c>
      <c r="E11" s="3235"/>
      <c r="F11" s="3235"/>
      <c r="G11" s="3235"/>
      <c r="H11" s="3235"/>
      <c r="I11" s="3235"/>
    </row>
    <row r="12" spans="1:9" ht="15.75">
      <c r="A12" s="3236" t="str">
        <f>IF('数据-取费表'!E3="否",结果表!A129,'结果表 (1修多)'!A132)</f>
        <v/>
      </c>
      <c r="B12" s="3236"/>
      <c r="C12" s="3236"/>
      <c r="D12" s="3232" t="str">
        <f>IF('数据-取费表'!E3="否",结果表!D129,'结果表 (1修多)'!D132)</f>
        <v>——</v>
      </c>
      <c r="E12" s="3232"/>
      <c r="F12" s="3232"/>
      <c r="G12" s="3232"/>
      <c r="H12" s="3232"/>
      <c r="I12" s="3232"/>
    </row>
    <row r="13" spans="1:9" ht="15" thickBot="1">
      <c r="A13" s="3237" t="s">
        <v>7</v>
      </c>
      <c r="B13" s="3237"/>
      <c r="C13" s="3237"/>
      <c r="D13" s="3238">
        <f>IF('数据-取费表'!E3="否",结果表!D130,'结果表 (1修多)'!D133)</f>
        <v>0</v>
      </c>
      <c r="E13" s="3238"/>
      <c r="F13" s="3238"/>
      <c r="G13" s="3238"/>
      <c r="H13" s="3238"/>
      <c r="I13" s="3238"/>
    </row>
    <row r="14" spans="1:9" ht="14.25" thickTop="1">
      <c r="A14" s="3239" t="str">
        <f>IF('数据-取费表'!E3="否",结果表!A131,'结果表 (1修多)'!A134)</f>
        <v>单位：平方米、万元、元/平方米（币种：人民币）</v>
      </c>
      <c r="B14" s="3239"/>
      <c r="C14" s="3239"/>
      <c r="D14" s="3239"/>
      <c r="E14" s="3239"/>
      <c r="F14" s="3239"/>
      <c r="G14" s="3239"/>
      <c r="H14" s="3239"/>
      <c r="I14" s="3239"/>
    </row>
    <row r="15" spans="1:9">
      <c r="A15" s="1305"/>
      <c r="B15" s="1305"/>
      <c r="C15" s="1305"/>
      <c r="D15" s="1305"/>
      <c r="E15" s="1305"/>
      <c r="F15" s="1305"/>
      <c r="G15" s="1305"/>
      <c r="H15" s="1305"/>
      <c r="I15" s="1305"/>
    </row>
    <row r="16" spans="1:9" ht="18.75">
      <c r="A16" s="1003" t="s">
        <v>1982</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246" t="s">
        <v>2740</v>
      </c>
      <c r="B1" s="3246"/>
      <c r="C1" s="3246"/>
      <c r="D1" s="3246"/>
    </row>
    <row r="2" spans="1:4" ht="18.75">
      <c r="A2" s="3245" t="s">
        <v>1984</v>
      </c>
      <c r="B2" s="3245"/>
      <c r="C2" s="3245"/>
      <c r="D2" s="3245"/>
    </row>
    <row r="3" spans="1:4" ht="18.75">
      <c r="A3" s="2421" t="s">
        <v>1985</v>
      </c>
      <c r="B3" s="2421" t="s">
        <v>1986</v>
      </c>
      <c r="C3" s="2421" t="s">
        <v>1987</v>
      </c>
      <c r="D3" s="2421" t="s">
        <v>1988</v>
      </c>
    </row>
    <row r="4" spans="1:4" ht="56.25" customHeight="1">
      <c r="A4" s="2422" t="str">
        <f>项目基本情况!B3</f>
        <v>梁津</v>
      </c>
      <c r="B4" s="2423">
        <f ca="1">项目基本情况!C3</f>
        <v>1119970066</v>
      </c>
      <c r="C4" s="2426"/>
      <c r="D4" s="2424" t="s">
        <v>1992</v>
      </c>
    </row>
    <row r="5" spans="1:4" ht="56.25" customHeight="1">
      <c r="A5" s="2422" t="str">
        <f>项目基本情况!D3</f>
        <v>王鹏</v>
      </c>
      <c r="B5" s="2423">
        <f ca="1">项目基本情况!E3</f>
        <v>1120050019</v>
      </c>
      <c r="C5" s="2427"/>
      <c r="D5" s="2424" t="s">
        <v>1992</v>
      </c>
    </row>
    <row r="6" spans="1:4" ht="12" customHeight="1">
      <c r="A6" s="2422"/>
      <c r="B6" s="2423"/>
      <c r="C6" s="2653"/>
      <c r="D6" s="2424"/>
    </row>
    <row r="7" spans="1:4" ht="18.75">
      <c r="A7" s="3245" t="s">
        <v>2508</v>
      </c>
      <c r="B7" s="3245"/>
      <c r="C7" s="3245"/>
      <c r="D7" s="3245"/>
    </row>
    <row r="8" spans="1:4" ht="18.75">
      <c r="A8" s="2421" t="s">
        <v>1985</v>
      </c>
      <c r="B8" s="2423" t="s">
        <v>1990</v>
      </c>
      <c r="C8" s="2421" t="s">
        <v>1987</v>
      </c>
      <c r="D8" s="2421" t="s">
        <v>1988</v>
      </c>
    </row>
    <row r="9" spans="1:4" ht="56.25" customHeight="1">
      <c r="A9" s="2425" t="s">
        <v>1989</v>
      </c>
      <c r="B9" s="2425" t="s">
        <v>1991</v>
      </c>
      <c r="C9" s="2426"/>
      <c r="D9" s="2424" t="s">
        <v>1992</v>
      </c>
    </row>
    <row r="11" spans="1:4" ht="18.75">
      <c r="A11" s="1797" t="s">
        <v>1977</v>
      </c>
    </row>
    <row r="12" spans="1:4" ht="30" customHeight="1">
      <c r="A12" s="3247" t="s">
        <v>2568</v>
      </c>
      <c r="B12" s="3248"/>
      <c r="C12" s="3248"/>
      <c r="D12" s="3248"/>
    </row>
    <row r="13" spans="1:4" ht="14.25">
      <c r="A13" s="3249" t="str">
        <f>IF(项目基本情况!D4="抵押","2.本《评估意见函》仅供金融机构进行内部审核使用，不做其他目的之用。","——")</f>
        <v>2.本《评估意见函》仅供金融机构进行内部审核使用，不做其他目的之用。</v>
      </c>
      <c r="B13" s="3250"/>
      <c r="C13" s="3250"/>
      <c r="D13" s="3250"/>
    </row>
    <row r="14" spans="1:4" ht="30" customHeight="1">
      <c r="A14" s="324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50"/>
      <c r="C14" s="3250"/>
      <c r="D14" s="3250"/>
    </row>
    <row r="15" spans="1:4" ht="15.75" customHeight="1">
      <c r="A15" s="3249" t="str">
        <f>IF(项目基本情况!D4="抵押","4.本次评估估价师所知悉的法定优先受偿款情况说明如下：","——")</f>
        <v>4.本次评估估价师所知悉的法定优先受偿款情况说明如下：</v>
      </c>
      <c r="B15" s="3250"/>
      <c r="C15" s="3250"/>
      <c r="D15" s="3250"/>
    </row>
    <row r="16" spans="1:4" ht="75" customHeight="1">
      <c r="A16" s="3249" t="str">
        <f>IF(项目基本情况!D4="抵押",CONCATENATE(项目基本情况!J13,项目基本情况!J14,项目基本情况!J15),"——")</f>
        <v>根据估价对象《不动产权证书》复印件、，截至价值时点，估价对象抵押权未见登记。</v>
      </c>
      <c r="B16" s="3249"/>
      <c r="C16" s="3249"/>
      <c r="D16" s="3249"/>
    </row>
    <row r="17" spans="1:4" ht="63.75" customHeight="1">
      <c r="A17" s="3252" t="s">
        <v>2002</v>
      </c>
      <c r="B17" s="3252"/>
      <c r="C17" s="3252"/>
      <c r="D17" s="3252"/>
    </row>
    <row r="18" spans="1:4" ht="15.75" customHeight="1">
      <c r="A18" s="3249" t="str">
        <f>IF(项目基本情况!D4="抵押",结果表!K106,"——")</f>
        <v>本次评估不存在估价师所知悉的法定优先受偿款。</v>
      </c>
      <c r="B18" s="3249"/>
      <c r="C18" s="3249"/>
      <c r="D18" s="3249"/>
    </row>
    <row r="19" spans="1:4" ht="46.5" customHeight="1">
      <c r="A19" s="324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15">
      <c r="A20" s="3251" t="s">
        <v>2712</v>
      </c>
      <c r="B20" s="3251"/>
      <c r="C20" s="3251"/>
      <c r="D20" s="3251"/>
    </row>
    <row r="21" spans="1:4">
      <c r="A21" s="1862"/>
      <c r="B21" s="1863"/>
      <c r="C21" s="1863"/>
      <c r="D21" s="1863"/>
    </row>
    <row r="22" spans="1:4">
      <c r="A22" s="1862"/>
      <c r="B22" s="1863"/>
      <c r="C22" s="1863"/>
      <c r="D22" s="1863"/>
    </row>
    <row r="23" spans="1:4" ht="18.75">
      <c r="A23" s="1751" t="s">
        <v>2711</v>
      </c>
    </row>
    <row r="24" spans="1:4" ht="18.75">
      <c r="A24" s="1751"/>
    </row>
    <row r="25" spans="1:4" ht="18.75">
      <c r="A25" s="1751" t="s">
        <v>1978</v>
      </c>
    </row>
    <row r="28" spans="1:4" ht="21" customHeight="1">
      <c r="D28" s="1791" t="s">
        <v>1979</v>
      </c>
    </row>
    <row r="29" spans="1:4" ht="21" customHeight="1">
      <c r="C29" s="2809"/>
      <c r="D29" s="281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572</v>
      </c>
    </row>
    <row r="3" spans="1:7">
      <c r="A3" s="1004" t="s">
        <v>549</v>
      </c>
      <c r="B3" s="1005" t="s">
        <v>550</v>
      </c>
      <c r="G3" s="1006"/>
    </row>
    <row r="4" spans="1:7">
      <c r="G4" s="1006"/>
    </row>
    <row r="5" spans="1:7">
      <c r="A5" s="1008" t="s">
        <v>545</v>
      </c>
      <c r="B5" s="1005" t="s">
        <v>551</v>
      </c>
      <c r="G5" s="1006"/>
    </row>
    <row r="6" spans="1:7">
      <c r="G6" s="1006"/>
    </row>
    <row r="7" spans="1:7">
      <c r="A7" s="1009" t="s">
        <v>1042</v>
      </c>
      <c r="B7" s="1005" t="s">
        <v>552</v>
      </c>
      <c r="G7" s="1006"/>
    </row>
    <row r="8" spans="1:7">
      <c r="G8" s="1006"/>
    </row>
    <row r="9" spans="1:7">
      <c r="A9" s="1010" t="s">
        <v>546</v>
      </c>
      <c r="B9" s="1005" t="s">
        <v>553</v>
      </c>
    </row>
    <row r="11" spans="1:7">
      <c r="A11" s="1011" t="s">
        <v>547</v>
      </c>
      <c r="B11" s="1012" t="s">
        <v>544</v>
      </c>
    </row>
    <row r="13" spans="1:7">
      <c r="A13" s="1013" t="s">
        <v>554</v>
      </c>
    </row>
    <row r="15" spans="1:7" ht="13.5">
      <c r="A15" s="3258" t="s">
        <v>555</v>
      </c>
      <c r="B15" s="3253" t="s">
        <v>1043</v>
      </c>
      <c r="C15" s="3254"/>
    </row>
    <row r="16" spans="1:7" ht="13.5">
      <c r="A16" s="3259"/>
      <c r="B16" s="3253" t="s">
        <v>541</v>
      </c>
      <c r="C16" s="3254"/>
    </row>
    <row r="17" spans="1:3" ht="13.5">
      <c r="A17" s="3259"/>
      <c r="B17" s="3253" t="s">
        <v>1896</v>
      </c>
      <c r="C17" s="3254"/>
    </row>
    <row r="18" spans="1:3" ht="13.5">
      <c r="A18" s="3260"/>
      <c r="B18" s="3255" t="s">
        <v>556</v>
      </c>
      <c r="C18" s="3254"/>
    </row>
    <row r="19" spans="1:3" ht="13.5">
      <c r="A19" s="1015" t="s">
        <v>557</v>
      </c>
      <c r="B19" s="1016"/>
      <c r="C19" s="1017"/>
    </row>
    <row r="20" spans="1:3" ht="13.5">
      <c r="A20" s="3256" t="s">
        <v>558</v>
      </c>
      <c r="B20" s="3255" t="s">
        <v>559</v>
      </c>
      <c r="C20" s="3254"/>
    </row>
    <row r="21" spans="1:3" ht="13.5">
      <c r="A21" s="3256"/>
      <c r="B21" s="3255" t="s">
        <v>560</v>
      </c>
      <c r="C21" s="3254"/>
    </row>
    <row r="22" spans="1:3" ht="13.5">
      <c r="A22" s="3256"/>
      <c r="B22" s="3255" t="s">
        <v>561</v>
      </c>
      <c r="C22" s="3254"/>
    </row>
    <row r="23" spans="1:3" ht="13.5">
      <c r="A23" s="3256"/>
      <c r="B23" s="3257" t="s">
        <v>562</v>
      </c>
      <c r="C23" s="1014" t="s">
        <v>563</v>
      </c>
    </row>
    <row r="24" spans="1:3" ht="13.5">
      <c r="A24" s="3256"/>
      <c r="B24" s="3257"/>
      <c r="C24" s="1014" t="s">
        <v>564</v>
      </c>
    </row>
    <row r="25" spans="1:3" ht="13.5">
      <c r="A25" s="3256"/>
      <c r="B25" s="3257"/>
      <c r="C25" s="1014" t="s">
        <v>565</v>
      </c>
    </row>
    <row r="26" spans="1:3" ht="13.5">
      <c r="A26" s="3256"/>
      <c r="B26" s="3257"/>
      <c r="C26" s="1014" t="s">
        <v>566</v>
      </c>
    </row>
    <row r="27" spans="1:3" ht="13.5">
      <c r="A27" s="3256"/>
      <c r="B27" s="3257"/>
      <c r="C27" s="1014" t="s">
        <v>567</v>
      </c>
    </row>
    <row r="28" spans="1:3" ht="13.5">
      <c r="A28" s="3256"/>
      <c r="B28" s="3257"/>
      <c r="C28" s="1014" t="s">
        <v>568</v>
      </c>
    </row>
    <row r="29" spans="1:3" ht="13.5">
      <c r="A29" s="3256"/>
      <c r="B29" s="3257"/>
      <c r="C29" s="1014" t="s">
        <v>569</v>
      </c>
    </row>
    <row r="30" spans="1:3" ht="13.5">
      <c r="A30" s="3256"/>
      <c r="B30" s="3257"/>
      <c r="C30" s="1014" t="s">
        <v>570</v>
      </c>
    </row>
    <row r="31" spans="1:3" ht="13.5">
      <c r="A31" s="3256"/>
      <c r="B31" s="3257"/>
      <c r="C31" s="1014" t="s">
        <v>571</v>
      </c>
    </row>
    <row r="32" spans="1:3">
      <c r="A32" s="1018" t="s">
        <v>548</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1903</v>
      </c>
      <c r="B2" s="1728">
        <f ca="1">TODAY()</f>
        <v>42934</v>
      </c>
      <c r="C2" s="1729" t="s">
        <v>1904</v>
      </c>
      <c r="D2" s="1729"/>
      <c r="E2" s="1729"/>
    </row>
    <row r="3" spans="1:8" ht="24" customHeight="1">
      <c r="A3" s="1731" t="s">
        <v>1905</v>
      </c>
      <c r="B3" s="1732" t="s">
        <v>1906</v>
      </c>
      <c r="C3" s="1732" t="s">
        <v>1907</v>
      </c>
      <c r="D3" s="1760" t="s">
        <v>1943</v>
      </c>
      <c r="E3" s="1733" t="s">
        <v>1908</v>
      </c>
      <c r="F3" s="1734" t="s">
        <v>1909</v>
      </c>
      <c r="G3" s="1732" t="s">
        <v>1907</v>
      </c>
      <c r="H3" s="1760" t="s">
        <v>1944</v>
      </c>
    </row>
    <row r="4" spans="1:8" ht="24" customHeight="1">
      <c r="A4" s="2988" t="s">
        <v>1910</v>
      </c>
      <c r="B4" s="1734">
        <f ca="1">IF(C4&lt;B2,"已过期",1119970066)</f>
        <v>1119970066</v>
      </c>
      <c r="C4" s="2989">
        <v>43849</v>
      </c>
      <c r="D4" s="2990" t="str">
        <f ca="1">A4&amp;"（注册号："&amp;B4&amp;"）"</f>
        <v>梁津（注册号：1119970066）</v>
      </c>
      <c r="E4" s="2988" t="s">
        <v>1910</v>
      </c>
      <c r="F4" s="1734">
        <f ca="1">IF(G4&lt;B2,"已过期",96010014)</f>
        <v>96010014</v>
      </c>
      <c r="G4" s="1742">
        <v>47118</v>
      </c>
      <c r="H4" s="2991" t="str">
        <f ca="1">E4&amp;"（注册号："&amp;F4&amp;"）"</f>
        <v>梁津（注册号：96010014）</v>
      </c>
    </row>
    <row r="5" spans="1:8" ht="24" customHeight="1">
      <c r="A5" s="2988" t="s">
        <v>1911</v>
      </c>
      <c r="B5" s="1734">
        <f ca="1">IF(C5&lt;B2,"已过期",1119970074)</f>
        <v>1119970074</v>
      </c>
      <c r="C5" s="2989">
        <v>43849</v>
      </c>
      <c r="D5" s="2990" t="str">
        <f t="shared" ref="D5:D23" ca="1" si="0">A5&amp;"（注册号："&amp;B5&amp;"）"</f>
        <v>李立（注册号：1119970074）</v>
      </c>
      <c r="E5" s="2988" t="s">
        <v>1911</v>
      </c>
      <c r="F5" s="1734">
        <f ca="1">IF(G5&lt;B2,"已过期",2002110027)</f>
        <v>2002110027</v>
      </c>
      <c r="G5" s="1742">
        <v>46752</v>
      </c>
      <c r="H5" s="2991" t="str">
        <f t="shared" ref="H5:H24" ca="1" si="1">E5&amp;"（注册号："&amp;F5&amp;"）"</f>
        <v>李立（注册号：2002110027）</v>
      </c>
    </row>
    <row r="6" spans="1:8" ht="24" customHeight="1">
      <c r="A6" s="2988" t="s">
        <v>1912</v>
      </c>
      <c r="B6" s="1734">
        <f ca="1">IF(C6&lt;B2,"已过期",1119970111)</f>
        <v>1119970111</v>
      </c>
      <c r="C6" s="2989">
        <v>43849</v>
      </c>
      <c r="D6" s="2990" t="str">
        <f t="shared" ca="1" si="0"/>
        <v>叶凌（注册号：1119970111）</v>
      </c>
      <c r="E6" s="2988" t="s">
        <v>1912</v>
      </c>
      <c r="F6" s="1734">
        <f ca="1">IF(G6&lt;B2,"已过期",94010078)</f>
        <v>94010078</v>
      </c>
      <c r="G6" s="1742">
        <v>46387</v>
      </c>
      <c r="H6" s="2991" t="str">
        <f t="shared" ca="1" si="1"/>
        <v>叶凌（注册号：94010078）</v>
      </c>
    </row>
    <row r="7" spans="1:8" ht="24" customHeight="1">
      <c r="A7" s="2988" t="s">
        <v>1913</v>
      </c>
      <c r="B7" s="1734">
        <f ca="1">IF(C7&lt;B2,"已过期",1120050019)</f>
        <v>1120050019</v>
      </c>
      <c r="C7" s="2989">
        <v>43359</v>
      </c>
      <c r="D7" s="2990" t="str">
        <f t="shared" ca="1" si="0"/>
        <v>王鹏（注册号：1120050019）</v>
      </c>
      <c r="E7" s="2988" t="s">
        <v>1913</v>
      </c>
      <c r="F7" s="1734">
        <f ca="1">IF(G7&lt;B2,"已过期",2002110030)</f>
        <v>2002110030</v>
      </c>
      <c r="G7" s="1742">
        <v>46387</v>
      </c>
      <c r="H7" s="2991" t="str">
        <f t="shared" ca="1" si="1"/>
        <v>王鹏（注册号：2002110030）</v>
      </c>
    </row>
    <row r="8" spans="1:8" ht="24" customHeight="1">
      <c r="A8" s="2988" t="s">
        <v>1914</v>
      </c>
      <c r="B8" s="1734">
        <f ca="1">IF(C8&lt;B2,"已过期",1120000080)</f>
        <v>1120000080</v>
      </c>
      <c r="C8" s="2989">
        <v>43849</v>
      </c>
      <c r="D8" s="2990" t="str">
        <f t="shared" ca="1" si="0"/>
        <v>欧红伟（注册号：1120000080）</v>
      </c>
      <c r="E8" s="2988" t="s">
        <v>1914</v>
      </c>
      <c r="F8" s="1734">
        <f ca="1">IF(G8&lt;B2,"已过期",2000110082)</f>
        <v>2000110082</v>
      </c>
      <c r="G8" s="1742">
        <v>46387</v>
      </c>
      <c r="H8" s="2991" t="str">
        <f t="shared" ca="1" si="1"/>
        <v>欧红伟（注册号：2000110082）</v>
      </c>
    </row>
    <row r="9" spans="1:8" ht="24" customHeight="1">
      <c r="A9" s="2988" t="s">
        <v>1915</v>
      </c>
      <c r="B9" s="1734">
        <f ca="1">IF(C9&lt;B2,"已过期",1419970001)</f>
        <v>1419970001</v>
      </c>
      <c r="C9" s="2989">
        <v>43867</v>
      </c>
      <c r="D9" s="2990" t="str">
        <f t="shared" ca="1" si="0"/>
        <v>吴薇（注册号：1419970001）</v>
      </c>
      <c r="E9" s="2988" t="s">
        <v>1915</v>
      </c>
      <c r="F9" s="1734">
        <f ca="1">IF(G9&lt;B2,"已过期",2002110125)</f>
        <v>2002110125</v>
      </c>
      <c r="G9" s="1742">
        <v>47118</v>
      </c>
      <c r="H9" s="2991" t="str">
        <f t="shared" ca="1" si="1"/>
        <v>吴薇（注册号：2002110125）</v>
      </c>
    </row>
    <row r="10" spans="1:8" ht="24" customHeight="1">
      <c r="A10" s="2988" t="s">
        <v>1916</v>
      </c>
      <c r="B10" s="1734">
        <f ca="1">IF(C10&lt;B2,"已过期",1120060040)</f>
        <v>1120060040</v>
      </c>
      <c r="C10" s="2989">
        <v>43483</v>
      </c>
      <c r="D10" s="2990" t="str">
        <f t="shared" ca="1" si="0"/>
        <v>陈颖（注册号：1120060040）</v>
      </c>
      <c r="E10" s="2988" t="s">
        <v>1916</v>
      </c>
      <c r="F10" s="1734">
        <f ca="1">IF(G10&lt;B2,"已过期",2004110096)</f>
        <v>2004110096</v>
      </c>
      <c r="G10" s="1742">
        <v>47118</v>
      </c>
      <c r="H10" s="2991" t="str">
        <f t="shared" ca="1" si="1"/>
        <v>陈颖（注册号：2004110096）</v>
      </c>
    </row>
    <row r="11" spans="1:8" ht="24" customHeight="1">
      <c r="A11" s="2988" t="s">
        <v>1917</v>
      </c>
      <c r="B11" s="1734">
        <f ca="1">IF(C11&lt;B2,"已过期",1120100036)</f>
        <v>1120100036</v>
      </c>
      <c r="C11" s="2989">
        <v>43622</v>
      </c>
      <c r="D11" s="2990" t="str">
        <f t="shared" ca="1" si="0"/>
        <v>崔锴（注册号：1120100036）</v>
      </c>
      <c r="E11" s="2988" t="s">
        <v>1917</v>
      </c>
      <c r="F11" s="1734">
        <f ca="1">IF(G11&lt;B2,"已过期",2010110070)</f>
        <v>2010110070</v>
      </c>
      <c r="G11" s="1742">
        <v>47907</v>
      </c>
      <c r="H11" s="2991" t="str">
        <f t="shared" ca="1" si="1"/>
        <v>崔锴（注册号：2010110070）</v>
      </c>
    </row>
    <row r="12" spans="1:8" ht="24" customHeight="1">
      <c r="A12" s="2988"/>
      <c r="B12" s="1734"/>
      <c r="C12" s="2989"/>
      <c r="D12" s="2990" t="str">
        <f t="shared" si="0"/>
        <v>（注册号：）</v>
      </c>
      <c r="E12" s="2988"/>
      <c r="F12" s="1734" t="s">
        <v>1918</v>
      </c>
      <c r="G12" s="1734" t="s">
        <v>1918</v>
      </c>
      <c r="H12" s="2991" t="str">
        <f t="shared" si="1"/>
        <v>（注册号：——）</v>
      </c>
    </row>
    <row r="13" spans="1:8" ht="24" customHeight="1">
      <c r="A13" s="2988" t="s">
        <v>1919</v>
      </c>
      <c r="B13" s="1734">
        <f ca="1">IF(C13&lt;B2,"已过期",1120070131)</f>
        <v>1120070131</v>
      </c>
      <c r="C13" s="2989">
        <v>43814</v>
      </c>
      <c r="D13" s="2990" t="str">
        <f t="shared" ca="1" si="0"/>
        <v>郑燚（注册号：1120070131）</v>
      </c>
      <c r="E13" s="2988" t="s">
        <v>1919</v>
      </c>
      <c r="F13" s="1734">
        <v>2014110011</v>
      </c>
      <c r="G13" s="1742">
        <v>49302</v>
      </c>
      <c r="H13" s="2991" t="str">
        <f t="shared" si="1"/>
        <v>郑燚（注册号：2014110011）</v>
      </c>
    </row>
    <row r="14" spans="1:8" ht="24" customHeight="1">
      <c r="A14" s="2988" t="s">
        <v>1921</v>
      </c>
      <c r="B14" s="1734">
        <f ca="1">IF(C14&lt;B2,"已过期",1120130020)</f>
        <v>1120130020</v>
      </c>
      <c r="C14" s="2989">
        <v>43622</v>
      </c>
      <c r="D14" s="2990" t="str">
        <f t="shared" ca="1" si="0"/>
        <v>马琳琳（注册号：1120130020）</v>
      </c>
      <c r="E14" s="2988"/>
      <c r="F14" s="1734" t="s">
        <v>1920</v>
      </c>
      <c r="G14" s="1734" t="s">
        <v>1920</v>
      </c>
      <c r="H14" s="2991" t="str">
        <f t="shared" si="1"/>
        <v>（注册号：——）</v>
      </c>
    </row>
    <row r="15" spans="1:8" ht="24" customHeight="1">
      <c r="A15" s="2992" t="s">
        <v>2566</v>
      </c>
      <c r="B15" s="1734">
        <v>1120070085</v>
      </c>
      <c r="C15" s="2989">
        <v>43814</v>
      </c>
      <c r="D15" s="2990" t="str">
        <f t="shared" si="0"/>
        <v>杨红英（注册号：1120070085）</v>
      </c>
      <c r="E15" s="2992" t="s">
        <v>2567</v>
      </c>
      <c r="F15" s="1734">
        <v>2004110128</v>
      </c>
      <c r="G15" s="1735">
        <v>47118</v>
      </c>
      <c r="H15" s="2991" t="str">
        <f t="shared" si="1"/>
        <v>杨红英（注册号：2004110128）</v>
      </c>
    </row>
    <row r="16" spans="1:8" ht="24" customHeight="1">
      <c r="A16" s="2988" t="s">
        <v>1922</v>
      </c>
      <c r="B16" s="1734">
        <f ca="1">IF(C16&lt;B2,"已过期",1120140022)</f>
        <v>1120140022</v>
      </c>
      <c r="C16" s="2989">
        <v>42987</v>
      </c>
      <c r="D16" s="2990" t="str">
        <f t="shared" ca="1" si="0"/>
        <v>刘梅（注册号：1120140022）</v>
      </c>
      <c r="E16" s="2988" t="s">
        <v>1922</v>
      </c>
      <c r="F16" s="1734">
        <f ca="1">IF(G16&lt;B2,"已过期",2008110059)</f>
        <v>2008110059</v>
      </c>
      <c r="G16" s="1742">
        <v>47177</v>
      </c>
      <c r="H16" s="2991" t="str">
        <f t="shared" ca="1" si="1"/>
        <v>刘梅（注册号：2008110059）</v>
      </c>
    </row>
    <row r="17" spans="1:8" ht="24" customHeight="1">
      <c r="A17" s="2988" t="s">
        <v>1923</v>
      </c>
      <c r="B17" s="1734">
        <f ca="1">IF(C17&lt;B2,"已过期",1120140020)</f>
        <v>1120140020</v>
      </c>
      <c r="C17" s="2989">
        <v>42987</v>
      </c>
      <c r="D17" s="2990" t="str">
        <f t="shared" ca="1" si="0"/>
        <v>杨爽（注册号：1120140020）</v>
      </c>
      <c r="E17" s="2988"/>
      <c r="F17" s="1734" t="s">
        <v>1920</v>
      </c>
      <c r="G17" s="1742" t="s">
        <v>1920</v>
      </c>
      <c r="H17" s="2991" t="str">
        <f t="shared" si="1"/>
        <v>（注册号：——）</v>
      </c>
    </row>
    <row r="18" spans="1:8" ht="24" customHeight="1">
      <c r="A18" s="2988" t="s">
        <v>1924</v>
      </c>
      <c r="B18" s="1734">
        <f ca="1">IF(C18&lt;B2,"已过期",1120140024)</f>
        <v>1120140024</v>
      </c>
      <c r="C18" s="2989">
        <v>42987</v>
      </c>
      <c r="D18" s="2990" t="str">
        <f t="shared" ca="1" si="0"/>
        <v>高鹏（注册号：1120140024）</v>
      </c>
      <c r="E18" s="2988" t="s">
        <v>1924</v>
      </c>
      <c r="F18" s="1734">
        <f ca="1">IF(G18&lt;B2,"已过期",2011110048)</f>
        <v>2011110048</v>
      </c>
      <c r="G18" s="1742">
        <v>48302</v>
      </c>
      <c r="H18" s="2991" t="str">
        <f t="shared" ca="1" si="1"/>
        <v>高鹏（注册号：2011110048）</v>
      </c>
    </row>
    <row r="19" spans="1:8" ht="24" customHeight="1">
      <c r="A19" s="2988" t="s">
        <v>1925</v>
      </c>
      <c r="B19" s="1734">
        <f ca="1">IF(C19&lt;B2,"已过期",1120140019)</f>
        <v>1120140019</v>
      </c>
      <c r="C19" s="2989">
        <v>42987</v>
      </c>
      <c r="D19" s="2990" t="str">
        <f t="shared" ca="1" si="0"/>
        <v>马帅（注册号：1120140019）</v>
      </c>
      <c r="E19" s="2988"/>
      <c r="F19" s="1734"/>
      <c r="G19" s="1734"/>
      <c r="H19" s="2991" t="str">
        <f t="shared" si="1"/>
        <v>（注册号：）</v>
      </c>
    </row>
    <row r="20" spans="1:8" ht="24" customHeight="1">
      <c r="A20" s="2988" t="s">
        <v>1926</v>
      </c>
      <c r="B20" s="1734">
        <f ca="1">IF(C20&lt;B2,"已过期",1120140023)</f>
        <v>1120140023</v>
      </c>
      <c r="C20" s="2989">
        <v>42987</v>
      </c>
      <c r="D20" s="2990" t="str">
        <f t="shared" ca="1" si="0"/>
        <v>吴铭（注册号：1120140023）</v>
      </c>
      <c r="E20" s="2988"/>
      <c r="F20" s="1734"/>
      <c r="G20" s="1734"/>
      <c r="H20" s="2991" t="str">
        <f t="shared" si="1"/>
        <v>（注册号：）</v>
      </c>
    </row>
    <row r="21" spans="1:8" ht="24" customHeight="1">
      <c r="A21" s="2988"/>
      <c r="B21" s="1734"/>
      <c r="C21" s="2989"/>
      <c r="D21" s="2990" t="str">
        <f t="shared" si="0"/>
        <v>（注册号：）</v>
      </c>
      <c r="E21" s="2988" t="s">
        <v>1927</v>
      </c>
      <c r="F21" s="1734">
        <f ca="1">IF(G21&lt;B2,"已过期",2011110090)</f>
        <v>2011110090</v>
      </c>
      <c r="G21" s="1742">
        <v>48302</v>
      </c>
      <c r="H21" s="2991" t="str">
        <f t="shared" ca="1" si="1"/>
        <v>赵雯（注册号：2011110090）</v>
      </c>
    </row>
    <row r="22" spans="1:8" ht="24" customHeight="1">
      <c r="A22" s="2988" t="s">
        <v>1928</v>
      </c>
      <c r="B22" s="1734">
        <f ca="1">IF(C22&lt;B2,"已过期",1120020033)</f>
        <v>1120020033</v>
      </c>
      <c r="C22" s="2989">
        <v>43304</v>
      </c>
      <c r="D22" s="2990" t="str">
        <f t="shared" ca="1" si="0"/>
        <v>刘敬东（注册号：1120020033）</v>
      </c>
      <c r="E22" s="2988" t="s">
        <v>1928</v>
      </c>
      <c r="F22" s="1734">
        <f ca="1">IF(G22&lt;B2,"已过期",2000110137)</f>
        <v>2000110137</v>
      </c>
      <c r="G22" s="1742">
        <v>46387</v>
      </c>
      <c r="H22" s="2991" t="str">
        <f t="shared" ca="1" si="1"/>
        <v>刘敬东（注册号：2000110137）</v>
      </c>
    </row>
    <row r="23" spans="1:8" ht="24" customHeight="1">
      <c r="A23" s="2988" t="s">
        <v>1929</v>
      </c>
      <c r="B23" s="1734">
        <f ca="1">IF(C23&lt;B2,"已过期",1120130048)</f>
        <v>1120130048</v>
      </c>
      <c r="C23" s="2989">
        <v>43686</v>
      </c>
      <c r="D23" s="2990" t="str">
        <f t="shared" ca="1" si="0"/>
        <v>王萌（注册号：1120130048）</v>
      </c>
      <c r="E23" s="2988"/>
      <c r="F23" s="1734"/>
      <c r="G23" s="1734"/>
      <c r="H23" s="2991" t="str">
        <f t="shared" si="1"/>
        <v>（注册号：）</v>
      </c>
    </row>
    <row r="24" spans="1:8" s="1736" customFormat="1" ht="24" customHeight="1">
      <c r="A24" s="1734" t="s">
        <v>1920</v>
      </c>
      <c r="B24" s="1734" t="s">
        <v>1920</v>
      </c>
      <c r="C24" s="1734" t="s">
        <v>1920</v>
      </c>
      <c r="D24" s="2990" t="str">
        <f>A24&amp;"（注册号："&amp;B24&amp;"）"</f>
        <v>——（注册号：——）</v>
      </c>
      <c r="E24" s="1734" t="s">
        <v>1920</v>
      </c>
      <c r="F24" s="1734" t="s">
        <v>1920</v>
      </c>
      <c r="G24" s="1734" t="s">
        <v>1920</v>
      </c>
      <c r="H24" s="2991" t="str">
        <f t="shared" si="1"/>
        <v>——（注册号：——）</v>
      </c>
    </row>
    <row r="25" spans="1:8" ht="24" customHeight="1">
      <c r="A25" s="3261" t="s">
        <v>1930</v>
      </c>
      <c r="B25" s="3261"/>
      <c r="C25" s="3261"/>
      <c r="D25" s="3261"/>
      <c r="E25" s="3261"/>
      <c r="F25" s="3261"/>
      <c r="G25" s="3261"/>
      <c r="H25" s="3261"/>
    </row>
    <row r="26" spans="1:8" s="1737" customFormat="1" ht="24" customHeight="1">
      <c r="A26" s="3262" t="s">
        <v>1931</v>
      </c>
      <c r="B26" s="3262"/>
      <c r="C26" s="3262"/>
      <c r="D26" s="1811"/>
      <c r="E26" s="1811"/>
      <c r="F26" s="3262" t="s">
        <v>1932</v>
      </c>
      <c r="G26" s="3262"/>
      <c r="H26" s="3262"/>
    </row>
    <row r="27" spans="1:8" s="1739" customFormat="1" ht="24" customHeight="1">
      <c r="A27" s="1738" t="s">
        <v>1933</v>
      </c>
      <c r="B27" s="1732" t="s">
        <v>1934</v>
      </c>
      <c r="C27" s="1732" t="s">
        <v>1935</v>
      </c>
      <c r="D27" s="1732"/>
      <c r="E27" s="1732"/>
      <c r="F27" s="1734" t="s">
        <v>1933</v>
      </c>
      <c r="G27" s="1732" t="s">
        <v>1934</v>
      </c>
      <c r="H27" s="1732" t="s">
        <v>1935</v>
      </c>
    </row>
    <row r="28" spans="1:8" s="1739" customFormat="1" ht="24" customHeight="1">
      <c r="A28" s="1740" t="s">
        <v>1936</v>
      </c>
      <c r="B28" s="1741" t="s">
        <v>1937</v>
      </c>
      <c r="C28" s="1742">
        <v>43725</v>
      </c>
      <c r="D28" s="1742"/>
      <c r="E28" s="1742"/>
      <c r="F28" s="1740" t="s">
        <v>1938</v>
      </c>
      <c r="G28" s="1740" t="s">
        <v>1939</v>
      </c>
      <c r="H28" s="1904">
        <v>44377</v>
      </c>
    </row>
    <row r="29" spans="1:8" s="1739" customFormat="1" ht="24" customHeight="1">
      <c r="A29" s="1740"/>
      <c r="B29" s="1740"/>
      <c r="C29" s="1743"/>
      <c r="D29" s="1743"/>
      <c r="E29" s="1743"/>
      <c r="F29" s="1740" t="s">
        <v>1940</v>
      </c>
      <c r="G29" s="1744" t="s">
        <v>2290</v>
      </c>
      <c r="H29" s="1905">
        <v>42916</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0"/>
  <sheetViews>
    <sheetView topLeftCell="A806" workbookViewId="0">
      <selection activeCell="K828" sqref="K828"/>
    </sheetView>
  </sheetViews>
  <sheetFormatPr defaultColWidth="9" defaultRowHeight="15"/>
  <cols>
    <col min="1" max="1" width="9" style="3109"/>
    <col min="2" max="2" width="9" style="3112"/>
    <col min="3" max="3" width="9" style="3111"/>
    <col min="4" max="5" width="9" style="3109"/>
    <col min="6" max="6" width="9" style="3111"/>
    <col min="7" max="7" width="9" style="3109"/>
    <col min="8" max="8" width="10.75" style="3110" customWidth="1"/>
    <col min="9" max="9" width="10.25" style="3110" customWidth="1"/>
    <col min="10" max="11" width="9" style="3110"/>
    <col min="12" max="16384" width="9" style="3109"/>
  </cols>
  <sheetData>
    <row r="1" spans="1:11">
      <c r="A1" s="3263" t="s">
        <v>5104</v>
      </c>
      <c r="B1" s="3264"/>
      <c r="C1" s="3264"/>
      <c r="D1" s="3263"/>
      <c r="H1" s="3264" t="s">
        <v>5103</v>
      </c>
      <c r="I1" s="3264"/>
      <c r="J1" s="3264"/>
      <c r="K1" s="3264"/>
    </row>
    <row r="2" spans="1:11">
      <c r="A2" s="3263"/>
      <c r="B2" s="3264"/>
      <c r="C2" s="3264"/>
      <c r="D2" s="3263"/>
      <c r="H2" s="3264"/>
      <c r="I2" s="3264"/>
      <c r="J2" s="3264"/>
      <c r="K2" s="3264"/>
    </row>
    <row r="3" spans="1:11">
      <c r="A3" s="3113" t="s">
        <v>218</v>
      </c>
      <c r="B3" s="3120" t="s">
        <v>5102</v>
      </c>
      <c r="C3" s="3121" t="s">
        <v>5101</v>
      </c>
      <c r="D3" s="3113" t="s">
        <v>5100</v>
      </c>
      <c r="H3" s="3118" t="s">
        <v>218</v>
      </c>
      <c r="I3" s="3120" t="s">
        <v>5102</v>
      </c>
      <c r="J3" s="3119" t="s">
        <v>5101</v>
      </c>
      <c r="K3" s="3118" t="s">
        <v>5100</v>
      </c>
    </row>
    <row r="4" spans="1:11">
      <c r="A4" s="3113">
        <v>1</v>
      </c>
      <c r="B4" s="3115" t="s">
        <v>5099</v>
      </c>
      <c r="C4" s="3114">
        <v>111.02</v>
      </c>
      <c r="D4" s="3113" t="s">
        <v>2911</v>
      </c>
      <c r="H4" s="3118">
        <v>1</v>
      </c>
      <c r="I4" s="3115" t="s">
        <v>5098</v>
      </c>
      <c r="J4" s="3114">
        <v>88.29</v>
      </c>
      <c r="K4" s="3118" t="s">
        <v>3463</v>
      </c>
    </row>
    <row r="5" spans="1:11">
      <c r="A5" s="3113">
        <v>2</v>
      </c>
      <c r="B5" s="3115" t="s">
        <v>5097</v>
      </c>
      <c r="C5" s="3114">
        <v>111.02</v>
      </c>
      <c r="D5" s="3113" t="s">
        <v>2911</v>
      </c>
      <c r="H5" s="3118">
        <v>2</v>
      </c>
      <c r="I5" s="3115" t="s">
        <v>5096</v>
      </c>
      <c r="J5" s="3114">
        <v>88.29</v>
      </c>
      <c r="K5" s="3118" t="s">
        <v>3463</v>
      </c>
    </row>
    <row r="6" spans="1:11">
      <c r="A6" s="3113">
        <v>3</v>
      </c>
      <c r="B6" s="3115" t="s">
        <v>5095</v>
      </c>
      <c r="C6" s="3114">
        <v>111.02</v>
      </c>
      <c r="D6" s="3113" t="s">
        <v>2911</v>
      </c>
      <c r="H6" s="3118">
        <v>3</v>
      </c>
      <c r="I6" s="3115" t="s">
        <v>5094</v>
      </c>
      <c r="J6" s="3114">
        <v>97.07</v>
      </c>
      <c r="K6" s="3118" t="s">
        <v>3463</v>
      </c>
    </row>
    <row r="7" spans="1:11">
      <c r="A7" s="3113">
        <v>4</v>
      </c>
      <c r="B7" s="3115" t="s">
        <v>5093</v>
      </c>
      <c r="C7" s="3114">
        <v>111.02</v>
      </c>
      <c r="D7" s="3113" t="s">
        <v>2911</v>
      </c>
      <c r="H7" s="3118">
        <v>4</v>
      </c>
      <c r="I7" s="3115" t="s">
        <v>5092</v>
      </c>
      <c r="J7" s="3114">
        <v>103.43</v>
      </c>
      <c r="K7" s="3118" t="s">
        <v>3463</v>
      </c>
    </row>
    <row r="8" spans="1:11">
      <c r="A8" s="3113">
        <v>5</v>
      </c>
      <c r="B8" s="3115" t="s">
        <v>5091</v>
      </c>
      <c r="C8" s="3114">
        <v>111.02</v>
      </c>
      <c r="D8" s="3113" t="s">
        <v>2911</v>
      </c>
      <c r="H8" s="3118">
        <v>5</v>
      </c>
      <c r="I8" s="3115" t="s">
        <v>5090</v>
      </c>
      <c r="J8" s="3114">
        <v>58.21</v>
      </c>
      <c r="K8" s="3118" t="s">
        <v>3463</v>
      </c>
    </row>
    <row r="9" spans="1:11">
      <c r="A9" s="3113">
        <v>6</v>
      </c>
      <c r="B9" s="3115" t="s">
        <v>5089</v>
      </c>
      <c r="C9" s="3114">
        <v>111.02</v>
      </c>
      <c r="D9" s="3113" t="s">
        <v>2911</v>
      </c>
      <c r="H9" s="3118">
        <v>6</v>
      </c>
      <c r="I9" s="3115" t="s">
        <v>5088</v>
      </c>
      <c r="J9" s="3114">
        <v>88.31</v>
      </c>
      <c r="K9" s="3118" t="s">
        <v>3463</v>
      </c>
    </row>
    <row r="10" spans="1:11">
      <c r="A10" s="3113">
        <v>7</v>
      </c>
      <c r="B10" s="3115" t="s">
        <v>5087</v>
      </c>
      <c r="C10" s="3114">
        <v>111.02</v>
      </c>
      <c r="D10" s="3113" t="s">
        <v>2911</v>
      </c>
      <c r="H10" s="3118">
        <v>7</v>
      </c>
      <c r="I10" s="3115" t="s">
        <v>5086</v>
      </c>
      <c r="J10" s="3114">
        <v>109.77</v>
      </c>
      <c r="K10" s="3118" t="s">
        <v>3463</v>
      </c>
    </row>
    <row r="11" spans="1:11">
      <c r="A11" s="3113">
        <v>8</v>
      </c>
      <c r="B11" s="3115" t="s">
        <v>5085</v>
      </c>
      <c r="C11" s="3114">
        <v>111.02</v>
      </c>
      <c r="D11" s="3113" t="s">
        <v>2911</v>
      </c>
      <c r="H11" s="3118">
        <v>8</v>
      </c>
      <c r="I11" s="3115" t="s">
        <v>5084</v>
      </c>
      <c r="J11" s="3114">
        <v>109.77</v>
      </c>
      <c r="K11" s="3118" t="s">
        <v>3463</v>
      </c>
    </row>
    <row r="12" spans="1:11">
      <c r="A12" s="3113">
        <v>9</v>
      </c>
      <c r="B12" s="3115" t="s">
        <v>5083</v>
      </c>
      <c r="C12" s="3114">
        <v>111.02</v>
      </c>
      <c r="D12" s="3113" t="s">
        <v>2911</v>
      </c>
      <c r="H12" s="3118">
        <v>9</v>
      </c>
      <c r="I12" s="3115" t="s">
        <v>5082</v>
      </c>
      <c r="J12" s="3114">
        <v>109.77</v>
      </c>
      <c r="K12" s="3118" t="s">
        <v>3463</v>
      </c>
    </row>
    <row r="13" spans="1:11">
      <c r="A13" s="3113">
        <v>10</v>
      </c>
      <c r="B13" s="3115" t="s">
        <v>5081</v>
      </c>
      <c r="C13" s="3114">
        <v>111.02</v>
      </c>
      <c r="D13" s="3113" t="s">
        <v>2911</v>
      </c>
      <c r="H13" s="3118">
        <v>10</v>
      </c>
      <c r="I13" s="3115" t="s">
        <v>5080</v>
      </c>
      <c r="J13" s="3114">
        <v>109.77</v>
      </c>
      <c r="K13" s="3118" t="s">
        <v>3463</v>
      </c>
    </row>
    <row r="14" spans="1:11">
      <c r="A14" s="3113">
        <v>11</v>
      </c>
      <c r="B14" s="3115" t="s">
        <v>5079</v>
      </c>
      <c r="C14" s="3114">
        <v>111.02</v>
      </c>
      <c r="D14" s="3113" t="s">
        <v>2911</v>
      </c>
      <c r="H14" s="3118">
        <v>11</v>
      </c>
      <c r="I14" s="3115" t="s">
        <v>5078</v>
      </c>
      <c r="J14" s="3114">
        <v>109.77</v>
      </c>
      <c r="K14" s="3118" t="s">
        <v>3463</v>
      </c>
    </row>
    <row r="15" spans="1:11">
      <c r="A15" s="3113">
        <v>12</v>
      </c>
      <c r="B15" s="3115" t="s">
        <v>5077</v>
      </c>
      <c r="C15" s="3114">
        <v>111.02</v>
      </c>
      <c r="D15" s="3113" t="s">
        <v>2911</v>
      </c>
      <c r="H15" s="3118">
        <v>12</v>
      </c>
      <c r="I15" s="3115" t="s">
        <v>5076</v>
      </c>
      <c r="J15" s="3114">
        <v>109.77</v>
      </c>
      <c r="K15" s="3118" t="s">
        <v>3463</v>
      </c>
    </row>
    <row r="16" spans="1:11">
      <c r="A16" s="3113">
        <v>13</v>
      </c>
      <c r="B16" s="3115" t="s">
        <v>5075</v>
      </c>
      <c r="C16" s="3114">
        <v>111.02</v>
      </c>
      <c r="D16" s="3113" t="s">
        <v>2911</v>
      </c>
      <c r="H16" s="3118">
        <v>13</v>
      </c>
      <c r="I16" s="3115" t="s">
        <v>5074</v>
      </c>
      <c r="J16" s="3114">
        <v>109.77</v>
      </c>
      <c r="K16" s="3118" t="s">
        <v>3463</v>
      </c>
    </row>
    <row r="17" spans="1:11">
      <c r="A17" s="3113">
        <v>14</v>
      </c>
      <c r="B17" s="3115" t="s">
        <v>5073</v>
      </c>
      <c r="C17" s="3114">
        <v>111.02</v>
      </c>
      <c r="D17" s="3113" t="s">
        <v>2911</v>
      </c>
      <c r="H17" s="3118">
        <v>14</v>
      </c>
      <c r="I17" s="3115" t="s">
        <v>5072</v>
      </c>
      <c r="J17" s="3114">
        <v>109.77</v>
      </c>
      <c r="K17" s="3118" t="s">
        <v>3463</v>
      </c>
    </row>
    <row r="18" spans="1:11">
      <c r="A18" s="3113">
        <v>15</v>
      </c>
      <c r="B18" s="3115" t="s">
        <v>5071</v>
      </c>
      <c r="C18" s="3114">
        <v>111.02</v>
      </c>
      <c r="D18" s="3113" t="s">
        <v>2911</v>
      </c>
      <c r="H18" s="3118">
        <v>15</v>
      </c>
      <c r="I18" s="3115" t="s">
        <v>5070</v>
      </c>
      <c r="J18" s="3114">
        <v>109.77</v>
      </c>
      <c r="K18" s="3118" t="s">
        <v>3463</v>
      </c>
    </row>
    <row r="19" spans="1:11">
      <c r="A19" s="3113">
        <v>16</v>
      </c>
      <c r="B19" s="3115" t="s">
        <v>5069</v>
      </c>
      <c r="C19" s="3114">
        <v>111.02</v>
      </c>
      <c r="D19" s="3113" t="s">
        <v>2911</v>
      </c>
      <c r="H19" s="3118">
        <v>16</v>
      </c>
      <c r="I19" s="3115" t="s">
        <v>5068</v>
      </c>
      <c r="J19" s="3114">
        <v>109.77</v>
      </c>
      <c r="K19" s="3118" t="s">
        <v>3463</v>
      </c>
    </row>
    <row r="20" spans="1:11">
      <c r="A20" s="3113">
        <v>17</v>
      </c>
      <c r="B20" s="3115" t="s">
        <v>5067</v>
      </c>
      <c r="C20" s="3114">
        <v>111.02</v>
      </c>
      <c r="D20" s="3113" t="s">
        <v>2911</v>
      </c>
      <c r="H20" s="3118">
        <v>17</v>
      </c>
      <c r="I20" s="3115" t="s">
        <v>5066</v>
      </c>
      <c r="J20" s="3114">
        <v>109.77</v>
      </c>
      <c r="K20" s="3118" t="s">
        <v>3463</v>
      </c>
    </row>
    <row r="21" spans="1:11">
      <c r="A21" s="3113">
        <v>18</v>
      </c>
      <c r="B21" s="3115" t="s">
        <v>5065</v>
      </c>
      <c r="C21" s="3114">
        <v>111.02</v>
      </c>
      <c r="D21" s="3113" t="s">
        <v>2911</v>
      </c>
      <c r="H21" s="3118">
        <v>18</v>
      </c>
      <c r="I21" s="3115" t="s">
        <v>5064</v>
      </c>
      <c r="J21" s="3114">
        <v>109.77</v>
      </c>
      <c r="K21" s="3118" t="s">
        <v>3463</v>
      </c>
    </row>
    <row r="22" spans="1:11">
      <c r="A22" s="3113">
        <v>19</v>
      </c>
      <c r="B22" s="3115" t="s">
        <v>5063</v>
      </c>
      <c r="C22" s="3114">
        <v>111.02</v>
      </c>
      <c r="D22" s="3113" t="s">
        <v>2911</v>
      </c>
      <c r="H22" s="3118">
        <v>19</v>
      </c>
      <c r="I22" s="3115" t="s">
        <v>5062</v>
      </c>
      <c r="J22" s="3114">
        <v>110.15</v>
      </c>
      <c r="K22" s="3118" t="s">
        <v>3463</v>
      </c>
    </row>
    <row r="23" spans="1:11">
      <c r="A23" s="3113">
        <v>20</v>
      </c>
      <c r="B23" s="3115" t="s">
        <v>5061</v>
      </c>
      <c r="C23" s="3114">
        <v>111.02</v>
      </c>
      <c r="D23" s="3113" t="s">
        <v>2911</v>
      </c>
      <c r="H23" s="3118">
        <v>20</v>
      </c>
      <c r="I23" s="3115" t="s">
        <v>5060</v>
      </c>
      <c r="J23" s="3114">
        <v>110.15</v>
      </c>
      <c r="K23" s="3118" t="s">
        <v>3463</v>
      </c>
    </row>
    <row r="24" spans="1:11">
      <c r="A24" s="3113">
        <v>21</v>
      </c>
      <c r="B24" s="3115" t="s">
        <v>5059</v>
      </c>
      <c r="C24" s="3114">
        <v>111.02</v>
      </c>
      <c r="D24" s="3113" t="s">
        <v>2911</v>
      </c>
      <c r="H24" s="3118">
        <v>21</v>
      </c>
      <c r="I24" s="3115" t="s">
        <v>5058</v>
      </c>
      <c r="J24" s="3114">
        <v>110.15</v>
      </c>
      <c r="K24" s="3118" t="s">
        <v>3463</v>
      </c>
    </row>
    <row r="25" spans="1:11">
      <c r="A25" s="3113">
        <v>22</v>
      </c>
      <c r="B25" s="3115" t="s">
        <v>5057</v>
      </c>
      <c r="C25" s="3114">
        <v>111.02</v>
      </c>
      <c r="D25" s="3113" t="s">
        <v>2911</v>
      </c>
      <c r="H25" s="3118">
        <v>22</v>
      </c>
      <c r="I25" s="3115" t="s">
        <v>5056</v>
      </c>
      <c r="J25" s="3114">
        <v>110.15</v>
      </c>
      <c r="K25" s="3118" t="s">
        <v>3463</v>
      </c>
    </row>
    <row r="26" spans="1:11">
      <c r="A26" s="3113">
        <v>23</v>
      </c>
      <c r="B26" s="3115" t="s">
        <v>5055</v>
      </c>
      <c r="C26" s="3114">
        <v>111.02</v>
      </c>
      <c r="D26" s="3113" t="s">
        <v>2911</v>
      </c>
      <c r="H26" s="3118">
        <v>23</v>
      </c>
      <c r="I26" s="3115" t="s">
        <v>5054</v>
      </c>
      <c r="J26" s="3114">
        <v>110.15</v>
      </c>
      <c r="K26" s="3118" t="s">
        <v>3463</v>
      </c>
    </row>
    <row r="27" spans="1:11">
      <c r="A27" s="3113">
        <v>24</v>
      </c>
      <c r="B27" s="3115" t="s">
        <v>5053</v>
      </c>
      <c r="C27" s="3114">
        <v>111.02</v>
      </c>
      <c r="D27" s="3113" t="s">
        <v>2911</v>
      </c>
      <c r="H27" s="3118">
        <v>24</v>
      </c>
      <c r="I27" s="3115" t="s">
        <v>5052</v>
      </c>
      <c r="J27" s="3114">
        <v>110.15</v>
      </c>
      <c r="K27" s="3118" t="s">
        <v>3463</v>
      </c>
    </row>
    <row r="28" spans="1:11">
      <c r="A28" s="3113">
        <v>25</v>
      </c>
      <c r="B28" s="3115" t="s">
        <v>5051</v>
      </c>
      <c r="C28" s="3114">
        <v>111.02</v>
      </c>
      <c r="D28" s="3113" t="s">
        <v>2911</v>
      </c>
      <c r="H28" s="3118">
        <v>25</v>
      </c>
      <c r="I28" s="3115" t="s">
        <v>5050</v>
      </c>
      <c r="J28" s="3114">
        <v>110.15</v>
      </c>
      <c r="K28" s="3118" t="s">
        <v>3463</v>
      </c>
    </row>
    <row r="29" spans="1:11">
      <c r="A29" s="3113">
        <v>26</v>
      </c>
      <c r="B29" s="3115" t="s">
        <v>5049</v>
      </c>
      <c r="C29" s="3114">
        <v>111.02</v>
      </c>
      <c r="D29" s="3113" t="s">
        <v>2911</v>
      </c>
      <c r="H29" s="3118">
        <v>26</v>
      </c>
      <c r="I29" s="3115" t="s">
        <v>5048</v>
      </c>
      <c r="J29" s="3114">
        <v>110.15</v>
      </c>
      <c r="K29" s="3118" t="s">
        <v>3463</v>
      </c>
    </row>
    <row r="30" spans="1:11">
      <c r="A30" s="3113">
        <v>27</v>
      </c>
      <c r="B30" s="3115" t="s">
        <v>5047</v>
      </c>
      <c r="C30" s="3114">
        <v>97.07</v>
      </c>
      <c r="D30" s="3113" t="s">
        <v>2911</v>
      </c>
      <c r="H30" s="3118">
        <v>27</v>
      </c>
      <c r="I30" s="3115" t="s">
        <v>5046</v>
      </c>
      <c r="J30" s="3114">
        <v>110.15</v>
      </c>
      <c r="K30" s="3118" t="s">
        <v>3463</v>
      </c>
    </row>
    <row r="31" spans="1:11">
      <c r="A31" s="3113">
        <v>28</v>
      </c>
      <c r="B31" s="3115" t="s">
        <v>5045</v>
      </c>
      <c r="C31" s="3114">
        <v>88.29</v>
      </c>
      <c r="D31" s="3113" t="s">
        <v>2911</v>
      </c>
      <c r="H31" s="3118">
        <v>28</v>
      </c>
      <c r="I31" s="3115" t="s">
        <v>5044</v>
      </c>
      <c r="J31" s="3114">
        <v>110.15</v>
      </c>
      <c r="K31" s="3118" t="s">
        <v>3463</v>
      </c>
    </row>
    <row r="32" spans="1:11">
      <c r="A32" s="3113">
        <v>29</v>
      </c>
      <c r="B32" s="3115" t="s">
        <v>5043</v>
      </c>
      <c r="C32" s="3114">
        <v>88.29</v>
      </c>
      <c r="D32" s="3113" t="s">
        <v>2911</v>
      </c>
      <c r="H32" s="3118">
        <v>29</v>
      </c>
      <c r="I32" s="3115" t="s">
        <v>5042</v>
      </c>
      <c r="J32" s="3114">
        <v>110.15</v>
      </c>
      <c r="K32" s="3118" t="s">
        <v>3463</v>
      </c>
    </row>
    <row r="33" spans="1:11">
      <c r="A33" s="3113">
        <v>30</v>
      </c>
      <c r="B33" s="3115" t="s">
        <v>5041</v>
      </c>
      <c r="C33" s="3114">
        <v>88.29</v>
      </c>
      <c r="D33" s="3113" t="s">
        <v>2911</v>
      </c>
      <c r="H33" s="3118">
        <v>30</v>
      </c>
      <c r="I33" s="3115" t="s">
        <v>5040</v>
      </c>
      <c r="J33" s="3114">
        <v>110.15</v>
      </c>
      <c r="K33" s="3118" t="s">
        <v>3463</v>
      </c>
    </row>
    <row r="34" spans="1:11">
      <c r="A34" s="3113">
        <v>31</v>
      </c>
      <c r="B34" s="3115" t="s">
        <v>5039</v>
      </c>
      <c r="C34" s="3114">
        <v>88.29</v>
      </c>
      <c r="D34" s="3113" t="s">
        <v>2911</v>
      </c>
      <c r="H34" s="3118">
        <v>31</v>
      </c>
      <c r="I34" s="3115" t="s">
        <v>5038</v>
      </c>
      <c r="J34" s="3114">
        <v>110.15</v>
      </c>
      <c r="K34" s="3118" t="s">
        <v>3463</v>
      </c>
    </row>
    <row r="35" spans="1:11">
      <c r="A35" s="3113">
        <v>32</v>
      </c>
      <c r="B35" s="3115" t="s">
        <v>5037</v>
      </c>
      <c r="C35" s="3114">
        <v>88.29</v>
      </c>
      <c r="D35" s="3113" t="s">
        <v>2911</v>
      </c>
      <c r="H35" s="3118">
        <v>32</v>
      </c>
      <c r="I35" s="3115" t="s">
        <v>5036</v>
      </c>
      <c r="J35" s="3114">
        <v>110.15</v>
      </c>
      <c r="K35" s="3118" t="s">
        <v>3463</v>
      </c>
    </row>
    <row r="36" spans="1:11">
      <c r="A36" s="3113">
        <v>33</v>
      </c>
      <c r="B36" s="3115" t="s">
        <v>5035</v>
      </c>
      <c r="C36" s="3114">
        <v>88.29</v>
      </c>
      <c r="D36" s="3113" t="s">
        <v>2911</v>
      </c>
      <c r="H36" s="3118">
        <v>33</v>
      </c>
      <c r="I36" s="3115" t="s">
        <v>5034</v>
      </c>
      <c r="J36" s="3114">
        <v>110.15</v>
      </c>
      <c r="K36" s="3118" t="s">
        <v>3463</v>
      </c>
    </row>
    <row r="37" spans="1:11">
      <c r="A37" s="3113">
        <v>34</v>
      </c>
      <c r="B37" s="3115" t="s">
        <v>5033</v>
      </c>
      <c r="C37" s="3114">
        <v>88.29</v>
      </c>
      <c r="D37" s="3113" t="s">
        <v>2911</v>
      </c>
      <c r="H37" s="3118">
        <v>34</v>
      </c>
      <c r="I37" s="3115" t="s">
        <v>5032</v>
      </c>
      <c r="J37" s="3114">
        <v>96.21</v>
      </c>
      <c r="K37" s="3118" t="s">
        <v>3463</v>
      </c>
    </row>
    <row r="38" spans="1:11">
      <c r="A38" s="3113">
        <v>35</v>
      </c>
      <c r="B38" s="3115" t="s">
        <v>5031</v>
      </c>
      <c r="C38" s="3114">
        <v>88.29</v>
      </c>
      <c r="D38" s="3113" t="s">
        <v>2911</v>
      </c>
      <c r="H38" s="3118">
        <v>35</v>
      </c>
      <c r="I38" s="3115" t="s">
        <v>5030</v>
      </c>
      <c r="J38" s="3114">
        <v>87.85</v>
      </c>
      <c r="K38" s="3118" t="s">
        <v>3463</v>
      </c>
    </row>
    <row r="39" spans="1:11">
      <c r="A39" s="3113">
        <v>36</v>
      </c>
      <c r="B39" s="3115" t="s">
        <v>5029</v>
      </c>
      <c r="C39" s="3114">
        <v>88.29</v>
      </c>
      <c r="D39" s="3113" t="s">
        <v>2911</v>
      </c>
      <c r="H39" s="3118">
        <v>36</v>
      </c>
      <c r="I39" s="3115" t="s">
        <v>5028</v>
      </c>
      <c r="J39" s="3114">
        <v>87.85</v>
      </c>
      <c r="K39" s="3118" t="s">
        <v>3463</v>
      </c>
    </row>
    <row r="40" spans="1:11">
      <c r="A40" s="3113">
        <v>37</v>
      </c>
      <c r="B40" s="3115" t="s">
        <v>5027</v>
      </c>
      <c r="C40" s="3114">
        <v>88.29</v>
      </c>
      <c r="D40" s="3113" t="s">
        <v>2911</v>
      </c>
      <c r="H40" s="3118">
        <v>37</v>
      </c>
      <c r="I40" s="3115" t="s">
        <v>5026</v>
      </c>
      <c r="J40" s="3114">
        <v>87.85</v>
      </c>
      <c r="K40" s="3118" t="s">
        <v>3463</v>
      </c>
    </row>
    <row r="41" spans="1:11">
      <c r="A41" s="3113">
        <v>38</v>
      </c>
      <c r="B41" s="3115" t="s">
        <v>5025</v>
      </c>
      <c r="C41" s="3114">
        <v>88.29</v>
      </c>
      <c r="D41" s="3113" t="s">
        <v>2911</v>
      </c>
      <c r="H41" s="3118">
        <v>38</v>
      </c>
      <c r="I41" s="3115" t="s">
        <v>5024</v>
      </c>
      <c r="J41" s="3114">
        <v>87.85</v>
      </c>
      <c r="K41" s="3118" t="s">
        <v>3463</v>
      </c>
    </row>
    <row r="42" spans="1:11">
      <c r="A42" s="3113">
        <v>39</v>
      </c>
      <c r="B42" s="3115" t="s">
        <v>5023</v>
      </c>
      <c r="C42" s="3114">
        <v>88.29</v>
      </c>
      <c r="D42" s="3113" t="s">
        <v>2911</v>
      </c>
      <c r="H42" s="3118">
        <v>39</v>
      </c>
      <c r="I42" s="3115" t="s">
        <v>5022</v>
      </c>
      <c r="J42" s="3114">
        <v>87.85</v>
      </c>
      <c r="K42" s="3118" t="s">
        <v>3463</v>
      </c>
    </row>
    <row r="43" spans="1:11">
      <c r="A43" s="3113">
        <v>40</v>
      </c>
      <c r="B43" s="3115" t="s">
        <v>5021</v>
      </c>
      <c r="C43" s="3114">
        <v>88.29</v>
      </c>
      <c r="D43" s="3113" t="s">
        <v>2911</v>
      </c>
      <c r="H43" s="3118">
        <v>40</v>
      </c>
      <c r="I43" s="3115" t="s">
        <v>5020</v>
      </c>
      <c r="J43" s="3114">
        <v>87.85</v>
      </c>
      <c r="K43" s="3118" t="s">
        <v>3463</v>
      </c>
    </row>
    <row r="44" spans="1:11">
      <c r="A44" s="3113">
        <v>41</v>
      </c>
      <c r="B44" s="3115" t="s">
        <v>5019</v>
      </c>
      <c r="C44" s="3114">
        <v>88.29</v>
      </c>
      <c r="D44" s="3113" t="s">
        <v>2911</v>
      </c>
      <c r="H44" s="3118">
        <v>41</v>
      </c>
      <c r="I44" s="3115" t="s">
        <v>5018</v>
      </c>
      <c r="J44" s="3114">
        <v>87.85</v>
      </c>
      <c r="K44" s="3118" t="s">
        <v>3463</v>
      </c>
    </row>
    <row r="45" spans="1:11">
      <c r="A45" s="3113">
        <v>42</v>
      </c>
      <c r="B45" s="3115" t="s">
        <v>5017</v>
      </c>
      <c r="C45" s="3114">
        <v>88.29</v>
      </c>
      <c r="D45" s="3113" t="s">
        <v>2911</v>
      </c>
      <c r="H45" s="3118">
        <v>42</v>
      </c>
      <c r="I45" s="3115" t="s">
        <v>5016</v>
      </c>
      <c r="J45" s="3114">
        <v>87.85</v>
      </c>
      <c r="K45" s="3118" t="s">
        <v>3463</v>
      </c>
    </row>
    <row r="46" spans="1:11">
      <c r="A46" s="3113">
        <v>43</v>
      </c>
      <c r="B46" s="3115" t="s">
        <v>5015</v>
      </c>
      <c r="C46" s="3114">
        <v>88.29</v>
      </c>
      <c r="D46" s="3113" t="s">
        <v>2911</v>
      </c>
      <c r="H46" s="3118">
        <v>43</v>
      </c>
      <c r="I46" s="3115" t="s">
        <v>5014</v>
      </c>
      <c r="J46" s="3114">
        <v>87.85</v>
      </c>
      <c r="K46" s="3118" t="s">
        <v>3463</v>
      </c>
    </row>
    <row r="47" spans="1:11">
      <c r="A47" s="3113">
        <v>44</v>
      </c>
      <c r="B47" s="3115" t="s">
        <v>5013</v>
      </c>
      <c r="C47" s="3114">
        <v>88.29</v>
      </c>
      <c r="D47" s="3113" t="s">
        <v>2911</v>
      </c>
      <c r="H47" s="3118">
        <v>44</v>
      </c>
      <c r="I47" s="3115" t="s">
        <v>5012</v>
      </c>
      <c r="J47" s="3114">
        <v>87.85</v>
      </c>
      <c r="K47" s="3118" t="s">
        <v>3463</v>
      </c>
    </row>
    <row r="48" spans="1:11">
      <c r="A48" s="3113">
        <v>45</v>
      </c>
      <c r="B48" s="3115" t="s">
        <v>5011</v>
      </c>
      <c r="C48" s="3114">
        <v>88.29</v>
      </c>
      <c r="D48" s="3113" t="s">
        <v>2911</v>
      </c>
      <c r="H48" s="3118">
        <v>45</v>
      </c>
      <c r="I48" s="3115" t="s">
        <v>5010</v>
      </c>
      <c r="J48" s="3114">
        <v>87.85</v>
      </c>
      <c r="K48" s="3118" t="s">
        <v>3463</v>
      </c>
    </row>
    <row r="49" spans="1:11">
      <c r="A49" s="3113">
        <v>46</v>
      </c>
      <c r="B49" s="3115" t="s">
        <v>5009</v>
      </c>
      <c r="C49" s="3114">
        <v>88.29</v>
      </c>
      <c r="D49" s="3113" t="s">
        <v>2911</v>
      </c>
      <c r="H49" s="3118">
        <v>46</v>
      </c>
      <c r="I49" s="3115" t="s">
        <v>5008</v>
      </c>
      <c r="J49" s="3114">
        <v>87.85</v>
      </c>
      <c r="K49" s="3118" t="s">
        <v>3463</v>
      </c>
    </row>
    <row r="50" spans="1:11">
      <c r="A50" s="3113">
        <v>47</v>
      </c>
      <c r="B50" s="3115" t="s">
        <v>5007</v>
      </c>
      <c r="C50" s="3114">
        <v>88.29</v>
      </c>
      <c r="D50" s="3113" t="s">
        <v>2911</v>
      </c>
      <c r="H50" s="3118">
        <v>47</v>
      </c>
      <c r="I50" s="3115" t="s">
        <v>5006</v>
      </c>
      <c r="J50" s="3114">
        <v>87.85</v>
      </c>
      <c r="K50" s="3118" t="s">
        <v>3463</v>
      </c>
    </row>
    <row r="51" spans="1:11">
      <c r="A51" s="3113">
        <v>48</v>
      </c>
      <c r="B51" s="3115" t="s">
        <v>5005</v>
      </c>
      <c r="C51" s="3114">
        <v>88.29</v>
      </c>
      <c r="D51" s="3113" t="s">
        <v>2911</v>
      </c>
      <c r="H51" s="3118">
        <v>48</v>
      </c>
      <c r="I51" s="3115" t="s">
        <v>5004</v>
      </c>
      <c r="J51" s="3114">
        <v>87.85</v>
      </c>
      <c r="K51" s="3118" t="s">
        <v>3463</v>
      </c>
    </row>
    <row r="52" spans="1:11">
      <c r="A52" s="3113">
        <v>49</v>
      </c>
      <c r="B52" s="3115" t="s">
        <v>5003</v>
      </c>
      <c r="C52" s="3114">
        <v>88.29</v>
      </c>
      <c r="D52" s="3113" t="s">
        <v>2911</v>
      </c>
      <c r="H52" s="3118">
        <v>49</v>
      </c>
      <c r="I52" s="3115" t="s">
        <v>5002</v>
      </c>
      <c r="J52" s="3114">
        <v>87.85</v>
      </c>
      <c r="K52" s="3118" t="s">
        <v>3463</v>
      </c>
    </row>
    <row r="53" spans="1:11">
      <c r="A53" s="3113">
        <v>50</v>
      </c>
      <c r="B53" s="3115" t="s">
        <v>5001</v>
      </c>
      <c r="C53" s="3114">
        <v>88.29</v>
      </c>
      <c r="D53" s="3113" t="s">
        <v>2911</v>
      </c>
      <c r="H53" s="3118">
        <v>50</v>
      </c>
      <c r="I53" s="3115" t="s">
        <v>5000</v>
      </c>
      <c r="J53" s="3114">
        <v>88.05</v>
      </c>
      <c r="K53" s="3118" t="s">
        <v>3463</v>
      </c>
    </row>
    <row r="54" spans="1:11">
      <c r="A54" s="3113">
        <v>51</v>
      </c>
      <c r="B54" s="3115" t="s">
        <v>4999</v>
      </c>
      <c r="C54" s="3114">
        <v>88.29</v>
      </c>
      <c r="D54" s="3113" t="s">
        <v>2911</v>
      </c>
      <c r="H54" s="3118">
        <v>51</v>
      </c>
      <c r="I54" s="3115" t="s">
        <v>4998</v>
      </c>
      <c r="J54" s="3114">
        <v>108.29</v>
      </c>
      <c r="K54" s="3118" t="s">
        <v>3463</v>
      </c>
    </row>
    <row r="55" spans="1:11">
      <c r="A55" s="3113">
        <v>52</v>
      </c>
      <c r="B55" s="3115" t="s">
        <v>4997</v>
      </c>
      <c r="C55" s="3114">
        <v>86.76</v>
      </c>
      <c r="D55" s="3113" t="s">
        <v>2911</v>
      </c>
      <c r="H55" s="3118">
        <v>52</v>
      </c>
      <c r="I55" s="3115" t="s">
        <v>4996</v>
      </c>
      <c r="J55" s="3114">
        <v>108.29</v>
      </c>
      <c r="K55" s="3118" t="s">
        <v>3463</v>
      </c>
    </row>
    <row r="56" spans="1:11">
      <c r="A56" s="3113">
        <v>53</v>
      </c>
      <c r="B56" s="3115" t="s">
        <v>4995</v>
      </c>
      <c r="C56" s="3114">
        <v>109.32</v>
      </c>
      <c r="D56" s="3113" t="s">
        <v>2911</v>
      </c>
      <c r="H56" s="3118">
        <v>53</v>
      </c>
      <c r="I56" s="3115" t="s">
        <v>4994</v>
      </c>
      <c r="J56" s="3114">
        <v>108.29</v>
      </c>
      <c r="K56" s="3118" t="s">
        <v>3463</v>
      </c>
    </row>
    <row r="57" spans="1:11">
      <c r="A57" s="3113">
        <v>54</v>
      </c>
      <c r="B57" s="3115" t="s">
        <v>4993</v>
      </c>
      <c r="C57" s="3114">
        <v>109.32</v>
      </c>
      <c r="D57" s="3113" t="s">
        <v>2911</v>
      </c>
      <c r="H57" s="3118">
        <v>54</v>
      </c>
      <c r="I57" s="3115" t="s">
        <v>4992</v>
      </c>
      <c r="J57" s="3114">
        <v>108.29</v>
      </c>
      <c r="K57" s="3118" t="s">
        <v>3463</v>
      </c>
    </row>
    <row r="58" spans="1:11">
      <c r="A58" s="3113">
        <v>55</v>
      </c>
      <c r="B58" s="3115" t="s">
        <v>4991</v>
      </c>
      <c r="C58" s="3114">
        <v>109.32</v>
      </c>
      <c r="D58" s="3113" t="s">
        <v>2911</v>
      </c>
      <c r="H58" s="3118">
        <v>55</v>
      </c>
      <c r="I58" s="3115" t="s">
        <v>4990</v>
      </c>
      <c r="J58" s="3114">
        <v>108.29</v>
      </c>
      <c r="K58" s="3118" t="s">
        <v>3463</v>
      </c>
    </row>
    <row r="59" spans="1:11">
      <c r="A59" s="3113">
        <v>56</v>
      </c>
      <c r="B59" s="3115" t="s">
        <v>4989</v>
      </c>
      <c r="C59" s="3114">
        <v>109.32</v>
      </c>
      <c r="D59" s="3113" t="s">
        <v>2911</v>
      </c>
      <c r="H59" s="3118">
        <v>56</v>
      </c>
      <c r="I59" s="3115" t="s">
        <v>4988</v>
      </c>
      <c r="J59" s="3114">
        <v>108.29</v>
      </c>
      <c r="K59" s="3118" t="s">
        <v>3463</v>
      </c>
    </row>
    <row r="60" spans="1:11">
      <c r="A60" s="3113">
        <v>57</v>
      </c>
      <c r="B60" s="3115" t="s">
        <v>4987</v>
      </c>
      <c r="C60" s="3114">
        <v>109.32</v>
      </c>
      <c r="D60" s="3113" t="s">
        <v>2911</v>
      </c>
      <c r="H60" s="3118">
        <v>57</v>
      </c>
      <c r="I60" s="3115" t="s">
        <v>4986</v>
      </c>
      <c r="J60" s="3114">
        <v>108.29</v>
      </c>
      <c r="K60" s="3118" t="s">
        <v>3463</v>
      </c>
    </row>
    <row r="61" spans="1:11">
      <c r="A61" s="3113">
        <v>58</v>
      </c>
      <c r="B61" s="3115" t="s">
        <v>4985</v>
      </c>
      <c r="C61" s="3114">
        <v>109.32</v>
      </c>
      <c r="D61" s="3113" t="s">
        <v>2911</v>
      </c>
      <c r="H61" s="3118">
        <v>58</v>
      </c>
      <c r="I61" s="3115" t="s">
        <v>4984</v>
      </c>
      <c r="J61" s="3114">
        <v>108.29</v>
      </c>
      <c r="K61" s="3118" t="s">
        <v>3463</v>
      </c>
    </row>
    <row r="62" spans="1:11">
      <c r="A62" s="3113">
        <v>59</v>
      </c>
      <c r="B62" s="3115" t="s">
        <v>4983</v>
      </c>
      <c r="C62" s="3114">
        <v>109.32</v>
      </c>
      <c r="D62" s="3113" t="s">
        <v>2911</v>
      </c>
      <c r="H62" s="3118">
        <v>59</v>
      </c>
      <c r="I62" s="3115" t="s">
        <v>4982</v>
      </c>
      <c r="J62" s="3114">
        <v>108.29</v>
      </c>
      <c r="K62" s="3118" t="s">
        <v>3463</v>
      </c>
    </row>
    <row r="63" spans="1:11">
      <c r="A63" s="3113">
        <v>60</v>
      </c>
      <c r="B63" s="3115" t="s">
        <v>4981</v>
      </c>
      <c r="C63" s="3114">
        <v>109.32</v>
      </c>
      <c r="D63" s="3113" t="s">
        <v>2911</v>
      </c>
      <c r="H63" s="3118">
        <v>60</v>
      </c>
      <c r="I63" s="3115" t="s">
        <v>4980</v>
      </c>
      <c r="J63" s="3114">
        <v>108.29</v>
      </c>
      <c r="K63" s="3118" t="s">
        <v>3463</v>
      </c>
    </row>
    <row r="64" spans="1:11">
      <c r="A64" s="3113">
        <v>61</v>
      </c>
      <c r="B64" s="3115" t="s">
        <v>4979</v>
      </c>
      <c r="C64" s="3114">
        <v>109.32</v>
      </c>
      <c r="D64" s="3113" t="s">
        <v>2911</v>
      </c>
      <c r="H64" s="3118">
        <v>61</v>
      </c>
      <c r="I64" s="3115" t="s">
        <v>4978</v>
      </c>
      <c r="J64" s="3114">
        <v>108.29</v>
      </c>
      <c r="K64" s="3118" t="s">
        <v>3463</v>
      </c>
    </row>
    <row r="65" spans="1:11">
      <c r="A65" s="3113">
        <v>62</v>
      </c>
      <c r="B65" s="3115" t="s">
        <v>4977</v>
      </c>
      <c r="C65" s="3114">
        <v>109.32</v>
      </c>
      <c r="D65" s="3113" t="s">
        <v>2911</v>
      </c>
      <c r="H65" s="3118">
        <v>62</v>
      </c>
      <c r="I65" s="3115" t="s">
        <v>4976</v>
      </c>
      <c r="J65" s="3114">
        <v>108.29</v>
      </c>
      <c r="K65" s="3118" t="s">
        <v>3463</v>
      </c>
    </row>
    <row r="66" spans="1:11">
      <c r="A66" s="3113">
        <v>63</v>
      </c>
      <c r="B66" s="3115" t="s">
        <v>4975</v>
      </c>
      <c r="C66" s="3114">
        <v>109.32</v>
      </c>
      <c r="D66" s="3113" t="s">
        <v>2911</v>
      </c>
      <c r="H66" s="3118">
        <v>63</v>
      </c>
      <c r="I66" s="3115" t="s">
        <v>4974</v>
      </c>
      <c r="J66" s="3114">
        <v>108.29</v>
      </c>
      <c r="K66" s="3118" t="s">
        <v>3463</v>
      </c>
    </row>
    <row r="67" spans="1:11">
      <c r="A67" s="3113">
        <v>64</v>
      </c>
      <c r="B67" s="3115" t="s">
        <v>4973</v>
      </c>
      <c r="C67" s="3114">
        <v>109.32</v>
      </c>
      <c r="D67" s="3113" t="s">
        <v>2911</v>
      </c>
      <c r="H67" s="3118">
        <v>64</v>
      </c>
      <c r="I67" s="3115" t="s">
        <v>4972</v>
      </c>
      <c r="J67" s="3114">
        <v>108.29</v>
      </c>
      <c r="K67" s="3118" t="s">
        <v>3463</v>
      </c>
    </row>
    <row r="68" spans="1:11">
      <c r="A68" s="3113">
        <v>65</v>
      </c>
      <c r="B68" s="3115" t="s">
        <v>4971</v>
      </c>
      <c r="C68" s="3114">
        <v>109.32</v>
      </c>
      <c r="D68" s="3113" t="s">
        <v>2911</v>
      </c>
      <c r="H68" s="3118">
        <v>65</v>
      </c>
      <c r="I68" s="3115" t="s">
        <v>4970</v>
      </c>
      <c r="J68" s="3114">
        <v>108.29</v>
      </c>
      <c r="K68" s="3118" t="s">
        <v>3463</v>
      </c>
    </row>
    <row r="69" spans="1:11">
      <c r="A69" s="3113">
        <v>66</v>
      </c>
      <c r="B69" s="3115" t="s">
        <v>4969</v>
      </c>
      <c r="C69" s="3114">
        <v>109.32</v>
      </c>
      <c r="D69" s="3113" t="s">
        <v>2911</v>
      </c>
      <c r="H69" s="3118">
        <v>66</v>
      </c>
      <c r="I69" s="3115" t="s">
        <v>4968</v>
      </c>
      <c r="J69" s="3114">
        <v>93.99</v>
      </c>
      <c r="K69" s="3118" t="s">
        <v>3463</v>
      </c>
    </row>
    <row r="70" spans="1:11">
      <c r="A70" s="3113">
        <v>67</v>
      </c>
      <c r="B70" s="3115" t="s">
        <v>4967</v>
      </c>
      <c r="C70" s="3114">
        <v>109.32</v>
      </c>
      <c r="D70" s="3113" t="s">
        <v>2911</v>
      </c>
      <c r="H70" s="3118">
        <v>67</v>
      </c>
      <c r="I70" s="3115" t="s">
        <v>4966</v>
      </c>
      <c r="J70" s="3114">
        <v>108.28</v>
      </c>
      <c r="K70" s="3118" t="s">
        <v>3463</v>
      </c>
    </row>
    <row r="71" spans="1:11">
      <c r="A71" s="3113">
        <v>68</v>
      </c>
      <c r="B71" s="3115" t="s">
        <v>4965</v>
      </c>
      <c r="C71" s="3114">
        <v>109.32</v>
      </c>
      <c r="D71" s="3113" t="s">
        <v>2911</v>
      </c>
      <c r="H71" s="3118">
        <v>68</v>
      </c>
      <c r="I71" s="3115" t="s">
        <v>4964</v>
      </c>
      <c r="J71" s="3114">
        <v>108.28</v>
      </c>
      <c r="K71" s="3118" t="s">
        <v>3463</v>
      </c>
    </row>
    <row r="72" spans="1:11">
      <c r="A72" s="3113">
        <v>69</v>
      </c>
      <c r="B72" s="3115" t="s">
        <v>4963</v>
      </c>
      <c r="C72" s="3114">
        <v>109.32</v>
      </c>
      <c r="D72" s="3113" t="s">
        <v>2911</v>
      </c>
      <c r="H72" s="3118">
        <v>69</v>
      </c>
      <c r="I72" s="3115" t="s">
        <v>4962</v>
      </c>
      <c r="J72" s="3114">
        <v>108.28</v>
      </c>
      <c r="K72" s="3118" t="s">
        <v>3463</v>
      </c>
    </row>
    <row r="73" spans="1:11">
      <c r="A73" s="3113">
        <v>70</v>
      </c>
      <c r="B73" s="3115" t="s">
        <v>4961</v>
      </c>
      <c r="C73" s="3114">
        <v>109.32</v>
      </c>
      <c r="D73" s="3113" t="s">
        <v>2911</v>
      </c>
      <c r="H73" s="3118">
        <v>70</v>
      </c>
      <c r="I73" s="3115" t="s">
        <v>4960</v>
      </c>
      <c r="J73" s="3114">
        <v>108.28</v>
      </c>
      <c r="K73" s="3118" t="s">
        <v>3463</v>
      </c>
    </row>
    <row r="74" spans="1:11">
      <c r="A74" s="3113">
        <v>71</v>
      </c>
      <c r="B74" s="3115" t="s">
        <v>4959</v>
      </c>
      <c r="C74" s="3114">
        <v>109.32</v>
      </c>
      <c r="D74" s="3113" t="s">
        <v>2911</v>
      </c>
      <c r="H74" s="3118">
        <v>71</v>
      </c>
      <c r="I74" s="3115" t="s">
        <v>4958</v>
      </c>
      <c r="J74" s="3114">
        <v>108.28</v>
      </c>
      <c r="K74" s="3118" t="s">
        <v>3463</v>
      </c>
    </row>
    <row r="75" spans="1:11">
      <c r="A75" s="3113">
        <v>72</v>
      </c>
      <c r="B75" s="3115" t="s">
        <v>4957</v>
      </c>
      <c r="C75" s="3114">
        <v>109.32</v>
      </c>
      <c r="D75" s="3113" t="s">
        <v>2911</v>
      </c>
      <c r="H75" s="3118">
        <v>72</v>
      </c>
      <c r="I75" s="3115" t="s">
        <v>4956</v>
      </c>
      <c r="J75" s="3114">
        <v>108.28</v>
      </c>
      <c r="K75" s="3118" t="s">
        <v>3463</v>
      </c>
    </row>
    <row r="76" spans="1:11">
      <c r="A76" s="3113">
        <v>73</v>
      </c>
      <c r="B76" s="3115" t="s">
        <v>4955</v>
      </c>
      <c r="C76" s="3114">
        <v>109.32</v>
      </c>
      <c r="D76" s="3113" t="s">
        <v>2911</v>
      </c>
      <c r="H76" s="3118">
        <v>73</v>
      </c>
      <c r="I76" s="3115" t="s">
        <v>4954</v>
      </c>
      <c r="J76" s="3114">
        <v>108.28</v>
      </c>
      <c r="K76" s="3118" t="s">
        <v>3463</v>
      </c>
    </row>
    <row r="77" spans="1:11">
      <c r="A77" s="3113">
        <v>74</v>
      </c>
      <c r="B77" s="3115" t="s">
        <v>4953</v>
      </c>
      <c r="C77" s="3114">
        <v>109.32</v>
      </c>
      <c r="D77" s="3113" t="s">
        <v>2911</v>
      </c>
      <c r="H77" s="3118">
        <v>74</v>
      </c>
      <c r="I77" s="3115" t="s">
        <v>4952</v>
      </c>
      <c r="J77" s="3114">
        <v>108.28</v>
      </c>
      <c r="K77" s="3118" t="s">
        <v>3463</v>
      </c>
    </row>
    <row r="78" spans="1:11">
      <c r="A78" s="3113">
        <v>75</v>
      </c>
      <c r="B78" s="3115" t="s">
        <v>4951</v>
      </c>
      <c r="C78" s="3114">
        <v>109.32</v>
      </c>
      <c r="D78" s="3113" t="s">
        <v>2911</v>
      </c>
      <c r="H78" s="3118">
        <v>75</v>
      </c>
      <c r="I78" s="3115" t="s">
        <v>4950</v>
      </c>
      <c r="J78" s="3114">
        <v>108.28</v>
      </c>
      <c r="K78" s="3118" t="s">
        <v>3463</v>
      </c>
    </row>
    <row r="79" spans="1:11">
      <c r="A79" s="3113">
        <v>76</v>
      </c>
      <c r="B79" s="3115" t="s">
        <v>4949</v>
      </c>
      <c r="C79" s="3114">
        <v>109.32</v>
      </c>
      <c r="D79" s="3113" t="s">
        <v>2911</v>
      </c>
      <c r="H79" s="3118">
        <v>76</v>
      </c>
      <c r="I79" s="3115" t="s">
        <v>4948</v>
      </c>
      <c r="J79" s="3114">
        <v>108.28</v>
      </c>
      <c r="K79" s="3118" t="s">
        <v>3463</v>
      </c>
    </row>
    <row r="80" spans="1:11">
      <c r="A80" s="3113">
        <v>77</v>
      </c>
      <c r="B80" s="3115" t="s">
        <v>4947</v>
      </c>
      <c r="C80" s="3114">
        <v>109.32</v>
      </c>
      <c r="D80" s="3113" t="s">
        <v>2911</v>
      </c>
      <c r="H80" s="3118">
        <v>77</v>
      </c>
      <c r="I80" s="3115" t="s">
        <v>4946</v>
      </c>
      <c r="J80" s="3114">
        <v>108.28</v>
      </c>
      <c r="K80" s="3118" t="s">
        <v>3463</v>
      </c>
    </row>
    <row r="81" spans="1:11">
      <c r="A81" s="3113">
        <v>78</v>
      </c>
      <c r="B81" s="3115" t="s">
        <v>4945</v>
      </c>
      <c r="C81" s="3114">
        <v>109.32</v>
      </c>
      <c r="D81" s="3113" t="s">
        <v>2911</v>
      </c>
      <c r="H81" s="3118">
        <v>78</v>
      </c>
      <c r="I81" s="3115" t="s">
        <v>4944</v>
      </c>
      <c r="J81" s="3114">
        <v>108.28</v>
      </c>
      <c r="K81" s="3118" t="s">
        <v>3463</v>
      </c>
    </row>
    <row r="82" spans="1:11">
      <c r="A82" s="3113">
        <v>79</v>
      </c>
      <c r="B82" s="3115" t="s">
        <v>4943</v>
      </c>
      <c r="C82" s="3114">
        <v>95.13</v>
      </c>
      <c r="D82" s="3113" t="s">
        <v>2911</v>
      </c>
      <c r="H82" s="3118">
        <v>79</v>
      </c>
      <c r="I82" s="3115" t="s">
        <v>4942</v>
      </c>
      <c r="J82" s="3114">
        <v>108.28</v>
      </c>
      <c r="K82" s="3118" t="s">
        <v>3463</v>
      </c>
    </row>
    <row r="83" spans="1:11">
      <c r="A83" s="3113">
        <v>80</v>
      </c>
      <c r="B83" s="3115" t="s">
        <v>4941</v>
      </c>
      <c r="C83" s="3114">
        <v>109.32</v>
      </c>
      <c r="D83" s="3113" t="s">
        <v>2911</v>
      </c>
      <c r="H83" s="3118">
        <v>80</v>
      </c>
      <c r="I83" s="3115" t="s">
        <v>4940</v>
      </c>
      <c r="J83" s="3114">
        <v>108.28</v>
      </c>
      <c r="K83" s="3118" t="s">
        <v>3463</v>
      </c>
    </row>
    <row r="84" spans="1:11">
      <c r="A84" s="3113">
        <v>81</v>
      </c>
      <c r="B84" s="3115" t="s">
        <v>4939</v>
      </c>
      <c r="C84" s="3114">
        <v>109.32</v>
      </c>
      <c r="D84" s="3113" t="s">
        <v>2911</v>
      </c>
      <c r="H84" s="3118">
        <v>81</v>
      </c>
      <c r="I84" s="3115" t="s">
        <v>4938</v>
      </c>
      <c r="J84" s="3114">
        <v>108.28</v>
      </c>
      <c r="K84" s="3118" t="s">
        <v>3463</v>
      </c>
    </row>
    <row r="85" spans="1:11">
      <c r="A85" s="3113">
        <v>82</v>
      </c>
      <c r="B85" s="3115" t="s">
        <v>4937</v>
      </c>
      <c r="C85" s="3114">
        <v>109.32</v>
      </c>
      <c r="D85" s="3113" t="s">
        <v>2911</v>
      </c>
      <c r="H85" s="3118">
        <v>82</v>
      </c>
      <c r="I85" s="3115" t="s">
        <v>4936</v>
      </c>
      <c r="J85" s="3114">
        <v>93.92</v>
      </c>
      <c r="K85" s="3118" t="s">
        <v>3463</v>
      </c>
    </row>
    <row r="86" spans="1:11">
      <c r="A86" s="3113">
        <v>83</v>
      </c>
      <c r="B86" s="3115" t="s">
        <v>4935</v>
      </c>
      <c r="C86" s="3114">
        <v>109.32</v>
      </c>
      <c r="D86" s="3113" t="s">
        <v>2911</v>
      </c>
      <c r="H86" s="3118">
        <v>83</v>
      </c>
      <c r="I86" s="3115" t="s">
        <v>4934</v>
      </c>
      <c r="J86" s="3114">
        <v>87.95</v>
      </c>
      <c r="K86" s="3118" t="s">
        <v>3463</v>
      </c>
    </row>
    <row r="87" spans="1:11">
      <c r="A87" s="3113">
        <v>84</v>
      </c>
      <c r="B87" s="3115" t="s">
        <v>4933</v>
      </c>
      <c r="C87" s="3114">
        <v>109.32</v>
      </c>
      <c r="D87" s="3113" t="s">
        <v>2911</v>
      </c>
      <c r="H87" s="3118">
        <v>84</v>
      </c>
      <c r="I87" s="3115" t="s">
        <v>4932</v>
      </c>
      <c r="J87" s="3114">
        <v>87.95</v>
      </c>
      <c r="K87" s="3118" t="s">
        <v>3463</v>
      </c>
    </row>
    <row r="88" spans="1:11">
      <c r="A88" s="3113">
        <v>85</v>
      </c>
      <c r="B88" s="3115" t="s">
        <v>4931</v>
      </c>
      <c r="C88" s="3114">
        <v>109.32</v>
      </c>
      <c r="D88" s="3113" t="s">
        <v>2911</v>
      </c>
      <c r="H88" s="3118">
        <v>85</v>
      </c>
      <c r="I88" s="3115" t="s">
        <v>4930</v>
      </c>
      <c r="J88" s="3114">
        <v>87.95</v>
      </c>
      <c r="K88" s="3118" t="s">
        <v>3463</v>
      </c>
    </row>
    <row r="89" spans="1:11">
      <c r="A89" s="3113">
        <v>86</v>
      </c>
      <c r="B89" s="3115" t="s">
        <v>4929</v>
      </c>
      <c r="C89" s="3114">
        <v>109.32</v>
      </c>
      <c r="D89" s="3113" t="s">
        <v>2911</v>
      </c>
      <c r="H89" s="3118">
        <v>86</v>
      </c>
      <c r="I89" s="3115" t="s">
        <v>4928</v>
      </c>
      <c r="J89" s="3114">
        <v>87.95</v>
      </c>
      <c r="K89" s="3118" t="s">
        <v>3463</v>
      </c>
    </row>
    <row r="90" spans="1:11">
      <c r="A90" s="3113">
        <v>87</v>
      </c>
      <c r="B90" s="3115" t="s">
        <v>4927</v>
      </c>
      <c r="C90" s="3114">
        <v>109.32</v>
      </c>
      <c r="D90" s="3113" t="s">
        <v>2911</v>
      </c>
      <c r="H90" s="3118">
        <v>87</v>
      </c>
      <c r="I90" s="3115" t="s">
        <v>4926</v>
      </c>
      <c r="J90" s="3114">
        <v>87.95</v>
      </c>
      <c r="K90" s="3118" t="s">
        <v>3463</v>
      </c>
    </row>
    <row r="91" spans="1:11">
      <c r="A91" s="3113">
        <v>88</v>
      </c>
      <c r="B91" s="3115" t="s">
        <v>4925</v>
      </c>
      <c r="C91" s="3114">
        <v>109.32</v>
      </c>
      <c r="D91" s="3113" t="s">
        <v>2911</v>
      </c>
      <c r="H91" s="3118">
        <v>88</v>
      </c>
      <c r="I91" s="3115" t="s">
        <v>4924</v>
      </c>
      <c r="J91" s="3114">
        <v>87.95</v>
      </c>
      <c r="K91" s="3118" t="s">
        <v>3463</v>
      </c>
    </row>
    <row r="92" spans="1:11">
      <c r="A92" s="3113">
        <v>89</v>
      </c>
      <c r="B92" s="3115" t="s">
        <v>4923</v>
      </c>
      <c r="C92" s="3114">
        <v>109.32</v>
      </c>
      <c r="D92" s="3113" t="s">
        <v>2911</v>
      </c>
      <c r="H92" s="3118">
        <v>89</v>
      </c>
      <c r="I92" s="3115" t="s">
        <v>4922</v>
      </c>
      <c r="J92" s="3114">
        <v>87.95</v>
      </c>
      <c r="K92" s="3118" t="s">
        <v>3463</v>
      </c>
    </row>
    <row r="93" spans="1:11">
      <c r="A93" s="3113">
        <v>90</v>
      </c>
      <c r="B93" s="3115" t="s">
        <v>4921</v>
      </c>
      <c r="C93" s="3114">
        <v>109.32</v>
      </c>
      <c r="D93" s="3113" t="s">
        <v>2911</v>
      </c>
      <c r="H93" s="3118">
        <v>90</v>
      </c>
      <c r="I93" s="3115" t="s">
        <v>4920</v>
      </c>
      <c r="J93" s="3114">
        <v>87.95</v>
      </c>
      <c r="K93" s="3118" t="s">
        <v>3463</v>
      </c>
    </row>
    <row r="94" spans="1:11">
      <c r="A94" s="3113">
        <v>91</v>
      </c>
      <c r="B94" s="3115" t="s">
        <v>4919</v>
      </c>
      <c r="C94" s="3114">
        <v>109.32</v>
      </c>
      <c r="D94" s="3113" t="s">
        <v>2911</v>
      </c>
      <c r="H94" s="3118">
        <v>91</v>
      </c>
      <c r="I94" s="3115" t="s">
        <v>4918</v>
      </c>
      <c r="J94" s="3114">
        <v>87.95</v>
      </c>
      <c r="K94" s="3118" t="s">
        <v>3463</v>
      </c>
    </row>
    <row r="95" spans="1:11">
      <c r="A95" s="3113">
        <v>92</v>
      </c>
      <c r="B95" s="3115" t="s">
        <v>4917</v>
      </c>
      <c r="C95" s="3114">
        <v>109.32</v>
      </c>
      <c r="D95" s="3113" t="s">
        <v>2911</v>
      </c>
      <c r="H95" s="3118">
        <v>92</v>
      </c>
      <c r="I95" s="3115" t="s">
        <v>4916</v>
      </c>
      <c r="J95" s="3114">
        <v>87.95</v>
      </c>
      <c r="K95" s="3118" t="s">
        <v>3463</v>
      </c>
    </row>
    <row r="96" spans="1:11">
      <c r="A96" s="3113">
        <v>93</v>
      </c>
      <c r="B96" s="3115" t="s">
        <v>4915</v>
      </c>
      <c r="C96" s="3114">
        <v>109.32</v>
      </c>
      <c r="D96" s="3113" t="s">
        <v>2911</v>
      </c>
      <c r="H96" s="3118">
        <v>93</v>
      </c>
      <c r="I96" s="3115" t="s">
        <v>4914</v>
      </c>
      <c r="J96" s="3114">
        <v>87.95</v>
      </c>
      <c r="K96" s="3118" t="s">
        <v>3463</v>
      </c>
    </row>
    <row r="97" spans="1:11">
      <c r="A97" s="3113">
        <v>94</v>
      </c>
      <c r="B97" s="3115" t="s">
        <v>4913</v>
      </c>
      <c r="C97" s="3114">
        <v>109.32</v>
      </c>
      <c r="D97" s="3113" t="s">
        <v>2911</v>
      </c>
      <c r="H97" s="3118">
        <v>94</v>
      </c>
      <c r="I97" s="3115" t="s">
        <v>4912</v>
      </c>
      <c r="J97" s="3114">
        <v>87.95</v>
      </c>
      <c r="K97" s="3118" t="s">
        <v>3463</v>
      </c>
    </row>
    <row r="98" spans="1:11">
      <c r="A98" s="3113">
        <v>95</v>
      </c>
      <c r="B98" s="3115" t="s">
        <v>4911</v>
      </c>
      <c r="C98" s="3114">
        <v>109.32</v>
      </c>
      <c r="D98" s="3113" t="s">
        <v>2911</v>
      </c>
      <c r="H98" s="3118">
        <v>95</v>
      </c>
      <c r="I98" s="3115" t="s">
        <v>4910</v>
      </c>
      <c r="J98" s="3114">
        <v>87.95</v>
      </c>
      <c r="K98" s="3118" t="s">
        <v>3463</v>
      </c>
    </row>
    <row r="99" spans="1:11">
      <c r="A99" s="3113">
        <v>96</v>
      </c>
      <c r="B99" s="3115" t="s">
        <v>4909</v>
      </c>
      <c r="C99" s="3114">
        <v>109.32</v>
      </c>
      <c r="D99" s="3113" t="s">
        <v>2911</v>
      </c>
      <c r="H99" s="3118">
        <v>96</v>
      </c>
      <c r="I99" s="3115" t="s">
        <v>4908</v>
      </c>
      <c r="J99" s="3114">
        <v>87.95</v>
      </c>
      <c r="K99" s="3118" t="s">
        <v>3463</v>
      </c>
    </row>
    <row r="100" spans="1:11">
      <c r="A100" s="3113">
        <v>97</v>
      </c>
      <c r="B100" s="3115" t="s">
        <v>4907</v>
      </c>
      <c r="C100" s="3114">
        <v>109.32</v>
      </c>
      <c r="D100" s="3113" t="s">
        <v>2911</v>
      </c>
      <c r="H100" s="3118">
        <v>97</v>
      </c>
      <c r="I100" s="3115" t="s">
        <v>4906</v>
      </c>
      <c r="J100" s="3114">
        <v>87.95</v>
      </c>
      <c r="K100" s="3118" t="s">
        <v>3463</v>
      </c>
    </row>
    <row r="101" spans="1:11">
      <c r="A101" s="3113">
        <v>98</v>
      </c>
      <c r="B101" s="3115" t="s">
        <v>4905</v>
      </c>
      <c r="C101" s="3114">
        <v>109.32</v>
      </c>
      <c r="D101" s="3113" t="s">
        <v>2911</v>
      </c>
      <c r="H101" s="3118">
        <v>98</v>
      </c>
      <c r="I101" s="3115" t="s">
        <v>4904</v>
      </c>
      <c r="J101" s="3114">
        <v>88.05</v>
      </c>
      <c r="K101" s="3118" t="s">
        <v>3463</v>
      </c>
    </row>
    <row r="102" spans="1:11">
      <c r="A102" s="3113">
        <v>99</v>
      </c>
      <c r="B102" s="3115" t="s">
        <v>4903</v>
      </c>
      <c r="C102" s="3114">
        <v>109.32</v>
      </c>
      <c r="D102" s="3113" t="s">
        <v>2911</v>
      </c>
      <c r="H102" s="3118">
        <v>99</v>
      </c>
      <c r="I102" s="3115" t="s">
        <v>4902</v>
      </c>
      <c r="J102" s="3114">
        <v>87.95</v>
      </c>
      <c r="K102" s="3118" t="s">
        <v>3463</v>
      </c>
    </row>
    <row r="103" spans="1:11">
      <c r="A103" s="3113">
        <v>100</v>
      </c>
      <c r="B103" s="3115" t="s">
        <v>4901</v>
      </c>
      <c r="C103" s="3114">
        <v>109.32</v>
      </c>
      <c r="D103" s="3113" t="s">
        <v>2911</v>
      </c>
      <c r="H103" s="3118">
        <v>100</v>
      </c>
      <c r="I103" s="3115" t="s">
        <v>4900</v>
      </c>
      <c r="J103" s="3114">
        <v>87.95</v>
      </c>
      <c r="K103" s="3118" t="s">
        <v>3463</v>
      </c>
    </row>
    <row r="104" spans="1:11">
      <c r="A104" s="3113">
        <v>101</v>
      </c>
      <c r="B104" s="3115" t="s">
        <v>4899</v>
      </c>
      <c r="C104" s="3114">
        <v>109.32</v>
      </c>
      <c r="D104" s="3113" t="s">
        <v>2911</v>
      </c>
      <c r="H104" s="3118">
        <v>101</v>
      </c>
      <c r="I104" s="3115" t="s">
        <v>4898</v>
      </c>
      <c r="J104" s="3114">
        <v>87.95</v>
      </c>
      <c r="K104" s="3118" t="s">
        <v>3463</v>
      </c>
    </row>
    <row r="105" spans="1:11">
      <c r="A105" s="3113">
        <v>102</v>
      </c>
      <c r="B105" s="3115" t="s">
        <v>4897</v>
      </c>
      <c r="C105" s="3114">
        <v>109.32</v>
      </c>
      <c r="D105" s="3113" t="s">
        <v>2911</v>
      </c>
      <c r="H105" s="3118">
        <v>102</v>
      </c>
      <c r="I105" s="3115" t="s">
        <v>4896</v>
      </c>
      <c r="J105" s="3114">
        <v>87.95</v>
      </c>
      <c r="K105" s="3118" t="s">
        <v>3463</v>
      </c>
    </row>
    <row r="106" spans="1:11">
      <c r="A106" s="3113">
        <v>103</v>
      </c>
      <c r="B106" s="3115" t="s">
        <v>4895</v>
      </c>
      <c r="C106" s="3114">
        <v>109.32</v>
      </c>
      <c r="D106" s="3113" t="s">
        <v>2911</v>
      </c>
      <c r="H106" s="3118">
        <v>103</v>
      </c>
      <c r="I106" s="3115" t="s">
        <v>4894</v>
      </c>
      <c r="J106" s="3114">
        <v>87.95</v>
      </c>
      <c r="K106" s="3118" t="s">
        <v>3463</v>
      </c>
    </row>
    <row r="107" spans="1:11">
      <c r="A107" s="3113">
        <v>104</v>
      </c>
      <c r="B107" s="3115" t="s">
        <v>4893</v>
      </c>
      <c r="C107" s="3114">
        <v>109.32</v>
      </c>
      <c r="D107" s="3113" t="s">
        <v>2911</v>
      </c>
      <c r="H107" s="3118">
        <v>104</v>
      </c>
      <c r="I107" s="3115" t="s">
        <v>4892</v>
      </c>
      <c r="J107" s="3114">
        <v>87.95</v>
      </c>
      <c r="K107" s="3118" t="s">
        <v>3463</v>
      </c>
    </row>
    <row r="108" spans="1:11">
      <c r="A108" s="3113">
        <v>105</v>
      </c>
      <c r="B108" s="3115" t="s">
        <v>4891</v>
      </c>
      <c r="C108" s="3114">
        <v>109.32</v>
      </c>
      <c r="D108" s="3113" t="s">
        <v>2911</v>
      </c>
      <c r="H108" s="3118">
        <v>105</v>
      </c>
      <c r="I108" s="3115" t="s">
        <v>4890</v>
      </c>
      <c r="J108" s="3114">
        <v>87.95</v>
      </c>
      <c r="K108" s="3118" t="s">
        <v>3463</v>
      </c>
    </row>
    <row r="109" spans="1:11">
      <c r="A109" s="3113">
        <v>106</v>
      </c>
      <c r="B109" s="3115" t="s">
        <v>4889</v>
      </c>
      <c r="C109" s="3114">
        <v>95.13</v>
      </c>
      <c r="D109" s="3113" t="s">
        <v>2911</v>
      </c>
      <c r="H109" s="3118">
        <v>106</v>
      </c>
      <c r="I109" s="3115" t="s">
        <v>4888</v>
      </c>
      <c r="J109" s="3114">
        <v>87.95</v>
      </c>
      <c r="K109" s="3118" t="s">
        <v>3463</v>
      </c>
    </row>
    <row r="110" spans="1:11">
      <c r="A110" s="3113">
        <v>107</v>
      </c>
      <c r="B110" s="3115" t="s">
        <v>4887</v>
      </c>
      <c r="C110" s="3114">
        <v>88.29</v>
      </c>
      <c r="D110" s="3113" t="s">
        <v>2911</v>
      </c>
      <c r="H110" s="3118">
        <v>107</v>
      </c>
      <c r="I110" s="3115" t="s">
        <v>4886</v>
      </c>
      <c r="J110" s="3114">
        <v>87.95</v>
      </c>
      <c r="K110" s="3118" t="s">
        <v>3463</v>
      </c>
    </row>
    <row r="111" spans="1:11">
      <c r="A111" s="3113">
        <v>108</v>
      </c>
      <c r="B111" s="3115" t="s">
        <v>4885</v>
      </c>
      <c r="C111" s="3114">
        <v>88.29</v>
      </c>
      <c r="D111" s="3113" t="s">
        <v>2911</v>
      </c>
      <c r="H111" s="3118">
        <v>108</v>
      </c>
      <c r="I111" s="3115" t="s">
        <v>4884</v>
      </c>
      <c r="J111" s="3114">
        <v>87.95</v>
      </c>
      <c r="K111" s="3118" t="s">
        <v>3463</v>
      </c>
    </row>
    <row r="112" spans="1:11">
      <c r="A112" s="3113">
        <v>109</v>
      </c>
      <c r="B112" s="3115" t="s">
        <v>4883</v>
      </c>
      <c r="C112" s="3114">
        <v>88.29</v>
      </c>
      <c r="D112" s="3113" t="s">
        <v>2911</v>
      </c>
      <c r="H112" s="3118">
        <v>109</v>
      </c>
      <c r="I112" s="3115" t="s">
        <v>4882</v>
      </c>
      <c r="J112" s="3114">
        <v>87.95</v>
      </c>
      <c r="K112" s="3118" t="s">
        <v>3463</v>
      </c>
    </row>
    <row r="113" spans="1:11">
      <c r="A113" s="3113">
        <v>110</v>
      </c>
      <c r="B113" s="3115" t="s">
        <v>4881</v>
      </c>
      <c r="C113" s="3114">
        <v>88.29</v>
      </c>
      <c r="D113" s="3113" t="s">
        <v>2911</v>
      </c>
      <c r="H113" s="3118">
        <v>110</v>
      </c>
      <c r="I113" s="3115" t="s">
        <v>4880</v>
      </c>
      <c r="J113" s="3114">
        <v>87.95</v>
      </c>
      <c r="K113" s="3118" t="s">
        <v>3463</v>
      </c>
    </row>
    <row r="114" spans="1:11">
      <c r="A114" s="3113">
        <v>111</v>
      </c>
      <c r="B114" s="3115" t="s">
        <v>4879</v>
      </c>
      <c r="C114" s="3114">
        <v>88.29</v>
      </c>
      <c r="D114" s="3113" t="s">
        <v>2911</v>
      </c>
      <c r="H114" s="3118">
        <v>111</v>
      </c>
      <c r="I114" s="3115" t="s">
        <v>4878</v>
      </c>
      <c r="J114" s="3114">
        <v>87.95</v>
      </c>
      <c r="K114" s="3118" t="s">
        <v>3463</v>
      </c>
    </row>
    <row r="115" spans="1:11">
      <c r="A115" s="3113">
        <v>112</v>
      </c>
      <c r="B115" s="3115" t="s">
        <v>4877</v>
      </c>
      <c r="C115" s="3114">
        <v>88.29</v>
      </c>
      <c r="D115" s="3113" t="s">
        <v>2911</v>
      </c>
      <c r="H115" s="3118">
        <v>112</v>
      </c>
      <c r="I115" s="3115" t="s">
        <v>4876</v>
      </c>
      <c r="J115" s="3114">
        <v>87.95</v>
      </c>
      <c r="K115" s="3118" t="s">
        <v>3463</v>
      </c>
    </row>
    <row r="116" spans="1:11">
      <c r="A116" s="3113">
        <v>113</v>
      </c>
      <c r="B116" s="3115" t="s">
        <v>4875</v>
      </c>
      <c r="C116" s="3114">
        <v>88.29</v>
      </c>
      <c r="D116" s="3113" t="s">
        <v>2911</v>
      </c>
      <c r="H116" s="3118">
        <v>113</v>
      </c>
      <c r="I116" s="3115" t="s">
        <v>4874</v>
      </c>
      <c r="J116" s="3114">
        <v>87.95</v>
      </c>
      <c r="K116" s="3118" t="s">
        <v>3463</v>
      </c>
    </row>
    <row r="117" spans="1:11">
      <c r="A117" s="3113">
        <v>114</v>
      </c>
      <c r="B117" s="3115" t="s">
        <v>4873</v>
      </c>
      <c r="C117" s="3114">
        <v>88.29</v>
      </c>
      <c r="D117" s="3113" t="s">
        <v>2911</v>
      </c>
      <c r="H117" s="3118">
        <v>114</v>
      </c>
      <c r="I117" s="3115" t="s">
        <v>4872</v>
      </c>
      <c r="J117" s="3114">
        <v>88.05</v>
      </c>
      <c r="K117" s="3118" t="s">
        <v>3463</v>
      </c>
    </row>
    <row r="118" spans="1:11">
      <c r="A118" s="3113">
        <v>115</v>
      </c>
      <c r="B118" s="3115" t="s">
        <v>4871</v>
      </c>
      <c r="C118" s="3114">
        <v>88.29</v>
      </c>
      <c r="D118" s="3113" t="s">
        <v>2911</v>
      </c>
      <c r="H118" s="3118">
        <v>115</v>
      </c>
      <c r="I118" s="3115" t="s">
        <v>4870</v>
      </c>
      <c r="J118" s="3114">
        <v>108.29</v>
      </c>
      <c r="K118" s="3118" t="s">
        <v>3463</v>
      </c>
    </row>
    <row r="119" spans="1:11">
      <c r="A119" s="3113">
        <v>116</v>
      </c>
      <c r="B119" s="3115" t="s">
        <v>4869</v>
      </c>
      <c r="C119" s="3114">
        <v>88.29</v>
      </c>
      <c r="D119" s="3113" t="s">
        <v>2911</v>
      </c>
      <c r="H119" s="3118">
        <v>116</v>
      </c>
      <c r="I119" s="3115" t="s">
        <v>4868</v>
      </c>
      <c r="J119" s="3114">
        <v>108.29</v>
      </c>
      <c r="K119" s="3118" t="s">
        <v>3463</v>
      </c>
    </row>
    <row r="120" spans="1:11">
      <c r="A120" s="3113">
        <v>117</v>
      </c>
      <c r="B120" s="3115" t="s">
        <v>4867</v>
      </c>
      <c r="C120" s="3114">
        <v>88.29</v>
      </c>
      <c r="D120" s="3113" t="s">
        <v>2911</v>
      </c>
      <c r="H120" s="3118">
        <v>117</v>
      </c>
      <c r="I120" s="3115" t="s">
        <v>4866</v>
      </c>
      <c r="J120" s="3114">
        <v>108.29</v>
      </c>
      <c r="K120" s="3118" t="s">
        <v>3463</v>
      </c>
    </row>
    <row r="121" spans="1:11">
      <c r="A121" s="3113">
        <v>118</v>
      </c>
      <c r="B121" s="3115" t="s">
        <v>4865</v>
      </c>
      <c r="C121" s="3114">
        <v>88.29</v>
      </c>
      <c r="D121" s="3113" t="s">
        <v>2911</v>
      </c>
      <c r="H121" s="3118">
        <v>118</v>
      </c>
      <c r="I121" s="3115" t="s">
        <v>4864</v>
      </c>
      <c r="J121" s="3114">
        <v>108.29</v>
      </c>
      <c r="K121" s="3118" t="s">
        <v>3463</v>
      </c>
    </row>
    <row r="122" spans="1:11">
      <c r="A122" s="3113">
        <v>119</v>
      </c>
      <c r="B122" s="3115" t="s">
        <v>4863</v>
      </c>
      <c r="C122" s="3114">
        <v>88.29</v>
      </c>
      <c r="D122" s="3113" t="s">
        <v>2911</v>
      </c>
      <c r="H122" s="3118">
        <v>119</v>
      </c>
      <c r="I122" s="3115" t="s">
        <v>4862</v>
      </c>
      <c r="J122" s="3114">
        <v>108.29</v>
      </c>
      <c r="K122" s="3118" t="s">
        <v>3463</v>
      </c>
    </row>
    <row r="123" spans="1:11">
      <c r="A123" s="3113">
        <v>120</v>
      </c>
      <c r="B123" s="3115" t="s">
        <v>4861</v>
      </c>
      <c r="C123" s="3114">
        <v>88.29</v>
      </c>
      <c r="D123" s="3113" t="s">
        <v>2911</v>
      </c>
      <c r="H123" s="3118">
        <v>120</v>
      </c>
      <c r="I123" s="3115" t="s">
        <v>4860</v>
      </c>
      <c r="J123" s="3114">
        <v>108.29</v>
      </c>
      <c r="K123" s="3118" t="s">
        <v>3463</v>
      </c>
    </row>
    <row r="124" spans="1:11">
      <c r="A124" s="3113">
        <v>121</v>
      </c>
      <c r="B124" s="3115" t="s">
        <v>4859</v>
      </c>
      <c r="C124" s="3114">
        <v>88.29</v>
      </c>
      <c r="D124" s="3113" t="s">
        <v>2911</v>
      </c>
      <c r="H124" s="3118">
        <v>121</v>
      </c>
      <c r="I124" s="3115" t="s">
        <v>4858</v>
      </c>
      <c r="J124" s="3114">
        <v>108.29</v>
      </c>
      <c r="K124" s="3118" t="s">
        <v>3463</v>
      </c>
    </row>
    <row r="125" spans="1:11">
      <c r="A125" s="3113">
        <v>122</v>
      </c>
      <c r="B125" s="3115" t="s">
        <v>4857</v>
      </c>
      <c r="C125" s="3114">
        <v>88.29</v>
      </c>
      <c r="D125" s="3113" t="s">
        <v>2911</v>
      </c>
      <c r="H125" s="3118">
        <v>122</v>
      </c>
      <c r="I125" s="3115" t="s">
        <v>4856</v>
      </c>
      <c r="J125" s="3114">
        <v>108.29</v>
      </c>
      <c r="K125" s="3118" t="s">
        <v>3463</v>
      </c>
    </row>
    <row r="126" spans="1:11">
      <c r="A126" s="3113">
        <v>123</v>
      </c>
      <c r="B126" s="3115" t="s">
        <v>4855</v>
      </c>
      <c r="C126" s="3114">
        <v>88.29</v>
      </c>
      <c r="D126" s="3113" t="s">
        <v>2911</v>
      </c>
      <c r="H126" s="3118">
        <v>123</v>
      </c>
      <c r="I126" s="3115" t="s">
        <v>4854</v>
      </c>
      <c r="J126" s="3114">
        <v>108.29</v>
      </c>
      <c r="K126" s="3118" t="s">
        <v>3463</v>
      </c>
    </row>
    <row r="127" spans="1:11">
      <c r="A127" s="3113">
        <v>124</v>
      </c>
      <c r="B127" s="3115" t="s">
        <v>4853</v>
      </c>
      <c r="C127" s="3114">
        <v>88.29</v>
      </c>
      <c r="D127" s="3113" t="s">
        <v>2911</v>
      </c>
      <c r="H127" s="3118">
        <v>124</v>
      </c>
      <c r="I127" s="3115" t="s">
        <v>4852</v>
      </c>
      <c r="J127" s="3114">
        <v>108.29</v>
      </c>
      <c r="K127" s="3118" t="s">
        <v>3463</v>
      </c>
    </row>
    <row r="128" spans="1:11">
      <c r="A128" s="3113">
        <v>125</v>
      </c>
      <c r="B128" s="3115" t="s">
        <v>4851</v>
      </c>
      <c r="C128" s="3114">
        <v>88.29</v>
      </c>
      <c r="D128" s="3113" t="s">
        <v>2911</v>
      </c>
      <c r="H128" s="3118">
        <v>125</v>
      </c>
      <c r="I128" s="3115" t="s">
        <v>4850</v>
      </c>
      <c r="J128" s="3114">
        <v>108.29</v>
      </c>
      <c r="K128" s="3118" t="s">
        <v>3463</v>
      </c>
    </row>
    <row r="129" spans="1:11">
      <c r="A129" s="3113">
        <v>126</v>
      </c>
      <c r="B129" s="3115" t="s">
        <v>4849</v>
      </c>
      <c r="C129" s="3114">
        <v>88.29</v>
      </c>
      <c r="D129" s="3113" t="s">
        <v>2911</v>
      </c>
      <c r="H129" s="3118">
        <v>126</v>
      </c>
      <c r="I129" s="3115" t="s">
        <v>4848</v>
      </c>
      <c r="J129" s="3114">
        <v>108.29</v>
      </c>
      <c r="K129" s="3118" t="s">
        <v>3463</v>
      </c>
    </row>
    <row r="130" spans="1:11">
      <c r="A130" s="3113">
        <v>127</v>
      </c>
      <c r="B130" s="3115" t="s">
        <v>4847</v>
      </c>
      <c r="C130" s="3114">
        <v>88.29</v>
      </c>
      <c r="D130" s="3113" t="s">
        <v>2911</v>
      </c>
      <c r="H130" s="3118">
        <v>127</v>
      </c>
      <c r="I130" s="3115" t="s">
        <v>4846</v>
      </c>
      <c r="J130" s="3114">
        <v>108.29</v>
      </c>
      <c r="K130" s="3118" t="s">
        <v>3463</v>
      </c>
    </row>
    <row r="131" spans="1:11">
      <c r="A131" s="3113">
        <v>128</v>
      </c>
      <c r="B131" s="3115" t="s">
        <v>4845</v>
      </c>
      <c r="C131" s="3114">
        <v>88.29</v>
      </c>
      <c r="D131" s="3113" t="s">
        <v>2911</v>
      </c>
      <c r="H131" s="3118">
        <v>128</v>
      </c>
      <c r="I131" s="3115" t="s">
        <v>4844</v>
      </c>
      <c r="J131" s="3114">
        <v>108.29</v>
      </c>
      <c r="K131" s="3118" t="s">
        <v>3463</v>
      </c>
    </row>
    <row r="132" spans="1:11">
      <c r="A132" s="3113">
        <v>129</v>
      </c>
      <c r="B132" s="3115" t="s">
        <v>4843</v>
      </c>
      <c r="C132" s="3114">
        <v>88.29</v>
      </c>
      <c r="D132" s="3113" t="s">
        <v>2911</v>
      </c>
      <c r="H132" s="3118">
        <v>129</v>
      </c>
      <c r="I132" s="3115" t="s">
        <v>4842</v>
      </c>
      <c r="J132" s="3114">
        <v>108.29</v>
      </c>
      <c r="K132" s="3118" t="s">
        <v>3463</v>
      </c>
    </row>
    <row r="133" spans="1:11">
      <c r="A133" s="3113">
        <v>130</v>
      </c>
      <c r="B133" s="3115" t="s">
        <v>4841</v>
      </c>
      <c r="C133" s="3114">
        <v>88.29</v>
      </c>
      <c r="D133" s="3113" t="s">
        <v>2911</v>
      </c>
      <c r="H133" s="3118">
        <v>130</v>
      </c>
      <c r="I133" s="3115" t="s">
        <v>4840</v>
      </c>
      <c r="J133" s="3114">
        <v>94.02</v>
      </c>
      <c r="K133" s="3118" t="s">
        <v>3463</v>
      </c>
    </row>
    <row r="134" spans="1:11">
      <c r="A134" s="3113">
        <v>131</v>
      </c>
      <c r="B134" s="3115" t="s">
        <v>4839</v>
      </c>
      <c r="C134" s="3114">
        <v>88.29</v>
      </c>
      <c r="D134" s="3113" t="s">
        <v>2911</v>
      </c>
      <c r="H134" s="3118">
        <v>131</v>
      </c>
      <c r="I134" s="3115" t="s">
        <v>4838</v>
      </c>
      <c r="J134" s="3114">
        <v>108.29</v>
      </c>
      <c r="K134" s="3118" t="s">
        <v>3463</v>
      </c>
    </row>
    <row r="135" spans="1:11">
      <c r="A135" s="3113">
        <v>132</v>
      </c>
      <c r="B135" s="3115" t="s">
        <v>4837</v>
      </c>
      <c r="C135" s="3114">
        <v>88.29</v>
      </c>
      <c r="D135" s="3113" t="s">
        <v>2911</v>
      </c>
      <c r="H135" s="3118">
        <v>132</v>
      </c>
      <c r="I135" s="3115" t="s">
        <v>4836</v>
      </c>
      <c r="J135" s="3114">
        <v>108.29</v>
      </c>
      <c r="K135" s="3118" t="s">
        <v>3463</v>
      </c>
    </row>
    <row r="136" spans="1:11">
      <c r="A136" s="3113">
        <v>133</v>
      </c>
      <c r="B136" s="3115" t="s">
        <v>4835</v>
      </c>
      <c r="C136" s="3114">
        <v>86.76</v>
      </c>
      <c r="D136" s="3113" t="s">
        <v>2911</v>
      </c>
      <c r="H136" s="3118">
        <v>133</v>
      </c>
      <c r="I136" s="3115" t="s">
        <v>4834</v>
      </c>
      <c r="J136" s="3114">
        <v>108.29</v>
      </c>
      <c r="K136" s="3118" t="s">
        <v>3463</v>
      </c>
    </row>
    <row r="137" spans="1:11">
      <c r="A137" s="3113">
        <v>134</v>
      </c>
      <c r="B137" s="3115" t="s">
        <v>4833</v>
      </c>
      <c r="C137" s="3114">
        <v>111.02</v>
      </c>
      <c r="D137" s="3113" t="s">
        <v>2911</v>
      </c>
      <c r="H137" s="3118">
        <v>134</v>
      </c>
      <c r="I137" s="3115" t="s">
        <v>4832</v>
      </c>
      <c r="J137" s="3114">
        <v>108.29</v>
      </c>
      <c r="K137" s="3118" t="s">
        <v>3463</v>
      </c>
    </row>
    <row r="138" spans="1:11">
      <c r="A138" s="3113">
        <v>135</v>
      </c>
      <c r="B138" s="3115" t="s">
        <v>4831</v>
      </c>
      <c r="C138" s="3114">
        <v>111.02</v>
      </c>
      <c r="D138" s="3113" t="s">
        <v>2911</v>
      </c>
      <c r="H138" s="3118">
        <v>135</v>
      </c>
      <c r="I138" s="3115" t="s">
        <v>4830</v>
      </c>
      <c r="J138" s="3114">
        <v>108.29</v>
      </c>
      <c r="K138" s="3118" t="s">
        <v>3463</v>
      </c>
    </row>
    <row r="139" spans="1:11">
      <c r="A139" s="3113">
        <v>136</v>
      </c>
      <c r="B139" s="3115" t="s">
        <v>4829</v>
      </c>
      <c r="C139" s="3114">
        <v>111.02</v>
      </c>
      <c r="D139" s="3113" t="s">
        <v>2911</v>
      </c>
      <c r="H139" s="3118">
        <v>136</v>
      </c>
      <c r="I139" s="3115" t="s">
        <v>4828</v>
      </c>
      <c r="J139" s="3114">
        <v>108.29</v>
      </c>
      <c r="K139" s="3118" t="s">
        <v>3463</v>
      </c>
    </row>
    <row r="140" spans="1:11">
      <c r="A140" s="3113">
        <v>137</v>
      </c>
      <c r="B140" s="3115" t="s">
        <v>4827</v>
      </c>
      <c r="C140" s="3114">
        <v>111.02</v>
      </c>
      <c r="D140" s="3113" t="s">
        <v>2911</v>
      </c>
      <c r="H140" s="3118">
        <v>137</v>
      </c>
      <c r="I140" s="3115" t="s">
        <v>4826</v>
      </c>
      <c r="J140" s="3114">
        <v>108.29</v>
      </c>
      <c r="K140" s="3118" t="s">
        <v>3463</v>
      </c>
    </row>
    <row r="141" spans="1:11">
      <c r="A141" s="3113">
        <v>138</v>
      </c>
      <c r="B141" s="3115" t="s">
        <v>4825</v>
      </c>
      <c r="C141" s="3114">
        <v>111.02</v>
      </c>
      <c r="D141" s="3113" t="s">
        <v>2911</v>
      </c>
      <c r="H141" s="3118">
        <v>138</v>
      </c>
      <c r="I141" s="3115" t="s">
        <v>4824</v>
      </c>
      <c r="J141" s="3114">
        <v>108.29</v>
      </c>
      <c r="K141" s="3118" t="s">
        <v>3463</v>
      </c>
    </row>
    <row r="142" spans="1:11">
      <c r="A142" s="3113">
        <v>139</v>
      </c>
      <c r="B142" s="3115" t="s">
        <v>4823</v>
      </c>
      <c r="C142" s="3114">
        <v>111.02</v>
      </c>
      <c r="D142" s="3113" t="s">
        <v>2911</v>
      </c>
      <c r="H142" s="3118">
        <v>139</v>
      </c>
      <c r="I142" s="3115" t="s">
        <v>4822</v>
      </c>
      <c r="J142" s="3114">
        <v>108.29</v>
      </c>
      <c r="K142" s="3118" t="s">
        <v>3463</v>
      </c>
    </row>
    <row r="143" spans="1:11">
      <c r="A143" s="3113">
        <v>140</v>
      </c>
      <c r="B143" s="3115" t="s">
        <v>4821</v>
      </c>
      <c r="C143" s="3114">
        <v>111.02</v>
      </c>
      <c r="D143" s="3113" t="s">
        <v>2911</v>
      </c>
      <c r="H143" s="3118">
        <v>140</v>
      </c>
      <c r="I143" s="3115" t="s">
        <v>4820</v>
      </c>
      <c r="J143" s="3114">
        <v>108.29</v>
      </c>
      <c r="K143" s="3118" t="s">
        <v>3463</v>
      </c>
    </row>
    <row r="144" spans="1:11">
      <c r="A144" s="3113">
        <v>141</v>
      </c>
      <c r="B144" s="3115" t="s">
        <v>4819</v>
      </c>
      <c r="C144" s="3114">
        <v>111.02</v>
      </c>
      <c r="D144" s="3113" t="s">
        <v>2911</v>
      </c>
      <c r="H144" s="3118">
        <v>141</v>
      </c>
      <c r="I144" s="3115" t="s">
        <v>4818</v>
      </c>
      <c r="J144" s="3114">
        <v>108.29</v>
      </c>
      <c r="K144" s="3118" t="s">
        <v>3463</v>
      </c>
    </row>
    <row r="145" spans="1:11">
      <c r="A145" s="3113">
        <v>142</v>
      </c>
      <c r="B145" s="3115" t="s">
        <v>4817</v>
      </c>
      <c r="C145" s="3114">
        <v>111.02</v>
      </c>
      <c r="D145" s="3113" t="s">
        <v>2911</v>
      </c>
      <c r="H145" s="3118">
        <v>142</v>
      </c>
      <c r="I145" s="3115" t="s">
        <v>4816</v>
      </c>
      <c r="J145" s="3114">
        <v>108.29</v>
      </c>
      <c r="K145" s="3118" t="s">
        <v>3463</v>
      </c>
    </row>
    <row r="146" spans="1:11">
      <c r="A146" s="3113">
        <v>143</v>
      </c>
      <c r="B146" s="3115" t="s">
        <v>4815</v>
      </c>
      <c r="C146" s="3114">
        <v>111.02</v>
      </c>
      <c r="D146" s="3113" t="s">
        <v>2911</v>
      </c>
      <c r="H146" s="3118">
        <v>143</v>
      </c>
      <c r="I146" s="3115" t="s">
        <v>4814</v>
      </c>
      <c r="J146" s="3114">
        <v>108.29</v>
      </c>
      <c r="K146" s="3118" t="s">
        <v>3463</v>
      </c>
    </row>
    <row r="147" spans="1:11">
      <c r="A147" s="3113">
        <v>144</v>
      </c>
      <c r="B147" s="3115" t="s">
        <v>4813</v>
      </c>
      <c r="C147" s="3114">
        <v>111.02</v>
      </c>
      <c r="D147" s="3113" t="s">
        <v>2911</v>
      </c>
      <c r="H147" s="3118">
        <v>144</v>
      </c>
      <c r="I147" s="3115" t="s">
        <v>4812</v>
      </c>
      <c r="J147" s="3114">
        <v>108.29</v>
      </c>
      <c r="K147" s="3118" t="s">
        <v>3463</v>
      </c>
    </row>
    <row r="148" spans="1:11">
      <c r="A148" s="3113">
        <v>145</v>
      </c>
      <c r="B148" s="3115" t="s">
        <v>4811</v>
      </c>
      <c r="C148" s="3114">
        <v>111.02</v>
      </c>
      <c r="D148" s="3113" t="s">
        <v>2911</v>
      </c>
      <c r="H148" s="3118">
        <v>145</v>
      </c>
      <c r="I148" s="3115" t="s">
        <v>4810</v>
      </c>
      <c r="J148" s="3114">
        <v>108.29</v>
      </c>
      <c r="K148" s="3118" t="s">
        <v>3463</v>
      </c>
    </row>
    <row r="149" spans="1:11">
      <c r="A149" s="3113">
        <v>146</v>
      </c>
      <c r="B149" s="3115" t="s">
        <v>4809</v>
      </c>
      <c r="C149" s="3114">
        <v>111.02</v>
      </c>
      <c r="D149" s="3113" t="s">
        <v>2911</v>
      </c>
      <c r="H149" s="3118">
        <v>146</v>
      </c>
      <c r="I149" s="3115" t="s">
        <v>4808</v>
      </c>
      <c r="J149" s="3114">
        <v>94.02</v>
      </c>
      <c r="K149" s="3118" t="s">
        <v>3463</v>
      </c>
    </row>
    <row r="150" spans="1:11">
      <c r="A150" s="3113">
        <v>147</v>
      </c>
      <c r="B150" s="3115" t="s">
        <v>4807</v>
      </c>
      <c r="C150" s="3114">
        <v>111.02</v>
      </c>
      <c r="D150" s="3113" t="s">
        <v>2911</v>
      </c>
      <c r="H150" s="3118">
        <v>147</v>
      </c>
      <c r="I150" s="3115" t="s">
        <v>4806</v>
      </c>
      <c r="J150" s="3114">
        <v>87.85</v>
      </c>
      <c r="K150" s="3118" t="s">
        <v>3463</v>
      </c>
    </row>
    <row r="151" spans="1:11">
      <c r="A151" s="3113">
        <v>148</v>
      </c>
      <c r="B151" s="3115" t="s">
        <v>4805</v>
      </c>
      <c r="C151" s="3114">
        <v>111.02</v>
      </c>
      <c r="D151" s="3113" t="s">
        <v>2911</v>
      </c>
      <c r="H151" s="3118">
        <v>148</v>
      </c>
      <c r="I151" s="3115" t="s">
        <v>4804</v>
      </c>
      <c r="J151" s="3114">
        <v>87.85</v>
      </c>
      <c r="K151" s="3118" t="s">
        <v>3463</v>
      </c>
    </row>
    <row r="152" spans="1:11">
      <c r="A152" s="3113">
        <v>149</v>
      </c>
      <c r="B152" s="3115" t="s">
        <v>4803</v>
      </c>
      <c r="C152" s="3114">
        <v>111.02</v>
      </c>
      <c r="D152" s="3113" t="s">
        <v>2911</v>
      </c>
      <c r="H152" s="3118">
        <v>149</v>
      </c>
      <c r="I152" s="3115" t="s">
        <v>4802</v>
      </c>
      <c r="J152" s="3114">
        <v>87.85</v>
      </c>
      <c r="K152" s="3118" t="s">
        <v>3463</v>
      </c>
    </row>
    <row r="153" spans="1:11">
      <c r="A153" s="3113">
        <v>150</v>
      </c>
      <c r="B153" s="3115" t="s">
        <v>4801</v>
      </c>
      <c r="C153" s="3114">
        <v>111.02</v>
      </c>
      <c r="D153" s="3113" t="s">
        <v>2911</v>
      </c>
      <c r="H153" s="3118">
        <v>150</v>
      </c>
      <c r="I153" s="3115" t="s">
        <v>4800</v>
      </c>
      <c r="J153" s="3114">
        <v>87.85</v>
      </c>
      <c r="K153" s="3118" t="s">
        <v>3463</v>
      </c>
    </row>
    <row r="154" spans="1:11">
      <c r="A154" s="3113">
        <v>151</v>
      </c>
      <c r="B154" s="3115" t="s">
        <v>4799</v>
      </c>
      <c r="C154" s="3114">
        <v>111.02</v>
      </c>
      <c r="D154" s="3113" t="s">
        <v>2911</v>
      </c>
      <c r="H154" s="3118">
        <v>151</v>
      </c>
      <c r="I154" s="3115" t="s">
        <v>4798</v>
      </c>
      <c r="J154" s="3114">
        <v>87.85</v>
      </c>
      <c r="K154" s="3118" t="s">
        <v>3463</v>
      </c>
    </row>
    <row r="155" spans="1:11">
      <c r="A155" s="3113">
        <v>152</v>
      </c>
      <c r="B155" s="3115" t="s">
        <v>4797</v>
      </c>
      <c r="C155" s="3114">
        <v>111.02</v>
      </c>
      <c r="D155" s="3113" t="s">
        <v>2911</v>
      </c>
      <c r="H155" s="3118">
        <v>152</v>
      </c>
      <c r="I155" s="3115" t="s">
        <v>4796</v>
      </c>
      <c r="J155" s="3114">
        <v>87.85</v>
      </c>
      <c r="K155" s="3118" t="s">
        <v>3463</v>
      </c>
    </row>
    <row r="156" spans="1:11">
      <c r="A156" s="3113">
        <v>153</v>
      </c>
      <c r="B156" s="3115" t="s">
        <v>4795</v>
      </c>
      <c r="C156" s="3114">
        <v>111.02</v>
      </c>
      <c r="D156" s="3113" t="s">
        <v>2911</v>
      </c>
      <c r="H156" s="3118">
        <v>153</v>
      </c>
      <c r="I156" s="3115" t="s">
        <v>4794</v>
      </c>
      <c r="J156" s="3114">
        <v>87.85</v>
      </c>
      <c r="K156" s="3118" t="s">
        <v>3463</v>
      </c>
    </row>
    <row r="157" spans="1:11">
      <c r="A157" s="3113">
        <v>154</v>
      </c>
      <c r="B157" s="3115" t="s">
        <v>4793</v>
      </c>
      <c r="C157" s="3114">
        <v>111.02</v>
      </c>
      <c r="D157" s="3113" t="s">
        <v>2911</v>
      </c>
      <c r="H157" s="3118">
        <v>154</v>
      </c>
      <c r="I157" s="3115" t="s">
        <v>4792</v>
      </c>
      <c r="J157" s="3114">
        <v>87.85</v>
      </c>
      <c r="K157" s="3118" t="s">
        <v>3463</v>
      </c>
    </row>
    <row r="158" spans="1:11">
      <c r="A158" s="3113">
        <v>155</v>
      </c>
      <c r="B158" s="3115" t="s">
        <v>4791</v>
      </c>
      <c r="C158" s="3114">
        <v>111.02</v>
      </c>
      <c r="D158" s="3113" t="s">
        <v>2911</v>
      </c>
      <c r="H158" s="3118">
        <v>155</v>
      </c>
      <c r="I158" s="3115" t="s">
        <v>4790</v>
      </c>
      <c r="J158" s="3114">
        <v>87.85</v>
      </c>
      <c r="K158" s="3118" t="s">
        <v>3463</v>
      </c>
    </row>
    <row r="159" spans="1:11">
      <c r="A159" s="3113">
        <v>156</v>
      </c>
      <c r="B159" s="3115" t="s">
        <v>4789</v>
      </c>
      <c r="C159" s="3114">
        <v>111.02</v>
      </c>
      <c r="D159" s="3113" t="s">
        <v>2911</v>
      </c>
      <c r="H159" s="3118">
        <v>156</v>
      </c>
      <c r="I159" s="3115" t="s">
        <v>4788</v>
      </c>
      <c r="J159" s="3114">
        <v>87.85</v>
      </c>
      <c r="K159" s="3118" t="s">
        <v>3463</v>
      </c>
    </row>
    <row r="160" spans="1:11">
      <c r="A160" s="3113">
        <v>157</v>
      </c>
      <c r="B160" s="3115" t="s">
        <v>4787</v>
      </c>
      <c r="C160" s="3114">
        <v>111.02</v>
      </c>
      <c r="D160" s="3113" t="s">
        <v>2911</v>
      </c>
      <c r="H160" s="3118">
        <v>157</v>
      </c>
      <c r="I160" s="3115" t="s">
        <v>4786</v>
      </c>
      <c r="J160" s="3114">
        <v>87.85</v>
      </c>
      <c r="K160" s="3118" t="s">
        <v>3463</v>
      </c>
    </row>
    <row r="161" spans="1:11">
      <c r="A161" s="3113">
        <v>158</v>
      </c>
      <c r="B161" s="3115" t="s">
        <v>4785</v>
      </c>
      <c r="C161" s="3114">
        <v>111.02</v>
      </c>
      <c r="D161" s="3113" t="s">
        <v>2911</v>
      </c>
      <c r="H161" s="3118">
        <v>158</v>
      </c>
      <c r="I161" s="3115" t="s">
        <v>4784</v>
      </c>
      <c r="J161" s="3114">
        <v>87.85</v>
      </c>
      <c r="K161" s="3118" t="s">
        <v>3463</v>
      </c>
    </row>
    <row r="162" spans="1:11">
      <c r="A162" s="3113">
        <v>159</v>
      </c>
      <c r="B162" s="3115" t="s">
        <v>4783</v>
      </c>
      <c r="C162" s="3114">
        <v>111.02</v>
      </c>
      <c r="D162" s="3113" t="s">
        <v>2911</v>
      </c>
      <c r="H162" s="3118">
        <v>159</v>
      </c>
      <c r="I162" s="3115" t="s">
        <v>4782</v>
      </c>
      <c r="J162" s="3114">
        <v>87.85</v>
      </c>
      <c r="K162" s="3118" t="s">
        <v>3463</v>
      </c>
    </row>
    <row r="163" spans="1:11">
      <c r="A163" s="3113">
        <v>160</v>
      </c>
      <c r="B163" s="3115" t="s">
        <v>4781</v>
      </c>
      <c r="C163" s="3114">
        <v>112.87</v>
      </c>
      <c r="D163" s="3113" t="s">
        <v>2911</v>
      </c>
      <c r="H163" s="3118">
        <v>160</v>
      </c>
      <c r="I163" s="3115" t="s">
        <v>4780</v>
      </c>
      <c r="J163" s="3114">
        <v>87.85</v>
      </c>
      <c r="K163" s="3118" t="s">
        <v>3463</v>
      </c>
    </row>
    <row r="164" spans="1:11">
      <c r="A164" s="3113">
        <v>161</v>
      </c>
      <c r="B164" s="3115" t="s">
        <v>4779</v>
      </c>
      <c r="C164" s="3114">
        <v>112.87</v>
      </c>
      <c r="D164" s="3113" t="s">
        <v>2911</v>
      </c>
      <c r="H164" s="3118">
        <v>161</v>
      </c>
      <c r="I164" s="3115" t="s">
        <v>4778</v>
      </c>
      <c r="J164" s="3114">
        <v>87.85</v>
      </c>
      <c r="K164" s="3118" t="s">
        <v>3463</v>
      </c>
    </row>
    <row r="165" spans="1:11">
      <c r="A165" s="3113">
        <v>162</v>
      </c>
      <c r="B165" s="3115" t="s">
        <v>4777</v>
      </c>
      <c r="C165" s="3114">
        <v>112.87</v>
      </c>
      <c r="D165" s="3113" t="s">
        <v>2911</v>
      </c>
      <c r="H165" s="3118">
        <v>162</v>
      </c>
      <c r="I165" s="3115" t="s">
        <v>4776</v>
      </c>
      <c r="J165" s="3114">
        <v>88.05</v>
      </c>
      <c r="K165" s="3118" t="s">
        <v>3463</v>
      </c>
    </row>
    <row r="166" spans="1:11">
      <c r="A166" s="3113">
        <v>163</v>
      </c>
      <c r="B166" s="3115" t="s">
        <v>4775</v>
      </c>
      <c r="C166" s="3114">
        <v>112.87</v>
      </c>
      <c r="D166" s="3113" t="s">
        <v>2911</v>
      </c>
      <c r="H166" s="3118">
        <v>163</v>
      </c>
      <c r="I166" s="3115" t="s">
        <v>4774</v>
      </c>
      <c r="J166" s="3114">
        <v>110.15</v>
      </c>
      <c r="K166" s="3118" t="s">
        <v>3463</v>
      </c>
    </row>
    <row r="167" spans="1:11">
      <c r="A167" s="3113">
        <v>164</v>
      </c>
      <c r="B167" s="3115" t="s">
        <v>4773</v>
      </c>
      <c r="C167" s="3114">
        <v>112.87</v>
      </c>
      <c r="D167" s="3113" t="s">
        <v>2911</v>
      </c>
      <c r="H167" s="3118">
        <v>164</v>
      </c>
      <c r="I167" s="3115" t="s">
        <v>4772</v>
      </c>
      <c r="J167" s="3114">
        <v>110.15</v>
      </c>
      <c r="K167" s="3118" t="s">
        <v>3463</v>
      </c>
    </row>
    <row r="168" spans="1:11">
      <c r="A168" s="3113">
        <v>165</v>
      </c>
      <c r="B168" s="3115" t="s">
        <v>4771</v>
      </c>
      <c r="C168" s="3114">
        <v>112.87</v>
      </c>
      <c r="D168" s="3113" t="s">
        <v>2911</v>
      </c>
      <c r="H168" s="3118">
        <v>165</v>
      </c>
      <c r="I168" s="3115" t="s">
        <v>4770</v>
      </c>
      <c r="J168" s="3114">
        <v>110.15</v>
      </c>
      <c r="K168" s="3118" t="s">
        <v>3463</v>
      </c>
    </row>
    <row r="169" spans="1:11">
      <c r="A169" s="3113">
        <v>166</v>
      </c>
      <c r="B169" s="3115" t="s">
        <v>4769</v>
      </c>
      <c r="C169" s="3114">
        <v>112.87</v>
      </c>
      <c r="D169" s="3113" t="s">
        <v>2911</v>
      </c>
      <c r="H169" s="3118">
        <v>166</v>
      </c>
      <c r="I169" s="3115" t="s">
        <v>4768</v>
      </c>
      <c r="J169" s="3114">
        <v>110.15</v>
      </c>
      <c r="K169" s="3118" t="s">
        <v>3463</v>
      </c>
    </row>
    <row r="170" spans="1:11">
      <c r="A170" s="3113">
        <v>167</v>
      </c>
      <c r="B170" s="3115" t="s">
        <v>4767</v>
      </c>
      <c r="C170" s="3114">
        <v>112.87</v>
      </c>
      <c r="D170" s="3113" t="s">
        <v>2911</v>
      </c>
      <c r="H170" s="3118">
        <v>167</v>
      </c>
      <c r="I170" s="3115" t="s">
        <v>4766</v>
      </c>
      <c r="J170" s="3114">
        <v>110.15</v>
      </c>
      <c r="K170" s="3118" t="s">
        <v>3463</v>
      </c>
    </row>
    <row r="171" spans="1:11">
      <c r="A171" s="3113">
        <v>168</v>
      </c>
      <c r="B171" s="3115" t="s">
        <v>4765</v>
      </c>
      <c r="C171" s="3114">
        <v>112.87</v>
      </c>
      <c r="D171" s="3113" t="s">
        <v>2911</v>
      </c>
      <c r="H171" s="3118">
        <v>168</v>
      </c>
      <c r="I171" s="3115" t="s">
        <v>4764</v>
      </c>
      <c r="J171" s="3114">
        <v>110.15</v>
      </c>
      <c r="K171" s="3118" t="s">
        <v>3463</v>
      </c>
    </row>
    <row r="172" spans="1:11">
      <c r="A172" s="3113">
        <v>169</v>
      </c>
      <c r="B172" s="3115" t="s">
        <v>4763</v>
      </c>
      <c r="C172" s="3114">
        <v>112.87</v>
      </c>
      <c r="D172" s="3113" t="s">
        <v>2911</v>
      </c>
      <c r="H172" s="3118">
        <v>169</v>
      </c>
      <c r="I172" s="3115" t="s">
        <v>4762</v>
      </c>
      <c r="J172" s="3114">
        <v>110.15</v>
      </c>
      <c r="K172" s="3118" t="s">
        <v>3463</v>
      </c>
    </row>
    <row r="173" spans="1:11">
      <c r="A173" s="3113">
        <v>170</v>
      </c>
      <c r="B173" s="3115" t="s">
        <v>4761</v>
      </c>
      <c r="C173" s="3114">
        <v>112.87</v>
      </c>
      <c r="D173" s="3113" t="s">
        <v>2911</v>
      </c>
      <c r="H173" s="3118">
        <v>170</v>
      </c>
      <c r="I173" s="3115" t="s">
        <v>4760</v>
      </c>
      <c r="J173" s="3114">
        <v>110.15</v>
      </c>
      <c r="K173" s="3118" t="s">
        <v>3463</v>
      </c>
    </row>
    <row r="174" spans="1:11">
      <c r="A174" s="3113">
        <v>171</v>
      </c>
      <c r="B174" s="3115" t="s">
        <v>4759</v>
      </c>
      <c r="C174" s="3114">
        <v>112.87</v>
      </c>
      <c r="D174" s="3113" t="s">
        <v>2911</v>
      </c>
      <c r="H174" s="3118">
        <v>171</v>
      </c>
      <c r="I174" s="3115" t="s">
        <v>4758</v>
      </c>
      <c r="J174" s="3114">
        <v>110.15</v>
      </c>
      <c r="K174" s="3118" t="s">
        <v>3463</v>
      </c>
    </row>
    <row r="175" spans="1:11">
      <c r="A175" s="3113">
        <v>172</v>
      </c>
      <c r="B175" s="3115" t="s">
        <v>4757</v>
      </c>
      <c r="C175" s="3114">
        <v>112.87</v>
      </c>
      <c r="D175" s="3113" t="s">
        <v>2911</v>
      </c>
      <c r="H175" s="3118">
        <v>172</v>
      </c>
      <c r="I175" s="3115" t="s">
        <v>4756</v>
      </c>
      <c r="J175" s="3114">
        <v>110.15</v>
      </c>
      <c r="K175" s="3118" t="s">
        <v>3463</v>
      </c>
    </row>
    <row r="176" spans="1:11">
      <c r="A176" s="3113">
        <v>173</v>
      </c>
      <c r="B176" s="3115" t="s">
        <v>4755</v>
      </c>
      <c r="C176" s="3114">
        <v>112.87</v>
      </c>
      <c r="D176" s="3113" t="s">
        <v>2911</v>
      </c>
      <c r="H176" s="3118">
        <v>173</v>
      </c>
      <c r="I176" s="3115" t="s">
        <v>4754</v>
      </c>
      <c r="J176" s="3114">
        <v>110.15</v>
      </c>
      <c r="K176" s="3118" t="s">
        <v>3463</v>
      </c>
    </row>
    <row r="177" spans="1:11">
      <c r="A177" s="3113">
        <v>174</v>
      </c>
      <c r="B177" s="3115" t="s">
        <v>4753</v>
      </c>
      <c r="C177" s="3114">
        <v>112.87</v>
      </c>
      <c r="D177" s="3113" t="s">
        <v>2911</v>
      </c>
      <c r="H177" s="3118">
        <v>174</v>
      </c>
      <c r="I177" s="3115" t="s">
        <v>4752</v>
      </c>
      <c r="J177" s="3114">
        <v>110.15</v>
      </c>
      <c r="K177" s="3118" t="s">
        <v>3463</v>
      </c>
    </row>
    <row r="178" spans="1:11">
      <c r="A178" s="3113">
        <v>175</v>
      </c>
      <c r="B178" s="3115" t="s">
        <v>4751</v>
      </c>
      <c r="C178" s="3114">
        <v>112.87</v>
      </c>
      <c r="D178" s="3113" t="s">
        <v>2911</v>
      </c>
      <c r="H178" s="3118">
        <v>175</v>
      </c>
      <c r="I178" s="3115" t="s">
        <v>4750</v>
      </c>
      <c r="J178" s="3114">
        <v>110.15</v>
      </c>
      <c r="K178" s="3118" t="s">
        <v>3463</v>
      </c>
    </row>
    <row r="179" spans="1:11">
      <c r="A179" s="3113">
        <v>176</v>
      </c>
      <c r="B179" s="3115" t="s">
        <v>4749</v>
      </c>
      <c r="C179" s="3114">
        <v>112.87</v>
      </c>
      <c r="D179" s="3113" t="s">
        <v>2911</v>
      </c>
      <c r="H179" s="3118">
        <v>176</v>
      </c>
      <c r="I179" s="3115" t="s">
        <v>4748</v>
      </c>
      <c r="J179" s="3114">
        <v>110.15</v>
      </c>
      <c r="K179" s="3118" t="s">
        <v>3463</v>
      </c>
    </row>
    <row r="180" spans="1:11">
      <c r="A180" s="3113">
        <v>177</v>
      </c>
      <c r="B180" s="3115" t="s">
        <v>4747</v>
      </c>
      <c r="C180" s="3114">
        <v>112.87</v>
      </c>
      <c r="D180" s="3113" t="s">
        <v>2911</v>
      </c>
      <c r="H180" s="3118">
        <v>177</v>
      </c>
      <c r="I180" s="3115" t="s">
        <v>4746</v>
      </c>
      <c r="J180" s="3114">
        <v>110.15</v>
      </c>
      <c r="K180" s="3118" t="s">
        <v>3463</v>
      </c>
    </row>
    <row r="181" spans="1:11">
      <c r="A181" s="3113">
        <v>178</v>
      </c>
      <c r="B181" s="3115" t="s">
        <v>4745</v>
      </c>
      <c r="C181" s="3114">
        <v>112.87</v>
      </c>
      <c r="D181" s="3113" t="s">
        <v>2911</v>
      </c>
      <c r="H181" s="3118">
        <v>178</v>
      </c>
      <c r="I181" s="3115" t="s">
        <v>4744</v>
      </c>
      <c r="J181" s="3114">
        <v>96.21</v>
      </c>
      <c r="K181" s="3118" t="s">
        <v>3463</v>
      </c>
    </row>
    <row r="182" spans="1:11">
      <c r="A182" s="3113">
        <v>179</v>
      </c>
      <c r="B182" s="3115" t="s">
        <v>4743</v>
      </c>
      <c r="C182" s="3114">
        <v>112.87</v>
      </c>
      <c r="D182" s="3113" t="s">
        <v>2911</v>
      </c>
      <c r="H182" s="3118">
        <v>179</v>
      </c>
      <c r="I182" s="3115" t="s">
        <v>4742</v>
      </c>
      <c r="J182" s="3114">
        <v>107.91</v>
      </c>
      <c r="K182" s="3118" t="s">
        <v>3463</v>
      </c>
    </row>
    <row r="183" spans="1:11">
      <c r="A183" s="3113">
        <v>180</v>
      </c>
      <c r="B183" s="3115" t="s">
        <v>4741</v>
      </c>
      <c r="C183" s="3114">
        <v>112.87</v>
      </c>
      <c r="D183" s="3113" t="s">
        <v>2911</v>
      </c>
      <c r="H183" s="3118">
        <v>180</v>
      </c>
      <c r="I183" s="3115" t="s">
        <v>4740</v>
      </c>
      <c r="J183" s="3114">
        <v>127.19</v>
      </c>
      <c r="K183" s="3118" t="s">
        <v>3463</v>
      </c>
    </row>
    <row r="184" spans="1:11">
      <c r="A184" s="3113">
        <v>181</v>
      </c>
      <c r="B184" s="3115" t="s">
        <v>4739</v>
      </c>
      <c r="C184" s="3114">
        <v>112.87</v>
      </c>
      <c r="D184" s="3113" t="s">
        <v>2911</v>
      </c>
      <c r="H184" s="3118">
        <v>181</v>
      </c>
      <c r="I184" s="3115" t="s">
        <v>4738</v>
      </c>
      <c r="J184" s="3114">
        <v>127.19</v>
      </c>
      <c r="K184" s="3118" t="s">
        <v>3463</v>
      </c>
    </row>
    <row r="185" spans="1:11">
      <c r="A185" s="3113">
        <v>182</v>
      </c>
      <c r="B185" s="3115" t="s">
        <v>4737</v>
      </c>
      <c r="C185" s="3114">
        <v>112.87</v>
      </c>
      <c r="D185" s="3113" t="s">
        <v>2911</v>
      </c>
      <c r="H185" s="3118">
        <v>182</v>
      </c>
      <c r="I185" s="3115" t="s">
        <v>4736</v>
      </c>
      <c r="J185" s="3114">
        <v>127.19</v>
      </c>
      <c r="K185" s="3118" t="s">
        <v>3463</v>
      </c>
    </row>
    <row r="186" spans="1:11">
      <c r="A186" s="3113">
        <v>183</v>
      </c>
      <c r="B186" s="3115" t="s">
        <v>4735</v>
      </c>
      <c r="C186" s="3114">
        <v>112.87</v>
      </c>
      <c r="D186" s="3113" t="s">
        <v>2911</v>
      </c>
      <c r="H186" s="3118">
        <v>183</v>
      </c>
      <c r="I186" s="3115" t="s">
        <v>4734</v>
      </c>
      <c r="J186" s="3114">
        <v>127.19</v>
      </c>
      <c r="K186" s="3118" t="s">
        <v>3463</v>
      </c>
    </row>
    <row r="187" spans="1:11">
      <c r="A187" s="3113">
        <v>184</v>
      </c>
      <c r="B187" s="3115" t="s">
        <v>4733</v>
      </c>
      <c r="C187" s="3114">
        <v>112.87</v>
      </c>
      <c r="D187" s="3113" t="s">
        <v>2911</v>
      </c>
      <c r="H187" s="3118">
        <v>184</v>
      </c>
      <c r="I187" s="3115" t="s">
        <v>4732</v>
      </c>
      <c r="J187" s="3114">
        <v>127.19</v>
      </c>
      <c r="K187" s="3118" t="s">
        <v>3463</v>
      </c>
    </row>
    <row r="188" spans="1:11">
      <c r="A188" s="3113">
        <v>185</v>
      </c>
      <c r="B188" s="3115" t="s">
        <v>4731</v>
      </c>
      <c r="C188" s="3114">
        <v>112.87</v>
      </c>
      <c r="D188" s="3113" t="s">
        <v>2911</v>
      </c>
      <c r="H188" s="3118">
        <v>185</v>
      </c>
      <c r="I188" s="3115" t="s">
        <v>4730</v>
      </c>
      <c r="J188" s="3114">
        <v>127.19</v>
      </c>
      <c r="K188" s="3118" t="s">
        <v>3463</v>
      </c>
    </row>
    <row r="189" spans="1:11">
      <c r="A189" s="3113">
        <v>186</v>
      </c>
      <c r="B189" s="3115" t="s">
        <v>4729</v>
      </c>
      <c r="C189" s="3114">
        <v>112.87</v>
      </c>
      <c r="D189" s="3113" t="s">
        <v>2911</v>
      </c>
      <c r="H189" s="3118">
        <v>186</v>
      </c>
      <c r="I189" s="3115" t="s">
        <v>4728</v>
      </c>
      <c r="J189" s="3114">
        <v>127.19</v>
      </c>
      <c r="K189" s="3118" t="s">
        <v>3463</v>
      </c>
    </row>
    <row r="190" spans="1:11">
      <c r="A190" s="3113">
        <v>187</v>
      </c>
      <c r="B190" s="3115" t="s">
        <v>4727</v>
      </c>
      <c r="C190" s="3114">
        <v>112.87</v>
      </c>
      <c r="D190" s="3113" t="s">
        <v>2911</v>
      </c>
      <c r="H190" s="3118">
        <v>187</v>
      </c>
      <c r="I190" s="3115" t="s">
        <v>4726</v>
      </c>
      <c r="J190" s="3114">
        <v>127.19</v>
      </c>
      <c r="K190" s="3118" t="s">
        <v>3463</v>
      </c>
    </row>
    <row r="191" spans="1:11">
      <c r="A191" s="3113">
        <v>188</v>
      </c>
      <c r="B191" s="3115" t="s">
        <v>4725</v>
      </c>
      <c r="C191" s="3114">
        <v>88.46</v>
      </c>
      <c r="D191" s="3113" t="s">
        <v>2911</v>
      </c>
      <c r="H191" s="3118">
        <v>188</v>
      </c>
      <c r="I191" s="3115" t="s">
        <v>4724</v>
      </c>
      <c r="J191" s="3114">
        <v>127.19</v>
      </c>
      <c r="K191" s="3118" t="s">
        <v>3463</v>
      </c>
    </row>
    <row r="192" spans="1:11">
      <c r="A192" s="3113">
        <v>189</v>
      </c>
      <c r="B192" s="3115" t="s">
        <v>4723</v>
      </c>
      <c r="C192" s="3114">
        <v>88.46</v>
      </c>
      <c r="D192" s="3113" t="s">
        <v>2911</v>
      </c>
      <c r="H192" s="3118">
        <v>189</v>
      </c>
      <c r="I192" s="3115" t="s">
        <v>4722</v>
      </c>
      <c r="J192" s="3114">
        <v>127.19</v>
      </c>
      <c r="K192" s="3118" t="s">
        <v>3463</v>
      </c>
    </row>
    <row r="193" spans="1:11">
      <c r="A193" s="3113">
        <v>190</v>
      </c>
      <c r="B193" s="3115" t="s">
        <v>4721</v>
      </c>
      <c r="C193" s="3114">
        <v>88.46</v>
      </c>
      <c r="D193" s="3113" t="s">
        <v>2911</v>
      </c>
      <c r="H193" s="3118">
        <v>190</v>
      </c>
      <c r="I193" s="3115" t="s">
        <v>4720</v>
      </c>
      <c r="J193" s="3114">
        <v>127.19</v>
      </c>
      <c r="K193" s="3118" t="s">
        <v>3463</v>
      </c>
    </row>
    <row r="194" spans="1:11">
      <c r="A194" s="3113">
        <v>191</v>
      </c>
      <c r="B194" s="3115" t="s">
        <v>4719</v>
      </c>
      <c r="C194" s="3114">
        <v>88.46</v>
      </c>
      <c r="D194" s="3113" t="s">
        <v>2911</v>
      </c>
      <c r="H194" s="3118">
        <v>191</v>
      </c>
      <c r="I194" s="3115" t="s">
        <v>4718</v>
      </c>
      <c r="J194" s="3114">
        <v>127.19</v>
      </c>
      <c r="K194" s="3118" t="s">
        <v>3463</v>
      </c>
    </row>
    <row r="195" spans="1:11">
      <c r="A195" s="3113">
        <v>192</v>
      </c>
      <c r="B195" s="3115" t="s">
        <v>4717</v>
      </c>
      <c r="C195" s="3114">
        <v>88.46</v>
      </c>
      <c r="D195" s="3113" t="s">
        <v>2911</v>
      </c>
      <c r="H195" s="3118">
        <v>192</v>
      </c>
      <c r="I195" s="3115" t="s">
        <v>4716</v>
      </c>
      <c r="J195" s="3114">
        <v>127.19</v>
      </c>
      <c r="K195" s="3118" t="s">
        <v>3463</v>
      </c>
    </row>
    <row r="196" spans="1:11">
      <c r="A196" s="3113">
        <v>193</v>
      </c>
      <c r="B196" s="3115" t="s">
        <v>4715</v>
      </c>
      <c r="C196" s="3114">
        <v>88.46</v>
      </c>
      <c r="D196" s="3113" t="s">
        <v>2911</v>
      </c>
      <c r="H196" s="3118">
        <v>193</v>
      </c>
      <c r="I196" s="3115" t="s">
        <v>4714</v>
      </c>
      <c r="J196" s="3114">
        <v>127.19</v>
      </c>
      <c r="K196" s="3118" t="s">
        <v>3463</v>
      </c>
    </row>
    <row r="197" spans="1:11">
      <c r="A197" s="3113">
        <v>194</v>
      </c>
      <c r="B197" s="3115" t="s">
        <v>4713</v>
      </c>
      <c r="C197" s="3114">
        <v>88.46</v>
      </c>
      <c r="D197" s="3113" t="s">
        <v>2911</v>
      </c>
      <c r="H197" s="3118">
        <v>194</v>
      </c>
      <c r="I197" s="3115" t="s">
        <v>4712</v>
      </c>
      <c r="J197" s="3114">
        <v>127.19</v>
      </c>
      <c r="K197" s="3118" t="s">
        <v>3463</v>
      </c>
    </row>
    <row r="198" spans="1:11">
      <c r="A198" s="3113">
        <v>195</v>
      </c>
      <c r="B198" s="3115" t="s">
        <v>4711</v>
      </c>
      <c r="C198" s="3114">
        <v>88.46</v>
      </c>
      <c r="D198" s="3113" t="s">
        <v>2911</v>
      </c>
      <c r="H198" s="3118">
        <v>195</v>
      </c>
      <c r="I198" s="3115" t="s">
        <v>4710</v>
      </c>
      <c r="J198" s="3114">
        <v>127.19</v>
      </c>
      <c r="K198" s="3118" t="s">
        <v>3463</v>
      </c>
    </row>
    <row r="199" spans="1:11">
      <c r="A199" s="3113">
        <v>196</v>
      </c>
      <c r="B199" s="3115" t="s">
        <v>4709</v>
      </c>
      <c r="C199" s="3114">
        <v>88.46</v>
      </c>
      <c r="D199" s="3113" t="s">
        <v>2911</v>
      </c>
      <c r="H199" s="3118">
        <v>196</v>
      </c>
      <c r="I199" s="3115" t="s">
        <v>4708</v>
      </c>
      <c r="J199" s="3114">
        <v>127.19</v>
      </c>
      <c r="K199" s="3118" t="s">
        <v>3463</v>
      </c>
    </row>
    <row r="200" spans="1:11">
      <c r="A200" s="3113">
        <v>197</v>
      </c>
      <c r="B200" s="3115" t="s">
        <v>4707</v>
      </c>
      <c r="C200" s="3114">
        <v>88.46</v>
      </c>
      <c r="D200" s="3113" t="s">
        <v>2911</v>
      </c>
      <c r="H200" s="3118">
        <v>197</v>
      </c>
      <c r="I200" s="3115" t="s">
        <v>4706</v>
      </c>
      <c r="J200" s="3114">
        <v>127.19</v>
      </c>
      <c r="K200" s="3118" t="s">
        <v>3463</v>
      </c>
    </row>
    <row r="201" spans="1:11">
      <c r="A201" s="3113">
        <v>198</v>
      </c>
      <c r="B201" s="3115" t="s">
        <v>4705</v>
      </c>
      <c r="C201" s="3114">
        <v>88.46</v>
      </c>
      <c r="D201" s="3113" t="s">
        <v>2911</v>
      </c>
      <c r="H201" s="3118">
        <v>198</v>
      </c>
      <c r="I201" s="3115" t="s">
        <v>4704</v>
      </c>
      <c r="J201" s="3114">
        <v>127.19</v>
      </c>
      <c r="K201" s="3118" t="s">
        <v>3463</v>
      </c>
    </row>
    <row r="202" spans="1:11">
      <c r="A202" s="3113">
        <v>199</v>
      </c>
      <c r="B202" s="3115" t="s">
        <v>4703</v>
      </c>
      <c r="C202" s="3114">
        <v>88.46</v>
      </c>
      <c r="D202" s="3113" t="s">
        <v>2911</v>
      </c>
      <c r="H202" s="3118">
        <v>199</v>
      </c>
      <c r="I202" s="3115" t="s">
        <v>4702</v>
      </c>
      <c r="J202" s="3114">
        <v>127.19</v>
      </c>
      <c r="K202" s="3118" t="s">
        <v>3463</v>
      </c>
    </row>
    <row r="203" spans="1:11">
      <c r="A203" s="3113">
        <v>200</v>
      </c>
      <c r="B203" s="3115" t="s">
        <v>4701</v>
      </c>
      <c r="C203" s="3114">
        <v>88.46</v>
      </c>
      <c r="D203" s="3113" t="s">
        <v>2911</v>
      </c>
      <c r="H203" s="3118">
        <v>200</v>
      </c>
      <c r="I203" s="3115" t="s">
        <v>4700</v>
      </c>
      <c r="J203" s="3114">
        <v>127.19</v>
      </c>
      <c r="K203" s="3118" t="s">
        <v>3463</v>
      </c>
    </row>
    <row r="204" spans="1:11">
      <c r="A204" s="3113">
        <v>201</v>
      </c>
      <c r="B204" s="3115" t="s">
        <v>4699</v>
      </c>
      <c r="C204" s="3114">
        <v>88.46</v>
      </c>
      <c r="D204" s="3113" t="s">
        <v>2911</v>
      </c>
      <c r="H204" s="3118">
        <v>201</v>
      </c>
      <c r="I204" s="3115" t="s">
        <v>4698</v>
      </c>
      <c r="J204" s="3114">
        <v>127.19</v>
      </c>
      <c r="K204" s="3118" t="s">
        <v>3463</v>
      </c>
    </row>
    <row r="205" spans="1:11">
      <c r="A205" s="3113">
        <v>202</v>
      </c>
      <c r="B205" s="3115" t="s">
        <v>4697</v>
      </c>
      <c r="C205" s="3114">
        <v>88.46</v>
      </c>
      <c r="D205" s="3113" t="s">
        <v>2911</v>
      </c>
      <c r="H205" s="3118">
        <v>202</v>
      </c>
      <c r="I205" s="3115" t="s">
        <v>4696</v>
      </c>
      <c r="J205" s="3114">
        <v>127.19</v>
      </c>
      <c r="K205" s="3118" t="s">
        <v>3463</v>
      </c>
    </row>
    <row r="206" spans="1:11">
      <c r="A206" s="3113">
        <v>203</v>
      </c>
      <c r="B206" s="3115" t="s">
        <v>4695</v>
      </c>
      <c r="C206" s="3114">
        <v>88.46</v>
      </c>
      <c r="D206" s="3113" t="s">
        <v>2911</v>
      </c>
      <c r="H206" s="3118">
        <v>203</v>
      </c>
      <c r="I206" s="3115" t="s">
        <v>4694</v>
      </c>
      <c r="J206" s="3114">
        <v>127.19</v>
      </c>
      <c r="K206" s="3118" t="s">
        <v>3463</v>
      </c>
    </row>
    <row r="207" spans="1:11">
      <c r="A207" s="3113">
        <v>204</v>
      </c>
      <c r="B207" s="3115" t="s">
        <v>4693</v>
      </c>
      <c r="C207" s="3114">
        <v>88.46</v>
      </c>
      <c r="D207" s="3113" t="s">
        <v>2911</v>
      </c>
      <c r="H207" s="3118">
        <v>204</v>
      </c>
      <c r="I207" s="3115" t="s">
        <v>4692</v>
      </c>
      <c r="J207" s="3114">
        <v>127.19</v>
      </c>
      <c r="K207" s="3118" t="s">
        <v>3463</v>
      </c>
    </row>
    <row r="208" spans="1:11">
      <c r="A208" s="3113">
        <v>205</v>
      </c>
      <c r="B208" s="3115" t="s">
        <v>4691</v>
      </c>
      <c r="C208" s="3114">
        <v>88.46</v>
      </c>
      <c r="D208" s="3113" t="s">
        <v>2911</v>
      </c>
      <c r="H208" s="3118">
        <v>205</v>
      </c>
      <c r="I208" s="3115" t="s">
        <v>4690</v>
      </c>
      <c r="J208" s="3114">
        <v>127.19</v>
      </c>
      <c r="K208" s="3118" t="s">
        <v>3463</v>
      </c>
    </row>
    <row r="209" spans="1:11">
      <c r="A209" s="3113">
        <v>206</v>
      </c>
      <c r="B209" s="3115" t="s">
        <v>4689</v>
      </c>
      <c r="C209" s="3114">
        <v>88.46</v>
      </c>
      <c r="D209" s="3113" t="s">
        <v>2911</v>
      </c>
      <c r="H209" s="3118">
        <v>206</v>
      </c>
      <c r="I209" s="3115" t="s">
        <v>4688</v>
      </c>
      <c r="J209" s="3114">
        <v>127.19</v>
      </c>
      <c r="K209" s="3118" t="s">
        <v>3463</v>
      </c>
    </row>
    <row r="210" spans="1:11">
      <c r="A210" s="3113">
        <v>207</v>
      </c>
      <c r="B210" s="3115" t="s">
        <v>4687</v>
      </c>
      <c r="C210" s="3114">
        <v>88.46</v>
      </c>
      <c r="D210" s="3113" t="s">
        <v>2911</v>
      </c>
      <c r="H210" s="3118">
        <v>207</v>
      </c>
      <c r="I210" s="3115" t="s">
        <v>4686</v>
      </c>
      <c r="J210" s="3114">
        <v>127.19</v>
      </c>
      <c r="K210" s="3118" t="s">
        <v>3463</v>
      </c>
    </row>
    <row r="211" spans="1:11">
      <c r="A211" s="3113">
        <v>208</v>
      </c>
      <c r="B211" s="3115" t="s">
        <v>4685</v>
      </c>
      <c r="C211" s="3114">
        <v>88.46</v>
      </c>
      <c r="D211" s="3113" t="s">
        <v>2911</v>
      </c>
      <c r="H211" s="3118">
        <v>208</v>
      </c>
      <c r="I211" s="3115" t="s">
        <v>4684</v>
      </c>
      <c r="J211" s="3114">
        <v>114.04</v>
      </c>
      <c r="K211" s="3118" t="s">
        <v>3463</v>
      </c>
    </row>
    <row r="212" spans="1:11">
      <c r="A212" s="3113">
        <v>209</v>
      </c>
      <c r="B212" s="3115" t="s">
        <v>4683</v>
      </c>
      <c r="C212" s="3114">
        <v>88.46</v>
      </c>
      <c r="D212" s="3113" t="s">
        <v>2911</v>
      </c>
      <c r="H212" s="3118">
        <v>209</v>
      </c>
      <c r="I212" s="3115" t="s">
        <v>4682</v>
      </c>
      <c r="J212" s="3114">
        <v>87.98</v>
      </c>
      <c r="K212" s="3118" t="s">
        <v>3463</v>
      </c>
    </row>
    <row r="213" spans="1:11">
      <c r="A213" s="3113">
        <v>210</v>
      </c>
      <c r="B213" s="3115" t="s">
        <v>4681</v>
      </c>
      <c r="C213" s="3114">
        <v>88.46</v>
      </c>
      <c r="D213" s="3113" t="s">
        <v>2911</v>
      </c>
      <c r="H213" s="3118">
        <v>210</v>
      </c>
      <c r="I213" s="3115" t="s">
        <v>4680</v>
      </c>
      <c r="J213" s="3114">
        <v>87.98</v>
      </c>
      <c r="K213" s="3118" t="s">
        <v>3463</v>
      </c>
    </row>
    <row r="214" spans="1:11">
      <c r="A214" s="3113">
        <v>211</v>
      </c>
      <c r="B214" s="3115" t="s">
        <v>4679</v>
      </c>
      <c r="C214" s="3114">
        <v>88.46</v>
      </c>
      <c r="D214" s="3113" t="s">
        <v>2911</v>
      </c>
      <c r="H214" s="3118">
        <v>211</v>
      </c>
      <c r="I214" s="3115" t="s">
        <v>4678</v>
      </c>
      <c r="J214" s="3114">
        <v>87.98</v>
      </c>
      <c r="K214" s="3118" t="s">
        <v>3463</v>
      </c>
    </row>
    <row r="215" spans="1:11">
      <c r="A215" s="3113">
        <v>212</v>
      </c>
      <c r="B215" s="3115" t="s">
        <v>4677</v>
      </c>
      <c r="C215" s="3114">
        <v>88.46</v>
      </c>
      <c r="D215" s="3113" t="s">
        <v>2911</v>
      </c>
      <c r="H215" s="3118">
        <v>212</v>
      </c>
      <c r="I215" s="3115" t="s">
        <v>4676</v>
      </c>
      <c r="J215" s="3114">
        <v>87.98</v>
      </c>
      <c r="K215" s="3118" t="s">
        <v>3463</v>
      </c>
    </row>
    <row r="216" spans="1:11">
      <c r="A216" s="3113">
        <v>213</v>
      </c>
      <c r="B216" s="3115" t="s">
        <v>4675</v>
      </c>
      <c r="C216" s="3114">
        <v>88.46</v>
      </c>
      <c r="D216" s="3113" t="s">
        <v>2911</v>
      </c>
      <c r="H216" s="3118">
        <v>213</v>
      </c>
      <c r="I216" s="3115" t="s">
        <v>4674</v>
      </c>
      <c r="J216" s="3114">
        <v>87.98</v>
      </c>
      <c r="K216" s="3118" t="s">
        <v>3463</v>
      </c>
    </row>
    <row r="217" spans="1:11">
      <c r="A217" s="3113">
        <v>214</v>
      </c>
      <c r="B217" s="3115" t="s">
        <v>4673</v>
      </c>
      <c r="C217" s="3114">
        <v>88.46</v>
      </c>
      <c r="D217" s="3113" t="s">
        <v>2911</v>
      </c>
      <c r="H217" s="3118">
        <v>214</v>
      </c>
      <c r="I217" s="3115" t="s">
        <v>4672</v>
      </c>
      <c r="J217" s="3114">
        <v>87.98</v>
      </c>
      <c r="K217" s="3118" t="s">
        <v>3463</v>
      </c>
    </row>
    <row r="218" spans="1:11">
      <c r="A218" s="3113">
        <v>215</v>
      </c>
      <c r="B218" s="3115" t="s">
        <v>4671</v>
      </c>
      <c r="C218" s="3114">
        <v>88.46</v>
      </c>
      <c r="D218" s="3113" t="s">
        <v>2911</v>
      </c>
      <c r="H218" s="3118">
        <v>215</v>
      </c>
      <c r="I218" s="3115" t="s">
        <v>4670</v>
      </c>
      <c r="J218" s="3114">
        <v>87.98</v>
      </c>
      <c r="K218" s="3118" t="s">
        <v>3463</v>
      </c>
    </row>
    <row r="219" spans="1:11">
      <c r="A219" s="3113">
        <v>216</v>
      </c>
      <c r="B219" s="3115" t="s">
        <v>4669</v>
      </c>
      <c r="C219" s="3114">
        <v>88.46</v>
      </c>
      <c r="D219" s="3113" t="s">
        <v>2911</v>
      </c>
      <c r="H219" s="3118">
        <v>216</v>
      </c>
      <c r="I219" s="3115" t="s">
        <v>4668</v>
      </c>
      <c r="J219" s="3114">
        <v>87.98</v>
      </c>
      <c r="K219" s="3118" t="s">
        <v>3463</v>
      </c>
    </row>
    <row r="220" spans="1:11">
      <c r="A220" s="3113">
        <v>217</v>
      </c>
      <c r="B220" s="3115" t="s">
        <v>4667</v>
      </c>
      <c r="C220" s="3114">
        <v>58.21</v>
      </c>
      <c r="D220" s="3113" t="s">
        <v>2911</v>
      </c>
      <c r="H220" s="3118">
        <v>217</v>
      </c>
      <c r="I220" s="3115" t="s">
        <v>4666</v>
      </c>
      <c r="J220" s="3114">
        <v>87.98</v>
      </c>
      <c r="K220" s="3118" t="s">
        <v>3463</v>
      </c>
    </row>
    <row r="221" spans="1:11">
      <c r="A221" s="3113">
        <v>218</v>
      </c>
      <c r="B221" s="3115" t="s">
        <v>4665</v>
      </c>
      <c r="C221" s="3114">
        <v>58.21</v>
      </c>
      <c r="D221" s="3113" t="s">
        <v>2911</v>
      </c>
      <c r="H221" s="3118">
        <v>218</v>
      </c>
      <c r="I221" s="3115" t="s">
        <v>4664</v>
      </c>
      <c r="J221" s="3114">
        <v>87.98</v>
      </c>
      <c r="K221" s="3118" t="s">
        <v>3463</v>
      </c>
    </row>
    <row r="222" spans="1:11">
      <c r="A222" s="3113">
        <v>219</v>
      </c>
      <c r="B222" s="3115" t="s">
        <v>4663</v>
      </c>
      <c r="C222" s="3114">
        <v>58.21</v>
      </c>
      <c r="D222" s="3113" t="s">
        <v>2911</v>
      </c>
      <c r="H222" s="3118">
        <v>219</v>
      </c>
      <c r="I222" s="3115" t="s">
        <v>4662</v>
      </c>
      <c r="J222" s="3114">
        <v>87.98</v>
      </c>
      <c r="K222" s="3118" t="s">
        <v>3463</v>
      </c>
    </row>
    <row r="223" spans="1:11">
      <c r="A223" s="3113">
        <v>220</v>
      </c>
      <c r="B223" s="3115" t="s">
        <v>4661</v>
      </c>
      <c r="C223" s="3114">
        <v>58.21</v>
      </c>
      <c r="D223" s="3113" t="s">
        <v>2911</v>
      </c>
      <c r="H223" s="3118">
        <v>220</v>
      </c>
      <c r="I223" s="3115" t="s">
        <v>4660</v>
      </c>
      <c r="J223" s="3114">
        <v>87.98</v>
      </c>
      <c r="K223" s="3118" t="s">
        <v>3463</v>
      </c>
    </row>
    <row r="224" spans="1:11">
      <c r="A224" s="3113">
        <v>221</v>
      </c>
      <c r="B224" s="3115" t="s">
        <v>4659</v>
      </c>
      <c r="C224" s="3114">
        <v>58.21</v>
      </c>
      <c r="D224" s="3113" t="s">
        <v>2911</v>
      </c>
      <c r="H224" s="3118">
        <v>221</v>
      </c>
      <c r="I224" s="3115" t="s">
        <v>4658</v>
      </c>
      <c r="J224" s="3114">
        <v>87.98</v>
      </c>
      <c r="K224" s="3118" t="s">
        <v>3463</v>
      </c>
    </row>
    <row r="225" spans="1:11">
      <c r="A225" s="3113">
        <v>222</v>
      </c>
      <c r="B225" s="3115" t="s">
        <v>4657</v>
      </c>
      <c r="C225" s="3114">
        <v>58.21</v>
      </c>
      <c r="D225" s="3113" t="s">
        <v>2911</v>
      </c>
      <c r="H225" s="3118">
        <v>222</v>
      </c>
      <c r="I225" s="3115" t="s">
        <v>4656</v>
      </c>
      <c r="J225" s="3114">
        <v>87.98</v>
      </c>
      <c r="K225" s="3118" t="s">
        <v>3463</v>
      </c>
    </row>
    <row r="226" spans="1:11">
      <c r="A226" s="3113">
        <v>223</v>
      </c>
      <c r="B226" s="3115" t="s">
        <v>4655</v>
      </c>
      <c r="C226" s="3114">
        <v>58.21</v>
      </c>
      <c r="D226" s="3113" t="s">
        <v>2911</v>
      </c>
      <c r="H226" s="3118">
        <v>223</v>
      </c>
      <c r="I226" s="3115" t="s">
        <v>4654</v>
      </c>
      <c r="J226" s="3114">
        <v>87.98</v>
      </c>
      <c r="K226" s="3118" t="s">
        <v>3463</v>
      </c>
    </row>
    <row r="227" spans="1:11">
      <c r="A227" s="3113">
        <v>224</v>
      </c>
      <c r="B227" s="3115" t="s">
        <v>4653</v>
      </c>
      <c r="C227" s="3114">
        <v>58.21</v>
      </c>
      <c r="D227" s="3113" t="s">
        <v>2911</v>
      </c>
      <c r="H227" s="3118">
        <v>224</v>
      </c>
      <c r="I227" s="3115" t="s">
        <v>4652</v>
      </c>
      <c r="J227" s="3114">
        <v>87.98</v>
      </c>
      <c r="K227" s="3118" t="s">
        <v>3463</v>
      </c>
    </row>
    <row r="228" spans="1:11">
      <c r="A228" s="3113">
        <v>225</v>
      </c>
      <c r="B228" s="3115" t="s">
        <v>4651</v>
      </c>
      <c r="C228" s="3114">
        <v>58.21</v>
      </c>
      <c r="D228" s="3113" t="s">
        <v>2911</v>
      </c>
      <c r="H228" s="3118">
        <v>225</v>
      </c>
      <c r="I228" s="3115" t="s">
        <v>4650</v>
      </c>
      <c r="J228" s="3114">
        <v>87.98</v>
      </c>
      <c r="K228" s="3118" t="s">
        <v>3463</v>
      </c>
    </row>
    <row r="229" spans="1:11">
      <c r="A229" s="3113">
        <v>226</v>
      </c>
      <c r="B229" s="3115" t="s">
        <v>4649</v>
      </c>
      <c r="C229" s="3114">
        <v>58.21</v>
      </c>
      <c r="D229" s="3113" t="s">
        <v>2911</v>
      </c>
      <c r="H229" s="3118">
        <v>226</v>
      </c>
      <c r="I229" s="3115" t="s">
        <v>4648</v>
      </c>
      <c r="J229" s="3114">
        <v>87.98</v>
      </c>
      <c r="K229" s="3118" t="s">
        <v>3463</v>
      </c>
    </row>
    <row r="230" spans="1:11">
      <c r="A230" s="3113">
        <v>227</v>
      </c>
      <c r="B230" s="3115" t="s">
        <v>4647</v>
      </c>
      <c r="C230" s="3114">
        <v>58.21</v>
      </c>
      <c r="D230" s="3113" t="s">
        <v>2911</v>
      </c>
      <c r="H230" s="3118">
        <v>227</v>
      </c>
      <c r="I230" s="3115" t="s">
        <v>4646</v>
      </c>
      <c r="J230" s="3114">
        <v>87.98</v>
      </c>
      <c r="K230" s="3118" t="s">
        <v>3463</v>
      </c>
    </row>
    <row r="231" spans="1:11">
      <c r="A231" s="3113">
        <v>228</v>
      </c>
      <c r="B231" s="3115" t="s">
        <v>4645</v>
      </c>
      <c r="C231" s="3114">
        <v>58.21</v>
      </c>
      <c r="D231" s="3113" t="s">
        <v>2911</v>
      </c>
      <c r="H231" s="3118">
        <v>228</v>
      </c>
      <c r="I231" s="3115" t="s">
        <v>4644</v>
      </c>
      <c r="J231" s="3114">
        <v>87.98</v>
      </c>
      <c r="K231" s="3118" t="s">
        <v>3463</v>
      </c>
    </row>
    <row r="232" spans="1:11">
      <c r="A232" s="3113">
        <v>229</v>
      </c>
      <c r="B232" s="3115" t="s">
        <v>4643</v>
      </c>
      <c r="C232" s="3114">
        <v>58.21</v>
      </c>
      <c r="D232" s="3113" t="s">
        <v>2911</v>
      </c>
      <c r="H232" s="3118">
        <v>229</v>
      </c>
      <c r="I232" s="3115" t="s">
        <v>4642</v>
      </c>
      <c r="J232" s="3114">
        <v>87.98</v>
      </c>
      <c r="K232" s="3118" t="s">
        <v>3463</v>
      </c>
    </row>
    <row r="233" spans="1:11">
      <c r="A233" s="3113">
        <v>230</v>
      </c>
      <c r="B233" s="3115" t="s">
        <v>4641</v>
      </c>
      <c r="C233" s="3114">
        <v>58.21</v>
      </c>
      <c r="D233" s="3113" t="s">
        <v>2911</v>
      </c>
      <c r="H233" s="3118">
        <v>230</v>
      </c>
      <c r="I233" s="3115" t="s">
        <v>4640</v>
      </c>
      <c r="J233" s="3114">
        <v>87.98</v>
      </c>
      <c r="K233" s="3118" t="s">
        <v>3463</v>
      </c>
    </row>
    <row r="234" spans="1:11">
      <c r="A234" s="3113">
        <v>231</v>
      </c>
      <c r="B234" s="3115" t="s">
        <v>4639</v>
      </c>
      <c r="C234" s="3114">
        <v>58.21</v>
      </c>
      <c r="D234" s="3113" t="s">
        <v>2911</v>
      </c>
      <c r="H234" s="3118">
        <v>231</v>
      </c>
      <c r="I234" s="3115" t="s">
        <v>4638</v>
      </c>
      <c r="J234" s="3114">
        <v>87.98</v>
      </c>
      <c r="K234" s="3118" t="s">
        <v>3463</v>
      </c>
    </row>
    <row r="235" spans="1:11">
      <c r="A235" s="3113">
        <v>232</v>
      </c>
      <c r="B235" s="3115" t="s">
        <v>4637</v>
      </c>
      <c r="C235" s="3114">
        <v>58.21</v>
      </c>
      <c r="D235" s="3113" t="s">
        <v>2911</v>
      </c>
      <c r="H235" s="3118">
        <v>232</v>
      </c>
      <c r="I235" s="3115" t="s">
        <v>4636</v>
      </c>
      <c r="J235" s="3114">
        <v>87.98</v>
      </c>
      <c r="K235" s="3118" t="s">
        <v>3463</v>
      </c>
    </row>
    <row r="236" spans="1:11">
      <c r="A236" s="3113">
        <v>233</v>
      </c>
      <c r="B236" s="3115" t="s">
        <v>4635</v>
      </c>
      <c r="C236" s="3114">
        <v>58.21</v>
      </c>
      <c r="D236" s="3113" t="s">
        <v>2911</v>
      </c>
      <c r="H236" s="3118">
        <v>233</v>
      </c>
      <c r="I236" s="3115" t="s">
        <v>4634</v>
      </c>
      <c r="J236" s="3114">
        <v>87.98</v>
      </c>
      <c r="K236" s="3118" t="s">
        <v>3463</v>
      </c>
    </row>
    <row r="237" spans="1:11">
      <c r="A237" s="3113">
        <v>234</v>
      </c>
      <c r="B237" s="3115" t="s">
        <v>4633</v>
      </c>
      <c r="C237" s="3114">
        <v>58.21</v>
      </c>
      <c r="D237" s="3113" t="s">
        <v>2911</v>
      </c>
      <c r="H237" s="3118">
        <v>234</v>
      </c>
      <c r="I237" s="3115" t="s">
        <v>4632</v>
      </c>
      <c r="J237" s="3114">
        <v>87.98</v>
      </c>
      <c r="K237" s="3118" t="s">
        <v>3463</v>
      </c>
    </row>
    <row r="238" spans="1:11">
      <c r="A238" s="3113">
        <v>235</v>
      </c>
      <c r="B238" s="3115" t="s">
        <v>4631</v>
      </c>
      <c r="C238" s="3114">
        <v>58.21</v>
      </c>
      <c r="D238" s="3113" t="s">
        <v>2911</v>
      </c>
      <c r="H238" s="3118">
        <v>235</v>
      </c>
      <c r="I238" s="3115" t="s">
        <v>4630</v>
      </c>
      <c r="J238" s="3114">
        <v>87.98</v>
      </c>
      <c r="K238" s="3118" t="s">
        <v>3463</v>
      </c>
    </row>
    <row r="239" spans="1:11">
      <c r="A239" s="3113">
        <v>236</v>
      </c>
      <c r="B239" s="3115" t="s">
        <v>4629</v>
      </c>
      <c r="C239" s="3114">
        <v>58.21</v>
      </c>
      <c r="D239" s="3113" t="s">
        <v>2911</v>
      </c>
      <c r="H239" s="3118">
        <v>236</v>
      </c>
      <c r="I239" s="3115" t="s">
        <v>4628</v>
      </c>
      <c r="J239" s="3114">
        <v>87.98</v>
      </c>
      <c r="K239" s="3118" t="s">
        <v>3463</v>
      </c>
    </row>
    <row r="240" spans="1:11">
      <c r="A240" s="3113">
        <v>237</v>
      </c>
      <c r="B240" s="3115" t="s">
        <v>4627</v>
      </c>
      <c r="C240" s="3114">
        <v>58.21</v>
      </c>
      <c r="D240" s="3113" t="s">
        <v>2911</v>
      </c>
      <c r="H240" s="3118">
        <v>237</v>
      </c>
      <c r="I240" s="3115" t="s">
        <v>4626</v>
      </c>
      <c r="J240" s="3114">
        <v>87.98</v>
      </c>
      <c r="K240" s="3118" t="s">
        <v>3463</v>
      </c>
    </row>
    <row r="241" spans="1:11">
      <c r="A241" s="3113">
        <v>238</v>
      </c>
      <c r="B241" s="3115" t="s">
        <v>4625</v>
      </c>
      <c r="C241" s="3114">
        <v>58.21</v>
      </c>
      <c r="D241" s="3113" t="s">
        <v>2911</v>
      </c>
      <c r="H241" s="3118">
        <v>238</v>
      </c>
      <c r="I241" s="3115" t="s">
        <v>4624</v>
      </c>
      <c r="J241" s="3114">
        <v>88</v>
      </c>
      <c r="K241" s="3118" t="s">
        <v>3463</v>
      </c>
    </row>
    <row r="242" spans="1:11">
      <c r="A242" s="3113">
        <v>239</v>
      </c>
      <c r="B242" s="3115" t="s">
        <v>4623</v>
      </c>
      <c r="C242" s="3114">
        <v>58.21</v>
      </c>
      <c r="D242" s="3113" t="s">
        <v>2911</v>
      </c>
      <c r="H242" s="3118">
        <v>239</v>
      </c>
      <c r="I242" s="3115" t="s">
        <v>4622</v>
      </c>
      <c r="J242" s="3114">
        <v>88</v>
      </c>
      <c r="K242" s="3118" t="s">
        <v>3463</v>
      </c>
    </row>
    <row r="243" spans="1:11">
      <c r="A243" s="3113">
        <v>240</v>
      </c>
      <c r="B243" s="3115" t="s">
        <v>4621</v>
      </c>
      <c r="C243" s="3114">
        <v>58.21</v>
      </c>
      <c r="D243" s="3113" t="s">
        <v>2911</v>
      </c>
      <c r="H243" s="3118">
        <v>240</v>
      </c>
      <c r="I243" s="3115" t="s">
        <v>4620</v>
      </c>
      <c r="J243" s="3114">
        <v>88</v>
      </c>
      <c r="K243" s="3118" t="s">
        <v>3463</v>
      </c>
    </row>
    <row r="244" spans="1:11">
      <c r="A244" s="3113">
        <v>241</v>
      </c>
      <c r="B244" s="3115" t="s">
        <v>4619</v>
      </c>
      <c r="C244" s="3114">
        <v>58.21</v>
      </c>
      <c r="D244" s="3113" t="s">
        <v>2911</v>
      </c>
      <c r="H244" s="3118">
        <v>241</v>
      </c>
      <c r="I244" s="3115" t="s">
        <v>4618</v>
      </c>
      <c r="J244" s="3114">
        <v>88</v>
      </c>
      <c r="K244" s="3118" t="s">
        <v>3463</v>
      </c>
    </row>
    <row r="245" spans="1:11">
      <c r="A245" s="3113">
        <v>242</v>
      </c>
      <c r="B245" s="3115" t="s">
        <v>4617</v>
      </c>
      <c r="C245" s="3114">
        <v>58.21</v>
      </c>
      <c r="D245" s="3113" t="s">
        <v>2911</v>
      </c>
      <c r="H245" s="3118">
        <v>242</v>
      </c>
      <c r="I245" s="3115" t="s">
        <v>4616</v>
      </c>
      <c r="J245" s="3114">
        <v>88</v>
      </c>
      <c r="K245" s="3118" t="s">
        <v>3463</v>
      </c>
    </row>
    <row r="246" spans="1:11">
      <c r="A246" s="3113">
        <v>243</v>
      </c>
      <c r="B246" s="3115" t="s">
        <v>4615</v>
      </c>
      <c r="C246" s="3114">
        <v>58.21</v>
      </c>
      <c r="D246" s="3113" t="s">
        <v>2911</v>
      </c>
      <c r="H246" s="3118">
        <v>243</v>
      </c>
      <c r="I246" s="3115" t="s">
        <v>4614</v>
      </c>
      <c r="J246" s="3114">
        <v>88</v>
      </c>
      <c r="K246" s="3118" t="s">
        <v>3463</v>
      </c>
    </row>
    <row r="247" spans="1:11">
      <c r="A247" s="3113">
        <v>244</v>
      </c>
      <c r="B247" s="3115" t="s">
        <v>4613</v>
      </c>
      <c r="C247" s="3114">
        <v>58.21</v>
      </c>
      <c r="D247" s="3113" t="s">
        <v>2911</v>
      </c>
      <c r="H247" s="3118">
        <v>244</v>
      </c>
      <c r="I247" s="3115" t="s">
        <v>4612</v>
      </c>
      <c r="J247" s="3114">
        <v>88</v>
      </c>
      <c r="K247" s="3118" t="s">
        <v>3463</v>
      </c>
    </row>
    <row r="248" spans="1:11">
      <c r="A248" s="3113">
        <v>245</v>
      </c>
      <c r="B248" s="3115" t="s">
        <v>4611</v>
      </c>
      <c r="C248" s="3114">
        <v>58.57</v>
      </c>
      <c r="D248" s="3113" t="s">
        <v>2911</v>
      </c>
      <c r="H248" s="3118">
        <v>245</v>
      </c>
      <c r="I248" s="3115" t="s">
        <v>4610</v>
      </c>
      <c r="J248" s="3114">
        <v>88</v>
      </c>
      <c r="K248" s="3118" t="s">
        <v>3463</v>
      </c>
    </row>
    <row r="249" spans="1:11">
      <c r="A249" s="3113">
        <v>246</v>
      </c>
      <c r="B249" s="3115" t="s">
        <v>4609</v>
      </c>
      <c r="C249" s="3114">
        <v>58.57</v>
      </c>
      <c r="D249" s="3113" t="s">
        <v>2911</v>
      </c>
      <c r="H249" s="3118">
        <v>246</v>
      </c>
      <c r="I249" s="3115" t="s">
        <v>4608</v>
      </c>
      <c r="J249" s="3114">
        <v>88</v>
      </c>
      <c r="K249" s="3118" t="s">
        <v>3463</v>
      </c>
    </row>
    <row r="250" spans="1:11">
      <c r="A250" s="3113">
        <v>247</v>
      </c>
      <c r="B250" s="3115" t="s">
        <v>4607</v>
      </c>
      <c r="C250" s="3114">
        <v>58.57</v>
      </c>
      <c r="D250" s="3113" t="s">
        <v>2911</v>
      </c>
      <c r="H250" s="3118">
        <v>247</v>
      </c>
      <c r="I250" s="3115" t="s">
        <v>4606</v>
      </c>
      <c r="J250" s="3114">
        <v>88</v>
      </c>
      <c r="K250" s="3118" t="s">
        <v>3463</v>
      </c>
    </row>
    <row r="251" spans="1:11">
      <c r="A251" s="3113">
        <v>248</v>
      </c>
      <c r="B251" s="3115" t="s">
        <v>4605</v>
      </c>
      <c r="C251" s="3114">
        <v>58.57</v>
      </c>
      <c r="D251" s="3113" t="s">
        <v>2911</v>
      </c>
      <c r="H251" s="3118">
        <v>248</v>
      </c>
      <c r="I251" s="3115" t="s">
        <v>4604</v>
      </c>
      <c r="J251" s="3114">
        <v>88</v>
      </c>
      <c r="K251" s="3118" t="s">
        <v>3463</v>
      </c>
    </row>
    <row r="252" spans="1:11">
      <c r="A252" s="3113">
        <v>249</v>
      </c>
      <c r="B252" s="3115" t="s">
        <v>4603</v>
      </c>
      <c r="C252" s="3114">
        <v>58.57</v>
      </c>
      <c r="D252" s="3113" t="s">
        <v>2911</v>
      </c>
      <c r="H252" s="3118">
        <v>249</v>
      </c>
      <c r="I252" s="3115" t="s">
        <v>4602</v>
      </c>
      <c r="J252" s="3114">
        <v>88</v>
      </c>
      <c r="K252" s="3118" t="s">
        <v>3463</v>
      </c>
    </row>
    <row r="253" spans="1:11">
      <c r="A253" s="3113">
        <v>250</v>
      </c>
      <c r="B253" s="3115" t="s">
        <v>4601</v>
      </c>
      <c r="C253" s="3114">
        <v>58.57</v>
      </c>
      <c r="D253" s="3113" t="s">
        <v>2911</v>
      </c>
      <c r="H253" s="3118">
        <v>250</v>
      </c>
      <c r="I253" s="3115" t="s">
        <v>4600</v>
      </c>
      <c r="J253" s="3114">
        <v>88</v>
      </c>
      <c r="K253" s="3118" t="s">
        <v>3463</v>
      </c>
    </row>
    <row r="254" spans="1:11">
      <c r="A254" s="3113">
        <v>251</v>
      </c>
      <c r="B254" s="3115" t="s">
        <v>4599</v>
      </c>
      <c r="C254" s="3114">
        <v>58.57</v>
      </c>
      <c r="D254" s="3113" t="s">
        <v>2911</v>
      </c>
      <c r="H254" s="3118">
        <v>251</v>
      </c>
      <c r="I254" s="3115" t="s">
        <v>4598</v>
      </c>
      <c r="J254" s="3114">
        <v>88</v>
      </c>
      <c r="K254" s="3118" t="s">
        <v>3463</v>
      </c>
    </row>
    <row r="255" spans="1:11">
      <c r="A255" s="3113">
        <v>252</v>
      </c>
      <c r="B255" s="3115" t="s">
        <v>4597</v>
      </c>
      <c r="C255" s="3114">
        <v>58.57</v>
      </c>
      <c r="D255" s="3113" t="s">
        <v>2911</v>
      </c>
      <c r="H255" s="3118">
        <v>252</v>
      </c>
      <c r="I255" s="3115" t="s">
        <v>4596</v>
      </c>
      <c r="J255" s="3114">
        <v>88</v>
      </c>
      <c r="K255" s="3118" t="s">
        <v>3463</v>
      </c>
    </row>
    <row r="256" spans="1:11">
      <c r="A256" s="3113">
        <v>253</v>
      </c>
      <c r="B256" s="3115" t="s">
        <v>4595</v>
      </c>
      <c r="C256" s="3114">
        <v>58.57</v>
      </c>
      <c r="D256" s="3113" t="s">
        <v>2911</v>
      </c>
      <c r="H256" s="3118">
        <v>253</v>
      </c>
      <c r="I256" s="3115" t="s">
        <v>4594</v>
      </c>
      <c r="J256" s="3114">
        <v>88</v>
      </c>
      <c r="K256" s="3118" t="s">
        <v>3463</v>
      </c>
    </row>
    <row r="257" spans="1:11">
      <c r="A257" s="3113">
        <v>254</v>
      </c>
      <c r="B257" s="3115" t="s">
        <v>4593</v>
      </c>
      <c r="C257" s="3114">
        <v>58.57</v>
      </c>
      <c r="D257" s="3113" t="s">
        <v>2911</v>
      </c>
      <c r="H257" s="3118">
        <v>254</v>
      </c>
      <c r="I257" s="3115" t="s">
        <v>4592</v>
      </c>
      <c r="J257" s="3114">
        <v>88</v>
      </c>
      <c r="K257" s="3118" t="s">
        <v>3463</v>
      </c>
    </row>
    <row r="258" spans="1:11">
      <c r="A258" s="3113">
        <v>255</v>
      </c>
      <c r="B258" s="3115" t="s">
        <v>4591</v>
      </c>
      <c r="C258" s="3114">
        <v>58.57</v>
      </c>
      <c r="D258" s="3113" t="s">
        <v>2911</v>
      </c>
      <c r="H258" s="3118">
        <v>255</v>
      </c>
      <c r="I258" s="3115" t="s">
        <v>4590</v>
      </c>
      <c r="J258" s="3114">
        <v>88</v>
      </c>
      <c r="K258" s="3118" t="s">
        <v>3463</v>
      </c>
    </row>
    <row r="259" spans="1:11">
      <c r="A259" s="3113">
        <v>256</v>
      </c>
      <c r="B259" s="3115" t="s">
        <v>4589</v>
      </c>
      <c r="C259" s="3114">
        <v>58.57</v>
      </c>
      <c r="D259" s="3113" t="s">
        <v>2911</v>
      </c>
      <c r="H259" s="3118">
        <v>256</v>
      </c>
      <c r="I259" s="3115" t="s">
        <v>4588</v>
      </c>
      <c r="J259" s="3114">
        <v>88</v>
      </c>
      <c r="K259" s="3118" t="s">
        <v>3463</v>
      </c>
    </row>
    <row r="260" spans="1:11">
      <c r="A260" s="3113">
        <v>257</v>
      </c>
      <c r="B260" s="3115" t="s">
        <v>4587</v>
      </c>
      <c r="C260" s="3114">
        <v>58.57</v>
      </c>
      <c r="D260" s="3113" t="s">
        <v>2911</v>
      </c>
      <c r="H260" s="3118">
        <v>257</v>
      </c>
      <c r="I260" s="3115" t="s">
        <v>4586</v>
      </c>
      <c r="J260" s="3114">
        <v>88</v>
      </c>
      <c r="K260" s="3118" t="s">
        <v>3463</v>
      </c>
    </row>
    <row r="261" spans="1:11">
      <c r="A261" s="3113">
        <v>258</v>
      </c>
      <c r="B261" s="3115" t="s">
        <v>4585</v>
      </c>
      <c r="C261" s="3114">
        <v>58.57</v>
      </c>
      <c r="D261" s="3113" t="s">
        <v>2911</v>
      </c>
      <c r="H261" s="3118">
        <v>258</v>
      </c>
      <c r="I261" s="3115" t="s">
        <v>4584</v>
      </c>
      <c r="J261" s="3114">
        <v>88</v>
      </c>
      <c r="K261" s="3118" t="s">
        <v>3463</v>
      </c>
    </row>
    <row r="262" spans="1:11">
      <c r="A262" s="3113">
        <v>259</v>
      </c>
      <c r="B262" s="3115" t="s">
        <v>4583</v>
      </c>
      <c r="C262" s="3114">
        <v>58.57</v>
      </c>
      <c r="D262" s="3113" t="s">
        <v>2911</v>
      </c>
      <c r="H262" s="3118">
        <v>259</v>
      </c>
      <c r="I262" s="3115" t="s">
        <v>4582</v>
      </c>
      <c r="J262" s="3114">
        <v>88</v>
      </c>
      <c r="K262" s="3118" t="s">
        <v>3463</v>
      </c>
    </row>
    <row r="263" spans="1:11">
      <c r="A263" s="3113">
        <v>260</v>
      </c>
      <c r="B263" s="3115" t="s">
        <v>4581</v>
      </c>
      <c r="C263" s="3114">
        <v>58.57</v>
      </c>
      <c r="D263" s="3113" t="s">
        <v>2911</v>
      </c>
      <c r="H263" s="3118">
        <v>260</v>
      </c>
      <c r="I263" s="3115" t="s">
        <v>4580</v>
      </c>
      <c r="J263" s="3114">
        <v>88</v>
      </c>
      <c r="K263" s="3118" t="s">
        <v>3463</v>
      </c>
    </row>
    <row r="264" spans="1:11">
      <c r="A264" s="3113">
        <v>261</v>
      </c>
      <c r="B264" s="3115" t="s">
        <v>4579</v>
      </c>
      <c r="C264" s="3114">
        <v>58.57</v>
      </c>
      <c r="D264" s="3113" t="s">
        <v>2911</v>
      </c>
      <c r="H264" s="3118">
        <v>261</v>
      </c>
      <c r="I264" s="3115" t="s">
        <v>4578</v>
      </c>
      <c r="J264" s="3114">
        <v>88</v>
      </c>
      <c r="K264" s="3118" t="s">
        <v>3463</v>
      </c>
    </row>
    <row r="265" spans="1:11">
      <c r="A265" s="3113">
        <v>262</v>
      </c>
      <c r="B265" s="3115" t="s">
        <v>4577</v>
      </c>
      <c r="C265" s="3114">
        <v>58.57</v>
      </c>
      <c r="D265" s="3113" t="s">
        <v>2911</v>
      </c>
      <c r="H265" s="3118">
        <v>262</v>
      </c>
      <c r="I265" s="3115" t="s">
        <v>4576</v>
      </c>
      <c r="J265" s="3114">
        <v>88</v>
      </c>
      <c r="K265" s="3118" t="s">
        <v>3463</v>
      </c>
    </row>
    <row r="266" spans="1:11">
      <c r="A266" s="3113">
        <v>263</v>
      </c>
      <c r="B266" s="3115" t="s">
        <v>4575</v>
      </c>
      <c r="C266" s="3114">
        <v>58.57</v>
      </c>
      <c r="D266" s="3113" t="s">
        <v>2911</v>
      </c>
      <c r="H266" s="3118">
        <v>263</v>
      </c>
      <c r="I266" s="3115" t="s">
        <v>4574</v>
      </c>
      <c r="J266" s="3114">
        <v>88</v>
      </c>
      <c r="K266" s="3118" t="s">
        <v>3463</v>
      </c>
    </row>
    <row r="267" spans="1:11">
      <c r="A267" s="3113">
        <v>264</v>
      </c>
      <c r="B267" s="3115" t="s">
        <v>4573</v>
      </c>
      <c r="C267" s="3114">
        <v>58.57</v>
      </c>
      <c r="D267" s="3113" t="s">
        <v>2911</v>
      </c>
      <c r="H267" s="3118">
        <v>264</v>
      </c>
      <c r="I267" s="3115" t="s">
        <v>4572</v>
      </c>
      <c r="J267" s="3114">
        <v>88</v>
      </c>
      <c r="K267" s="3118" t="s">
        <v>3463</v>
      </c>
    </row>
    <row r="268" spans="1:11">
      <c r="A268" s="3113">
        <v>265</v>
      </c>
      <c r="B268" s="3115" t="s">
        <v>4571</v>
      </c>
      <c r="C268" s="3114">
        <v>58.57</v>
      </c>
      <c r="D268" s="3113" t="s">
        <v>2911</v>
      </c>
      <c r="H268" s="3118">
        <v>265</v>
      </c>
      <c r="I268" s="3115" t="s">
        <v>4570</v>
      </c>
      <c r="J268" s="3114">
        <v>88</v>
      </c>
      <c r="K268" s="3118" t="s">
        <v>3463</v>
      </c>
    </row>
    <row r="269" spans="1:11">
      <c r="A269" s="3113">
        <v>266</v>
      </c>
      <c r="B269" s="3115" t="s">
        <v>4569</v>
      </c>
      <c r="C269" s="3114">
        <v>58.57</v>
      </c>
      <c r="D269" s="3113" t="s">
        <v>2911</v>
      </c>
      <c r="H269" s="3118">
        <v>266</v>
      </c>
      <c r="I269" s="3115" t="s">
        <v>4568</v>
      </c>
      <c r="J269" s="3114">
        <v>88.11</v>
      </c>
      <c r="K269" s="3118" t="s">
        <v>3463</v>
      </c>
    </row>
    <row r="270" spans="1:11">
      <c r="A270" s="3113">
        <v>267</v>
      </c>
      <c r="B270" s="3115" t="s">
        <v>4567</v>
      </c>
      <c r="C270" s="3114">
        <v>58.57</v>
      </c>
      <c r="D270" s="3113" t="s">
        <v>2911</v>
      </c>
      <c r="H270" s="3118">
        <v>267</v>
      </c>
      <c r="I270" s="3115" t="s">
        <v>4566</v>
      </c>
      <c r="J270" s="3114">
        <v>107.91</v>
      </c>
      <c r="K270" s="3118" t="s">
        <v>3463</v>
      </c>
    </row>
    <row r="271" spans="1:11">
      <c r="A271" s="3113">
        <v>268</v>
      </c>
      <c r="B271" s="3115" t="s">
        <v>4565</v>
      </c>
      <c r="C271" s="3114">
        <v>58.57</v>
      </c>
      <c r="D271" s="3113" t="s">
        <v>2911</v>
      </c>
      <c r="H271" s="3118">
        <v>268</v>
      </c>
      <c r="I271" s="3115" t="s">
        <v>4564</v>
      </c>
      <c r="J271" s="3114">
        <v>107.91</v>
      </c>
      <c r="K271" s="3118" t="s">
        <v>3463</v>
      </c>
    </row>
    <row r="272" spans="1:11">
      <c r="A272" s="3113">
        <v>269</v>
      </c>
      <c r="B272" s="3115" t="s">
        <v>4563</v>
      </c>
      <c r="C272" s="3114">
        <v>58.57</v>
      </c>
      <c r="D272" s="3113" t="s">
        <v>2911</v>
      </c>
      <c r="H272" s="3118">
        <v>269</v>
      </c>
      <c r="I272" s="3115" t="s">
        <v>4562</v>
      </c>
      <c r="J272" s="3114">
        <v>107.91</v>
      </c>
      <c r="K272" s="3118" t="s">
        <v>3463</v>
      </c>
    </row>
    <row r="273" spans="1:11">
      <c r="A273" s="3113">
        <v>270</v>
      </c>
      <c r="B273" s="3115" t="s">
        <v>4561</v>
      </c>
      <c r="C273" s="3114">
        <v>58.57</v>
      </c>
      <c r="D273" s="3113" t="s">
        <v>2911</v>
      </c>
      <c r="H273" s="3118">
        <v>270</v>
      </c>
      <c r="I273" s="3115" t="s">
        <v>4560</v>
      </c>
      <c r="J273" s="3114">
        <v>107.91</v>
      </c>
      <c r="K273" s="3118" t="s">
        <v>3463</v>
      </c>
    </row>
    <row r="274" spans="1:11">
      <c r="A274" s="3113">
        <v>271</v>
      </c>
      <c r="B274" s="3115" t="s">
        <v>4559</v>
      </c>
      <c r="C274" s="3114">
        <v>58.57</v>
      </c>
      <c r="D274" s="3113" t="s">
        <v>2911</v>
      </c>
      <c r="H274" s="3118">
        <v>271</v>
      </c>
      <c r="I274" s="3115" t="s">
        <v>4558</v>
      </c>
      <c r="J274" s="3114">
        <v>107.91</v>
      </c>
      <c r="K274" s="3118" t="s">
        <v>3463</v>
      </c>
    </row>
    <row r="275" spans="1:11">
      <c r="A275" s="3113">
        <v>272</v>
      </c>
      <c r="B275" s="3115" t="s">
        <v>4557</v>
      </c>
      <c r="C275" s="3114">
        <v>58.57</v>
      </c>
      <c r="D275" s="3113" t="s">
        <v>2911</v>
      </c>
      <c r="H275" s="3118">
        <v>272</v>
      </c>
      <c r="I275" s="3115" t="s">
        <v>4556</v>
      </c>
      <c r="J275" s="3114">
        <v>107.91</v>
      </c>
      <c r="K275" s="3118" t="s">
        <v>3463</v>
      </c>
    </row>
    <row r="276" spans="1:11">
      <c r="A276" s="3113">
        <v>273</v>
      </c>
      <c r="B276" s="3115" t="s">
        <v>4555</v>
      </c>
      <c r="C276" s="3114">
        <v>58.57</v>
      </c>
      <c r="D276" s="3113" t="s">
        <v>2911</v>
      </c>
      <c r="H276" s="3118">
        <v>273</v>
      </c>
      <c r="I276" s="3115" t="s">
        <v>4554</v>
      </c>
      <c r="J276" s="3114">
        <v>107.91</v>
      </c>
      <c r="K276" s="3118" t="s">
        <v>3463</v>
      </c>
    </row>
    <row r="277" spans="1:11">
      <c r="A277" s="3113">
        <v>274</v>
      </c>
      <c r="B277" s="3115" t="s">
        <v>4553</v>
      </c>
      <c r="C277" s="3114">
        <v>112.87</v>
      </c>
      <c r="D277" s="3113" t="s">
        <v>2911</v>
      </c>
      <c r="H277" s="3118">
        <v>274</v>
      </c>
      <c r="I277" s="3115" t="s">
        <v>4552</v>
      </c>
      <c r="J277" s="3114">
        <v>107.91</v>
      </c>
      <c r="K277" s="3118" t="s">
        <v>3463</v>
      </c>
    </row>
    <row r="278" spans="1:11">
      <c r="A278" s="3113">
        <v>275</v>
      </c>
      <c r="B278" s="3115" t="s">
        <v>4551</v>
      </c>
      <c r="C278" s="3114">
        <v>112.87</v>
      </c>
      <c r="D278" s="3113" t="s">
        <v>2911</v>
      </c>
      <c r="H278" s="3118">
        <v>275</v>
      </c>
      <c r="I278" s="3115" t="s">
        <v>4550</v>
      </c>
      <c r="J278" s="3114">
        <v>107.91</v>
      </c>
      <c r="K278" s="3118" t="s">
        <v>3463</v>
      </c>
    </row>
    <row r="279" spans="1:11">
      <c r="A279" s="3113">
        <v>276</v>
      </c>
      <c r="B279" s="3115" t="s">
        <v>4549</v>
      </c>
      <c r="C279" s="3114">
        <v>112.87</v>
      </c>
      <c r="D279" s="3113" t="s">
        <v>2911</v>
      </c>
      <c r="H279" s="3118">
        <v>276</v>
      </c>
      <c r="I279" s="3115" t="s">
        <v>4548</v>
      </c>
      <c r="J279" s="3114">
        <v>107.91</v>
      </c>
      <c r="K279" s="3118" t="s">
        <v>3463</v>
      </c>
    </row>
    <row r="280" spans="1:11">
      <c r="A280" s="3113">
        <v>277</v>
      </c>
      <c r="B280" s="3115" t="s">
        <v>4547</v>
      </c>
      <c r="C280" s="3114">
        <v>112.87</v>
      </c>
      <c r="D280" s="3113" t="s">
        <v>2911</v>
      </c>
      <c r="H280" s="3118">
        <v>277</v>
      </c>
      <c r="I280" s="3115" t="s">
        <v>4546</v>
      </c>
      <c r="J280" s="3114">
        <v>107.91</v>
      </c>
      <c r="K280" s="3118" t="s">
        <v>3463</v>
      </c>
    </row>
    <row r="281" spans="1:11">
      <c r="A281" s="3113">
        <v>278</v>
      </c>
      <c r="B281" s="3115" t="s">
        <v>4545</v>
      </c>
      <c r="C281" s="3114">
        <v>112.87</v>
      </c>
      <c r="D281" s="3113" t="s">
        <v>2911</v>
      </c>
      <c r="H281" s="3118">
        <v>278</v>
      </c>
      <c r="I281" s="3115" t="s">
        <v>4544</v>
      </c>
      <c r="J281" s="3114">
        <v>107.91</v>
      </c>
      <c r="K281" s="3118" t="s">
        <v>3463</v>
      </c>
    </row>
    <row r="282" spans="1:11">
      <c r="A282" s="3113">
        <v>279</v>
      </c>
      <c r="B282" s="3115" t="s">
        <v>4543</v>
      </c>
      <c r="C282" s="3114">
        <v>112.87</v>
      </c>
      <c r="D282" s="3113" t="s">
        <v>2911</v>
      </c>
      <c r="H282" s="3118">
        <v>279</v>
      </c>
      <c r="I282" s="3115" t="s">
        <v>4542</v>
      </c>
      <c r="J282" s="3114">
        <v>107.91</v>
      </c>
      <c r="K282" s="3118" t="s">
        <v>3463</v>
      </c>
    </row>
    <row r="283" spans="1:11">
      <c r="A283" s="3113">
        <v>280</v>
      </c>
      <c r="B283" s="3115" t="s">
        <v>4541</v>
      </c>
      <c r="C283" s="3114">
        <v>112.87</v>
      </c>
      <c r="D283" s="3113" t="s">
        <v>2911</v>
      </c>
      <c r="H283" s="3118">
        <v>280</v>
      </c>
      <c r="I283" s="3115" t="s">
        <v>4540</v>
      </c>
      <c r="J283" s="3114">
        <v>107.91</v>
      </c>
      <c r="K283" s="3118" t="s">
        <v>3463</v>
      </c>
    </row>
    <row r="284" spans="1:11">
      <c r="A284" s="3113">
        <v>281</v>
      </c>
      <c r="B284" s="3115" t="s">
        <v>4539</v>
      </c>
      <c r="C284" s="3114">
        <v>112.87</v>
      </c>
      <c r="D284" s="3113" t="s">
        <v>2911</v>
      </c>
      <c r="H284" s="3118">
        <v>281</v>
      </c>
      <c r="I284" s="3115" t="s">
        <v>4538</v>
      </c>
      <c r="J284" s="3114">
        <v>107.91</v>
      </c>
      <c r="K284" s="3118" t="s">
        <v>3463</v>
      </c>
    </row>
    <row r="285" spans="1:11">
      <c r="A285" s="3113">
        <v>282</v>
      </c>
      <c r="B285" s="3115" t="s">
        <v>4537</v>
      </c>
      <c r="C285" s="3114">
        <v>112.87</v>
      </c>
      <c r="D285" s="3113" t="s">
        <v>2911</v>
      </c>
      <c r="H285" s="3118">
        <v>282</v>
      </c>
      <c r="I285" s="3115" t="s">
        <v>4536</v>
      </c>
      <c r="J285" s="3114">
        <v>107.91</v>
      </c>
      <c r="K285" s="3118" t="s">
        <v>3463</v>
      </c>
    </row>
    <row r="286" spans="1:11">
      <c r="A286" s="3113">
        <v>283</v>
      </c>
      <c r="B286" s="3115" t="s">
        <v>4535</v>
      </c>
      <c r="C286" s="3114">
        <v>112.87</v>
      </c>
      <c r="D286" s="3113" t="s">
        <v>2911</v>
      </c>
      <c r="H286" s="3118">
        <v>283</v>
      </c>
      <c r="I286" s="3115" t="s">
        <v>4534</v>
      </c>
      <c r="J286" s="3114">
        <v>107.91</v>
      </c>
      <c r="K286" s="3118" t="s">
        <v>3463</v>
      </c>
    </row>
    <row r="287" spans="1:11">
      <c r="A287" s="3113">
        <v>284</v>
      </c>
      <c r="B287" s="3115" t="s">
        <v>4533</v>
      </c>
      <c r="C287" s="3114">
        <v>112.87</v>
      </c>
      <c r="D287" s="3113" t="s">
        <v>2911</v>
      </c>
      <c r="H287" s="3118">
        <v>284</v>
      </c>
      <c r="I287" s="3115" t="s">
        <v>4532</v>
      </c>
      <c r="J287" s="3114">
        <v>107.91</v>
      </c>
      <c r="K287" s="3118" t="s">
        <v>3463</v>
      </c>
    </row>
    <row r="288" spans="1:11">
      <c r="A288" s="3113">
        <v>285</v>
      </c>
      <c r="B288" s="3115" t="s">
        <v>4531</v>
      </c>
      <c r="C288" s="3114">
        <v>112.87</v>
      </c>
      <c r="D288" s="3113" t="s">
        <v>2911</v>
      </c>
      <c r="H288" s="3118">
        <v>285</v>
      </c>
      <c r="I288" s="3115" t="s">
        <v>4530</v>
      </c>
      <c r="J288" s="3114">
        <v>107.91</v>
      </c>
      <c r="K288" s="3118" t="s">
        <v>3463</v>
      </c>
    </row>
    <row r="289" spans="1:11">
      <c r="A289" s="3113">
        <v>286</v>
      </c>
      <c r="B289" s="3115" t="s">
        <v>4529</v>
      </c>
      <c r="C289" s="3114">
        <v>112.87</v>
      </c>
      <c r="D289" s="3113" t="s">
        <v>2911</v>
      </c>
      <c r="H289" s="3118">
        <v>286</v>
      </c>
      <c r="I289" s="3115" t="s">
        <v>4528</v>
      </c>
      <c r="J289" s="3114">
        <v>107.91</v>
      </c>
      <c r="K289" s="3118" t="s">
        <v>3463</v>
      </c>
    </row>
    <row r="290" spans="1:11">
      <c r="A290" s="3113">
        <v>287</v>
      </c>
      <c r="B290" s="3115" t="s">
        <v>4527</v>
      </c>
      <c r="C290" s="3114">
        <v>112.87</v>
      </c>
      <c r="D290" s="3113" t="s">
        <v>2911</v>
      </c>
      <c r="H290" s="3118">
        <v>287</v>
      </c>
      <c r="I290" s="3115" t="s">
        <v>4526</v>
      </c>
      <c r="J290" s="3114">
        <v>107.91</v>
      </c>
      <c r="K290" s="3118" t="s">
        <v>3463</v>
      </c>
    </row>
    <row r="291" spans="1:11">
      <c r="A291" s="3113">
        <v>288</v>
      </c>
      <c r="B291" s="3115" t="s">
        <v>4525</v>
      </c>
      <c r="C291" s="3114">
        <v>112.87</v>
      </c>
      <c r="D291" s="3113" t="s">
        <v>2911</v>
      </c>
      <c r="H291" s="3118">
        <v>288</v>
      </c>
      <c r="I291" s="3115" t="s">
        <v>4524</v>
      </c>
      <c r="J291" s="3114">
        <v>107.91</v>
      </c>
      <c r="K291" s="3118" t="s">
        <v>3463</v>
      </c>
    </row>
    <row r="292" spans="1:11">
      <c r="A292" s="3113">
        <v>289</v>
      </c>
      <c r="B292" s="3115" t="s">
        <v>4523</v>
      </c>
      <c r="C292" s="3114">
        <v>112.87</v>
      </c>
      <c r="D292" s="3113" t="s">
        <v>2911</v>
      </c>
      <c r="H292" s="3118">
        <v>289</v>
      </c>
      <c r="I292" s="3115" t="s">
        <v>4522</v>
      </c>
      <c r="J292" s="3114">
        <v>107.91</v>
      </c>
      <c r="K292" s="3118" t="s">
        <v>3463</v>
      </c>
    </row>
    <row r="293" spans="1:11">
      <c r="A293" s="3113">
        <v>290</v>
      </c>
      <c r="B293" s="3115" t="s">
        <v>4521</v>
      </c>
      <c r="C293" s="3114">
        <v>112.87</v>
      </c>
      <c r="D293" s="3113" t="s">
        <v>2911</v>
      </c>
      <c r="H293" s="3118">
        <v>290</v>
      </c>
      <c r="I293" s="3115" t="s">
        <v>4520</v>
      </c>
      <c r="J293" s="3114">
        <v>107.91</v>
      </c>
      <c r="K293" s="3118" t="s">
        <v>3463</v>
      </c>
    </row>
    <row r="294" spans="1:11">
      <c r="A294" s="3113">
        <v>291</v>
      </c>
      <c r="B294" s="3115" t="s">
        <v>4519</v>
      </c>
      <c r="C294" s="3114">
        <v>112.87</v>
      </c>
      <c r="D294" s="3113" t="s">
        <v>2911</v>
      </c>
      <c r="H294" s="3118">
        <v>291</v>
      </c>
      <c r="I294" s="3115" t="s">
        <v>4518</v>
      </c>
      <c r="J294" s="3114">
        <v>107.91</v>
      </c>
      <c r="K294" s="3118" t="s">
        <v>3463</v>
      </c>
    </row>
    <row r="295" spans="1:11">
      <c r="A295" s="3113">
        <v>292</v>
      </c>
      <c r="B295" s="3115" t="s">
        <v>4517</v>
      </c>
      <c r="C295" s="3114">
        <v>112.87</v>
      </c>
      <c r="D295" s="3113" t="s">
        <v>2911</v>
      </c>
      <c r="H295" s="3118">
        <v>292</v>
      </c>
      <c r="I295" s="3115" t="s">
        <v>4516</v>
      </c>
      <c r="J295" s="3114">
        <v>107.91</v>
      </c>
      <c r="K295" s="3118" t="s">
        <v>3463</v>
      </c>
    </row>
    <row r="296" spans="1:11">
      <c r="A296" s="3113">
        <v>293</v>
      </c>
      <c r="B296" s="3115" t="s">
        <v>4515</v>
      </c>
      <c r="C296" s="3114">
        <v>112.87</v>
      </c>
      <c r="D296" s="3113" t="s">
        <v>2911</v>
      </c>
      <c r="H296" s="3118">
        <v>293</v>
      </c>
      <c r="I296" s="3115" t="s">
        <v>4514</v>
      </c>
      <c r="J296" s="3114">
        <v>107.91</v>
      </c>
      <c r="K296" s="3118" t="s">
        <v>3463</v>
      </c>
    </row>
    <row r="297" spans="1:11">
      <c r="A297" s="3113">
        <v>294</v>
      </c>
      <c r="B297" s="3115" t="s">
        <v>4513</v>
      </c>
      <c r="C297" s="3114">
        <v>112.87</v>
      </c>
      <c r="D297" s="3113" t="s">
        <v>2911</v>
      </c>
      <c r="H297" s="3118">
        <v>294</v>
      </c>
      <c r="I297" s="3115" t="s">
        <v>4512</v>
      </c>
      <c r="J297" s="3114">
        <v>107.91</v>
      </c>
      <c r="K297" s="3118" t="s">
        <v>3463</v>
      </c>
    </row>
    <row r="298" spans="1:11">
      <c r="A298" s="3113">
        <v>295</v>
      </c>
      <c r="B298" s="3115" t="s">
        <v>4511</v>
      </c>
      <c r="C298" s="3114">
        <v>112.87</v>
      </c>
      <c r="D298" s="3113" t="s">
        <v>2911</v>
      </c>
      <c r="H298" s="3118">
        <v>295</v>
      </c>
      <c r="I298" s="3115" t="s">
        <v>4510</v>
      </c>
      <c r="J298" s="3114">
        <v>93.87</v>
      </c>
      <c r="K298" s="3118" t="s">
        <v>3463</v>
      </c>
    </row>
    <row r="299" spans="1:11">
      <c r="A299" s="3113">
        <v>296</v>
      </c>
      <c r="B299" s="3115" t="s">
        <v>4509</v>
      </c>
      <c r="C299" s="3114">
        <v>112.87</v>
      </c>
      <c r="D299" s="3113" t="s">
        <v>2911</v>
      </c>
      <c r="H299" s="3118">
        <v>296</v>
      </c>
      <c r="I299" s="3115" t="s">
        <v>4508</v>
      </c>
      <c r="J299" s="3114">
        <v>107.91</v>
      </c>
      <c r="K299" s="3118" t="s">
        <v>3463</v>
      </c>
    </row>
    <row r="300" spans="1:11">
      <c r="A300" s="3113">
        <v>297</v>
      </c>
      <c r="B300" s="3115" t="s">
        <v>4507</v>
      </c>
      <c r="C300" s="3114">
        <v>112.87</v>
      </c>
      <c r="D300" s="3113" t="s">
        <v>2911</v>
      </c>
      <c r="H300" s="3118">
        <v>297</v>
      </c>
      <c r="I300" s="3115" t="s">
        <v>4506</v>
      </c>
      <c r="J300" s="3114">
        <v>107.91</v>
      </c>
      <c r="K300" s="3118" t="s">
        <v>3463</v>
      </c>
    </row>
    <row r="301" spans="1:11">
      <c r="A301" s="3113">
        <v>298</v>
      </c>
      <c r="B301" s="3115" t="s">
        <v>4505</v>
      </c>
      <c r="C301" s="3114">
        <v>112.87</v>
      </c>
      <c r="D301" s="3113" t="s">
        <v>2911</v>
      </c>
      <c r="H301" s="3118">
        <v>298</v>
      </c>
      <c r="I301" s="3115" t="s">
        <v>4504</v>
      </c>
      <c r="J301" s="3114">
        <v>107.91</v>
      </c>
      <c r="K301" s="3118" t="s">
        <v>3463</v>
      </c>
    </row>
    <row r="302" spans="1:11">
      <c r="A302" s="3113">
        <v>299</v>
      </c>
      <c r="B302" s="3115" t="s">
        <v>4503</v>
      </c>
      <c r="C302" s="3114">
        <v>112.87</v>
      </c>
      <c r="D302" s="3113" t="s">
        <v>2911</v>
      </c>
      <c r="H302" s="3118">
        <v>299</v>
      </c>
      <c r="I302" s="3115" t="s">
        <v>4502</v>
      </c>
      <c r="J302" s="3114">
        <v>107.91</v>
      </c>
      <c r="K302" s="3118" t="s">
        <v>3463</v>
      </c>
    </row>
    <row r="303" spans="1:11">
      <c r="A303" s="3113">
        <v>300</v>
      </c>
      <c r="B303" s="3115" t="s">
        <v>4501</v>
      </c>
      <c r="C303" s="3114">
        <v>112.87</v>
      </c>
      <c r="D303" s="3113" t="s">
        <v>2911</v>
      </c>
      <c r="H303" s="3118">
        <v>300</v>
      </c>
      <c r="I303" s="3115" t="s">
        <v>4500</v>
      </c>
      <c r="J303" s="3114">
        <v>107.91</v>
      </c>
      <c r="K303" s="3118" t="s">
        <v>3463</v>
      </c>
    </row>
    <row r="304" spans="1:11">
      <c r="A304" s="3113">
        <v>301</v>
      </c>
      <c r="B304" s="3115" t="s">
        <v>4499</v>
      </c>
      <c r="C304" s="3114">
        <v>112.87</v>
      </c>
      <c r="D304" s="3113" t="s">
        <v>2911</v>
      </c>
      <c r="H304" s="3118">
        <v>301</v>
      </c>
      <c r="I304" s="3115" t="s">
        <v>4498</v>
      </c>
      <c r="J304" s="3114">
        <v>107.91</v>
      </c>
      <c r="K304" s="3118" t="s">
        <v>3463</v>
      </c>
    </row>
    <row r="305" spans="1:11">
      <c r="A305" s="3113">
        <v>302</v>
      </c>
      <c r="B305" s="3115" t="s">
        <v>4497</v>
      </c>
      <c r="C305" s="3114">
        <v>103.43</v>
      </c>
      <c r="D305" s="3113" t="s">
        <v>2911</v>
      </c>
      <c r="H305" s="3118">
        <v>302</v>
      </c>
      <c r="I305" s="3115" t="s">
        <v>4496</v>
      </c>
      <c r="J305" s="3114">
        <v>107.91</v>
      </c>
      <c r="K305" s="3118" t="s">
        <v>3463</v>
      </c>
    </row>
    <row r="306" spans="1:11">
      <c r="A306" s="3113">
        <v>303</v>
      </c>
      <c r="B306" s="3115" t="s">
        <v>4495</v>
      </c>
      <c r="C306" s="3114">
        <v>112.69</v>
      </c>
      <c r="D306" s="3113" t="s">
        <v>2911</v>
      </c>
      <c r="H306" s="3118">
        <v>303</v>
      </c>
      <c r="I306" s="3115" t="s">
        <v>4494</v>
      </c>
      <c r="J306" s="3114">
        <v>107.91</v>
      </c>
      <c r="K306" s="3118" t="s">
        <v>3463</v>
      </c>
    </row>
    <row r="307" spans="1:11">
      <c r="A307" s="3113">
        <v>304</v>
      </c>
      <c r="B307" s="3115" t="s">
        <v>4493</v>
      </c>
      <c r="C307" s="3114">
        <v>112.69</v>
      </c>
      <c r="D307" s="3113" t="s">
        <v>2911</v>
      </c>
      <c r="H307" s="3118">
        <v>304</v>
      </c>
      <c r="I307" s="3115" t="s">
        <v>4492</v>
      </c>
      <c r="J307" s="3114">
        <v>107.91</v>
      </c>
      <c r="K307" s="3118" t="s">
        <v>3463</v>
      </c>
    </row>
    <row r="308" spans="1:11">
      <c r="A308" s="3113">
        <v>305</v>
      </c>
      <c r="B308" s="3115" t="s">
        <v>4491</v>
      </c>
      <c r="C308" s="3114">
        <v>112.69</v>
      </c>
      <c r="D308" s="3113" t="s">
        <v>2911</v>
      </c>
      <c r="H308" s="3118">
        <v>305</v>
      </c>
      <c r="I308" s="3115" t="s">
        <v>4490</v>
      </c>
      <c r="J308" s="3114">
        <v>107.91</v>
      </c>
      <c r="K308" s="3118" t="s">
        <v>3463</v>
      </c>
    </row>
    <row r="309" spans="1:11">
      <c r="A309" s="3113">
        <v>306</v>
      </c>
      <c r="B309" s="3115" t="s">
        <v>4489</v>
      </c>
      <c r="C309" s="3114">
        <v>112.69</v>
      </c>
      <c r="D309" s="3113" t="s">
        <v>2911</v>
      </c>
      <c r="H309" s="3118">
        <v>306</v>
      </c>
      <c r="I309" s="3115" t="s">
        <v>4488</v>
      </c>
      <c r="J309" s="3114">
        <v>107.91</v>
      </c>
      <c r="K309" s="3118" t="s">
        <v>3463</v>
      </c>
    </row>
    <row r="310" spans="1:11">
      <c r="A310" s="3113">
        <v>307</v>
      </c>
      <c r="B310" s="3115" t="s">
        <v>4487</v>
      </c>
      <c r="C310" s="3114">
        <v>112.69</v>
      </c>
      <c r="D310" s="3113" t="s">
        <v>2911</v>
      </c>
      <c r="H310" s="3118">
        <v>307</v>
      </c>
      <c r="I310" s="3115" t="s">
        <v>4486</v>
      </c>
      <c r="J310" s="3114">
        <v>107.91</v>
      </c>
      <c r="K310" s="3118" t="s">
        <v>3463</v>
      </c>
    </row>
    <row r="311" spans="1:11">
      <c r="A311" s="3113">
        <v>308</v>
      </c>
      <c r="B311" s="3115" t="s">
        <v>4485</v>
      </c>
      <c r="C311" s="3114">
        <v>112.69</v>
      </c>
      <c r="D311" s="3113" t="s">
        <v>2911</v>
      </c>
      <c r="H311" s="3118">
        <v>308</v>
      </c>
      <c r="I311" s="3115" t="s">
        <v>4484</v>
      </c>
      <c r="J311" s="3114">
        <v>107.91</v>
      </c>
      <c r="K311" s="3118" t="s">
        <v>3463</v>
      </c>
    </row>
    <row r="312" spans="1:11">
      <c r="A312" s="3113">
        <v>309</v>
      </c>
      <c r="B312" s="3115" t="s">
        <v>4483</v>
      </c>
      <c r="C312" s="3114">
        <v>112.69</v>
      </c>
      <c r="D312" s="3113" t="s">
        <v>2911</v>
      </c>
      <c r="H312" s="3118">
        <v>309</v>
      </c>
      <c r="I312" s="3115" t="s">
        <v>4482</v>
      </c>
      <c r="J312" s="3114">
        <v>107.91</v>
      </c>
      <c r="K312" s="3118" t="s">
        <v>3463</v>
      </c>
    </row>
    <row r="313" spans="1:11">
      <c r="A313" s="3113">
        <v>310</v>
      </c>
      <c r="B313" s="3115" t="s">
        <v>4481</v>
      </c>
      <c r="C313" s="3114">
        <v>112.69</v>
      </c>
      <c r="D313" s="3113" t="s">
        <v>2911</v>
      </c>
      <c r="H313" s="3118">
        <v>310</v>
      </c>
      <c r="I313" s="3115" t="s">
        <v>4480</v>
      </c>
      <c r="J313" s="3114">
        <v>107.91</v>
      </c>
      <c r="K313" s="3118" t="s">
        <v>3463</v>
      </c>
    </row>
    <row r="314" spans="1:11">
      <c r="A314" s="3113">
        <v>311</v>
      </c>
      <c r="B314" s="3115" t="s">
        <v>4479</v>
      </c>
      <c r="C314" s="3114">
        <v>112.69</v>
      </c>
      <c r="D314" s="3113" t="s">
        <v>2911</v>
      </c>
      <c r="H314" s="3118">
        <v>311</v>
      </c>
      <c r="I314" s="3115" t="s">
        <v>4478</v>
      </c>
      <c r="J314" s="3114">
        <v>107.91</v>
      </c>
      <c r="K314" s="3118" t="s">
        <v>3463</v>
      </c>
    </row>
    <row r="315" spans="1:11">
      <c r="A315" s="3113">
        <v>312</v>
      </c>
      <c r="B315" s="3115" t="s">
        <v>4477</v>
      </c>
      <c r="C315" s="3114">
        <v>112.69</v>
      </c>
      <c r="D315" s="3113" t="s">
        <v>2911</v>
      </c>
      <c r="H315" s="3118">
        <v>312</v>
      </c>
      <c r="I315" s="3115" t="s">
        <v>4476</v>
      </c>
      <c r="J315" s="3114">
        <v>107.91</v>
      </c>
      <c r="K315" s="3118" t="s">
        <v>3463</v>
      </c>
    </row>
    <row r="316" spans="1:11">
      <c r="A316" s="3113">
        <v>313</v>
      </c>
      <c r="B316" s="3115" t="s">
        <v>4475</v>
      </c>
      <c r="C316" s="3114">
        <v>112.69</v>
      </c>
      <c r="D316" s="3113" t="s">
        <v>2911</v>
      </c>
      <c r="H316" s="3118">
        <v>313</v>
      </c>
      <c r="I316" s="3115" t="s">
        <v>4474</v>
      </c>
      <c r="J316" s="3114">
        <v>107.91</v>
      </c>
      <c r="K316" s="3118" t="s">
        <v>3463</v>
      </c>
    </row>
    <row r="317" spans="1:11">
      <c r="A317" s="3113">
        <v>314</v>
      </c>
      <c r="B317" s="3115" t="s">
        <v>4473</v>
      </c>
      <c r="C317" s="3114">
        <v>112.69</v>
      </c>
      <c r="D317" s="3113" t="s">
        <v>2911</v>
      </c>
      <c r="H317" s="3118">
        <v>314</v>
      </c>
      <c r="I317" s="3115" t="s">
        <v>4472</v>
      </c>
      <c r="J317" s="3114">
        <v>107.91</v>
      </c>
      <c r="K317" s="3118" t="s">
        <v>3463</v>
      </c>
    </row>
    <row r="318" spans="1:11">
      <c r="A318" s="3113">
        <v>315</v>
      </c>
      <c r="B318" s="3115" t="s">
        <v>4471</v>
      </c>
      <c r="C318" s="3114">
        <v>112.69</v>
      </c>
      <c r="D318" s="3113" t="s">
        <v>2911</v>
      </c>
      <c r="H318" s="3118">
        <v>315</v>
      </c>
      <c r="I318" s="3115" t="s">
        <v>4470</v>
      </c>
      <c r="J318" s="3114">
        <v>107.91</v>
      </c>
      <c r="K318" s="3118" t="s">
        <v>3463</v>
      </c>
    </row>
    <row r="319" spans="1:11">
      <c r="A319" s="3113">
        <v>316</v>
      </c>
      <c r="B319" s="3115" t="s">
        <v>4469</v>
      </c>
      <c r="C319" s="3114">
        <v>112.69</v>
      </c>
      <c r="D319" s="3113" t="s">
        <v>2911</v>
      </c>
      <c r="H319" s="3118">
        <v>316</v>
      </c>
      <c r="I319" s="3115" t="s">
        <v>4468</v>
      </c>
      <c r="J319" s="3114">
        <v>107.91</v>
      </c>
      <c r="K319" s="3118" t="s">
        <v>3463</v>
      </c>
    </row>
    <row r="320" spans="1:11">
      <c r="A320" s="3113">
        <v>317</v>
      </c>
      <c r="B320" s="3115" t="s">
        <v>4467</v>
      </c>
      <c r="C320" s="3114">
        <v>112.69</v>
      </c>
      <c r="D320" s="3113" t="s">
        <v>2911</v>
      </c>
      <c r="H320" s="3118">
        <v>317</v>
      </c>
      <c r="I320" s="3115" t="s">
        <v>4466</v>
      </c>
      <c r="J320" s="3114">
        <v>107.91</v>
      </c>
      <c r="K320" s="3118" t="s">
        <v>3463</v>
      </c>
    </row>
    <row r="321" spans="1:11">
      <c r="A321" s="3113">
        <v>318</v>
      </c>
      <c r="B321" s="3115" t="s">
        <v>4465</v>
      </c>
      <c r="C321" s="3114">
        <v>112.69</v>
      </c>
      <c r="D321" s="3113" t="s">
        <v>2911</v>
      </c>
      <c r="H321" s="3118">
        <v>318</v>
      </c>
      <c r="I321" s="3115" t="s">
        <v>4464</v>
      </c>
      <c r="J321" s="3114">
        <v>107.91</v>
      </c>
      <c r="K321" s="3118" t="s">
        <v>3463</v>
      </c>
    </row>
    <row r="322" spans="1:11">
      <c r="A322" s="3113">
        <v>319</v>
      </c>
      <c r="B322" s="3115" t="s">
        <v>4463</v>
      </c>
      <c r="C322" s="3114">
        <v>112.69</v>
      </c>
      <c r="D322" s="3113" t="s">
        <v>2911</v>
      </c>
      <c r="H322" s="3118">
        <v>319</v>
      </c>
      <c r="I322" s="3115" t="s">
        <v>4462</v>
      </c>
      <c r="J322" s="3114">
        <v>107.91</v>
      </c>
      <c r="K322" s="3118" t="s">
        <v>3463</v>
      </c>
    </row>
    <row r="323" spans="1:11">
      <c r="A323" s="3113">
        <v>320</v>
      </c>
      <c r="B323" s="3115" t="s">
        <v>4461</v>
      </c>
      <c r="C323" s="3114">
        <v>112.69</v>
      </c>
      <c r="D323" s="3113" t="s">
        <v>2911</v>
      </c>
      <c r="H323" s="3118">
        <v>320</v>
      </c>
      <c r="I323" s="3115" t="s">
        <v>4460</v>
      </c>
      <c r="J323" s="3114">
        <v>107.91</v>
      </c>
      <c r="K323" s="3118" t="s">
        <v>3463</v>
      </c>
    </row>
    <row r="324" spans="1:11">
      <c r="A324" s="3113">
        <v>321</v>
      </c>
      <c r="B324" s="3115" t="s">
        <v>4459</v>
      </c>
      <c r="C324" s="3114">
        <v>112.69</v>
      </c>
      <c r="D324" s="3113" t="s">
        <v>2911</v>
      </c>
      <c r="H324" s="3118">
        <v>321</v>
      </c>
      <c r="I324" s="3115" t="s">
        <v>4458</v>
      </c>
      <c r="J324" s="3114">
        <v>107.91</v>
      </c>
      <c r="K324" s="3118" t="s">
        <v>3463</v>
      </c>
    </row>
    <row r="325" spans="1:11">
      <c r="A325" s="3113">
        <v>322</v>
      </c>
      <c r="B325" s="3115" t="s">
        <v>4457</v>
      </c>
      <c r="C325" s="3114">
        <v>112.69</v>
      </c>
      <c r="D325" s="3113" t="s">
        <v>2911</v>
      </c>
      <c r="H325" s="3118">
        <v>322</v>
      </c>
      <c r="I325" s="3115" t="s">
        <v>4456</v>
      </c>
      <c r="J325" s="3114">
        <v>107.91</v>
      </c>
      <c r="K325" s="3118" t="s">
        <v>3463</v>
      </c>
    </row>
    <row r="326" spans="1:11">
      <c r="A326" s="3113">
        <v>323</v>
      </c>
      <c r="B326" s="3115" t="s">
        <v>4455</v>
      </c>
      <c r="C326" s="3114">
        <v>112.69</v>
      </c>
      <c r="D326" s="3113" t="s">
        <v>2911</v>
      </c>
      <c r="H326" s="3118">
        <v>323</v>
      </c>
      <c r="I326" s="3115" t="s">
        <v>4454</v>
      </c>
      <c r="J326" s="3114">
        <v>107.91</v>
      </c>
      <c r="K326" s="3118" t="s">
        <v>3463</v>
      </c>
    </row>
    <row r="327" spans="1:11">
      <c r="A327" s="3113">
        <v>324</v>
      </c>
      <c r="B327" s="3115" t="s">
        <v>4453</v>
      </c>
      <c r="C327" s="3114">
        <v>112.69</v>
      </c>
      <c r="D327" s="3113" t="s">
        <v>2911</v>
      </c>
      <c r="H327" s="3118">
        <v>324</v>
      </c>
      <c r="I327" s="3115" t="s">
        <v>4452</v>
      </c>
      <c r="J327" s="3114">
        <v>93.87</v>
      </c>
      <c r="K327" s="3118" t="s">
        <v>3463</v>
      </c>
    </row>
    <row r="328" spans="1:11">
      <c r="A328" s="3113">
        <v>325</v>
      </c>
      <c r="B328" s="3115" t="s">
        <v>4451</v>
      </c>
      <c r="C328" s="3114">
        <v>112.69</v>
      </c>
      <c r="D328" s="3113" t="s">
        <v>2911</v>
      </c>
      <c r="H328" s="3118">
        <v>325</v>
      </c>
      <c r="I328" s="3115" t="s">
        <v>4450</v>
      </c>
      <c r="J328" s="3114">
        <v>87.87</v>
      </c>
      <c r="K328" s="3118" t="s">
        <v>3463</v>
      </c>
    </row>
    <row r="329" spans="1:11">
      <c r="A329" s="3113">
        <v>326</v>
      </c>
      <c r="B329" s="3115" t="s">
        <v>4449</v>
      </c>
      <c r="C329" s="3114">
        <v>112.69</v>
      </c>
      <c r="D329" s="3113" t="s">
        <v>2911</v>
      </c>
      <c r="H329" s="3118">
        <v>326</v>
      </c>
      <c r="I329" s="3115" t="s">
        <v>4448</v>
      </c>
      <c r="J329" s="3114">
        <v>87.87</v>
      </c>
      <c r="K329" s="3118" t="s">
        <v>3463</v>
      </c>
    </row>
    <row r="330" spans="1:11">
      <c r="A330" s="3113">
        <v>327</v>
      </c>
      <c r="B330" s="3115" t="s">
        <v>4447</v>
      </c>
      <c r="C330" s="3114">
        <v>112.69</v>
      </c>
      <c r="D330" s="3113" t="s">
        <v>2911</v>
      </c>
      <c r="H330" s="3118">
        <v>327</v>
      </c>
      <c r="I330" s="3115" t="s">
        <v>4446</v>
      </c>
      <c r="J330" s="3114">
        <v>87.87</v>
      </c>
      <c r="K330" s="3118" t="s">
        <v>3463</v>
      </c>
    </row>
    <row r="331" spans="1:11">
      <c r="A331" s="3113">
        <v>328</v>
      </c>
      <c r="B331" s="3115" t="s">
        <v>4445</v>
      </c>
      <c r="C331" s="3114">
        <v>112.69</v>
      </c>
      <c r="D331" s="3113" t="s">
        <v>2911</v>
      </c>
      <c r="H331" s="3118">
        <v>328</v>
      </c>
      <c r="I331" s="3115" t="s">
        <v>4444</v>
      </c>
      <c r="J331" s="3114">
        <v>87.87</v>
      </c>
      <c r="K331" s="3118" t="s">
        <v>3463</v>
      </c>
    </row>
    <row r="332" spans="1:11">
      <c r="A332" s="3113">
        <v>329</v>
      </c>
      <c r="B332" s="3115" t="s">
        <v>4443</v>
      </c>
      <c r="C332" s="3114">
        <v>112.69</v>
      </c>
      <c r="D332" s="3113" t="s">
        <v>2911</v>
      </c>
      <c r="H332" s="3118">
        <v>329</v>
      </c>
      <c r="I332" s="3115" t="s">
        <v>4442</v>
      </c>
      <c r="J332" s="3114">
        <v>87.87</v>
      </c>
      <c r="K332" s="3118" t="s">
        <v>3463</v>
      </c>
    </row>
    <row r="333" spans="1:11">
      <c r="A333" s="3113">
        <v>330</v>
      </c>
      <c r="B333" s="3115" t="s">
        <v>4441</v>
      </c>
      <c r="C333" s="3114">
        <v>112.69</v>
      </c>
      <c r="D333" s="3113" t="s">
        <v>2911</v>
      </c>
      <c r="H333" s="3118">
        <v>330</v>
      </c>
      <c r="I333" s="3115" t="s">
        <v>4440</v>
      </c>
      <c r="J333" s="3114">
        <v>87.87</v>
      </c>
      <c r="K333" s="3118" t="s">
        <v>3463</v>
      </c>
    </row>
    <row r="334" spans="1:11">
      <c r="A334" s="3113">
        <v>331</v>
      </c>
      <c r="B334" s="3115" t="s">
        <v>4439</v>
      </c>
      <c r="C334" s="3114">
        <v>103.26</v>
      </c>
      <c r="D334" s="3113" t="s">
        <v>2911</v>
      </c>
      <c r="H334" s="3118">
        <v>331</v>
      </c>
      <c r="I334" s="3115" t="s">
        <v>4438</v>
      </c>
      <c r="J334" s="3114">
        <v>87.87</v>
      </c>
      <c r="K334" s="3118" t="s">
        <v>3463</v>
      </c>
    </row>
    <row r="335" spans="1:11">
      <c r="A335" s="3113">
        <v>332</v>
      </c>
      <c r="B335" s="3115" t="s">
        <v>4437</v>
      </c>
      <c r="C335" s="3114">
        <v>58.48</v>
      </c>
      <c r="D335" s="3113" t="s">
        <v>2911</v>
      </c>
      <c r="H335" s="3118">
        <v>332</v>
      </c>
      <c r="I335" s="3115" t="s">
        <v>4436</v>
      </c>
      <c r="J335" s="3114">
        <v>87.87</v>
      </c>
      <c r="K335" s="3118" t="s">
        <v>3463</v>
      </c>
    </row>
    <row r="336" spans="1:11">
      <c r="A336" s="3113">
        <v>333</v>
      </c>
      <c r="B336" s="3115" t="s">
        <v>4435</v>
      </c>
      <c r="C336" s="3114">
        <v>58.48</v>
      </c>
      <c r="D336" s="3113" t="s">
        <v>2911</v>
      </c>
      <c r="H336" s="3118">
        <v>333</v>
      </c>
      <c r="I336" s="3115" t="s">
        <v>4434</v>
      </c>
      <c r="J336" s="3114">
        <v>87.87</v>
      </c>
      <c r="K336" s="3118" t="s">
        <v>3463</v>
      </c>
    </row>
    <row r="337" spans="1:11">
      <c r="A337" s="3113">
        <v>334</v>
      </c>
      <c r="B337" s="3115" t="s">
        <v>4433</v>
      </c>
      <c r="C337" s="3114">
        <v>58.48</v>
      </c>
      <c r="D337" s="3113" t="s">
        <v>2911</v>
      </c>
      <c r="H337" s="3118">
        <v>334</v>
      </c>
      <c r="I337" s="3115" t="s">
        <v>4432</v>
      </c>
      <c r="J337" s="3114">
        <v>87.87</v>
      </c>
      <c r="K337" s="3118" t="s">
        <v>3463</v>
      </c>
    </row>
    <row r="338" spans="1:11">
      <c r="A338" s="3113">
        <v>335</v>
      </c>
      <c r="B338" s="3115" t="s">
        <v>4431</v>
      </c>
      <c r="C338" s="3114">
        <v>58.48</v>
      </c>
      <c r="D338" s="3113" t="s">
        <v>2911</v>
      </c>
      <c r="H338" s="3118">
        <v>335</v>
      </c>
      <c r="I338" s="3115" t="s">
        <v>4430</v>
      </c>
      <c r="J338" s="3114">
        <v>87.87</v>
      </c>
      <c r="K338" s="3118" t="s">
        <v>3463</v>
      </c>
    </row>
    <row r="339" spans="1:11">
      <c r="A339" s="3113">
        <v>336</v>
      </c>
      <c r="B339" s="3115" t="s">
        <v>4429</v>
      </c>
      <c r="C339" s="3114">
        <v>58.48</v>
      </c>
      <c r="D339" s="3113" t="s">
        <v>2911</v>
      </c>
      <c r="H339" s="3118">
        <v>336</v>
      </c>
      <c r="I339" s="3115" t="s">
        <v>4428</v>
      </c>
      <c r="J339" s="3114">
        <v>87.87</v>
      </c>
      <c r="K339" s="3118" t="s">
        <v>3463</v>
      </c>
    </row>
    <row r="340" spans="1:11">
      <c r="A340" s="3113">
        <v>337</v>
      </c>
      <c r="B340" s="3115" t="s">
        <v>4427</v>
      </c>
      <c r="C340" s="3114">
        <v>58.48</v>
      </c>
      <c r="D340" s="3113" t="s">
        <v>2911</v>
      </c>
      <c r="H340" s="3118">
        <v>337</v>
      </c>
      <c r="I340" s="3115" t="s">
        <v>4426</v>
      </c>
      <c r="J340" s="3114">
        <v>87.87</v>
      </c>
      <c r="K340" s="3118" t="s">
        <v>3463</v>
      </c>
    </row>
    <row r="341" spans="1:11">
      <c r="A341" s="3113">
        <v>338</v>
      </c>
      <c r="B341" s="3115" t="s">
        <v>4425</v>
      </c>
      <c r="C341" s="3114">
        <v>58.48</v>
      </c>
      <c r="D341" s="3113" t="s">
        <v>2911</v>
      </c>
      <c r="H341" s="3118">
        <v>338</v>
      </c>
      <c r="I341" s="3115" t="s">
        <v>4424</v>
      </c>
      <c r="J341" s="3114">
        <v>87.87</v>
      </c>
      <c r="K341" s="3118" t="s">
        <v>3463</v>
      </c>
    </row>
    <row r="342" spans="1:11">
      <c r="A342" s="3113">
        <v>339</v>
      </c>
      <c r="B342" s="3115" t="s">
        <v>4423</v>
      </c>
      <c r="C342" s="3114">
        <v>58.48</v>
      </c>
      <c r="D342" s="3113" t="s">
        <v>2911</v>
      </c>
      <c r="H342" s="3118">
        <v>339</v>
      </c>
      <c r="I342" s="3115" t="s">
        <v>4422</v>
      </c>
      <c r="J342" s="3114">
        <v>87.87</v>
      </c>
      <c r="K342" s="3118" t="s">
        <v>3463</v>
      </c>
    </row>
    <row r="343" spans="1:11">
      <c r="A343" s="3113">
        <v>340</v>
      </c>
      <c r="B343" s="3115" t="s">
        <v>4421</v>
      </c>
      <c r="C343" s="3114">
        <v>58.48</v>
      </c>
      <c r="D343" s="3113" t="s">
        <v>2911</v>
      </c>
      <c r="H343" s="3118">
        <v>340</v>
      </c>
      <c r="I343" s="3115" t="s">
        <v>4420</v>
      </c>
      <c r="J343" s="3114">
        <v>87.87</v>
      </c>
      <c r="K343" s="3118" t="s">
        <v>3463</v>
      </c>
    </row>
    <row r="344" spans="1:11">
      <c r="A344" s="3113">
        <v>341</v>
      </c>
      <c r="B344" s="3115" t="s">
        <v>4419</v>
      </c>
      <c r="C344" s="3114">
        <v>58.48</v>
      </c>
      <c r="D344" s="3113" t="s">
        <v>2911</v>
      </c>
      <c r="H344" s="3118">
        <v>341</v>
      </c>
      <c r="I344" s="3115" t="s">
        <v>4418</v>
      </c>
      <c r="J344" s="3114">
        <v>87.87</v>
      </c>
      <c r="K344" s="3118" t="s">
        <v>3463</v>
      </c>
    </row>
    <row r="345" spans="1:11">
      <c r="A345" s="3113">
        <v>342</v>
      </c>
      <c r="B345" s="3115" t="s">
        <v>4417</v>
      </c>
      <c r="C345" s="3114">
        <v>58.48</v>
      </c>
      <c r="D345" s="3113" t="s">
        <v>2911</v>
      </c>
      <c r="H345" s="3118">
        <v>342</v>
      </c>
      <c r="I345" s="3115" t="s">
        <v>4416</v>
      </c>
      <c r="J345" s="3114">
        <v>87.87</v>
      </c>
      <c r="K345" s="3118" t="s">
        <v>3463</v>
      </c>
    </row>
    <row r="346" spans="1:11">
      <c r="A346" s="3113">
        <v>343</v>
      </c>
      <c r="B346" s="3115" t="s">
        <v>4415</v>
      </c>
      <c r="C346" s="3114">
        <v>58.48</v>
      </c>
      <c r="D346" s="3113" t="s">
        <v>2911</v>
      </c>
      <c r="H346" s="3118">
        <v>343</v>
      </c>
      <c r="I346" s="3115" t="s">
        <v>4414</v>
      </c>
      <c r="J346" s="3114">
        <v>87.87</v>
      </c>
      <c r="K346" s="3118" t="s">
        <v>3463</v>
      </c>
    </row>
    <row r="347" spans="1:11">
      <c r="A347" s="3113">
        <v>344</v>
      </c>
      <c r="B347" s="3115" t="s">
        <v>4413</v>
      </c>
      <c r="C347" s="3114">
        <v>58.48</v>
      </c>
      <c r="D347" s="3113" t="s">
        <v>2911</v>
      </c>
      <c r="H347" s="3118">
        <v>344</v>
      </c>
      <c r="I347" s="3115" t="s">
        <v>4412</v>
      </c>
      <c r="J347" s="3114">
        <v>87.87</v>
      </c>
      <c r="K347" s="3118" t="s">
        <v>3463</v>
      </c>
    </row>
    <row r="348" spans="1:11">
      <c r="A348" s="3113">
        <v>345</v>
      </c>
      <c r="B348" s="3115" t="s">
        <v>4411</v>
      </c>
      <c r="C348" s="3114">
        <v>58.48</v>
      </c>
      <c r="D348" s="3113" t="s">
        <v>2911</v>
      </c>
      <c r="H348" s="3118">
        <v>345</v>
      </c>
      <c r="I348" s="3115" t="s">
        <v>4410</v>
      </c>
      <c r="J348" s="3114">
        <v>87.87</v>
      </c>
      <c r="K348" s="3118" t="s">
        <v>3463</v>
      </c>
    </row>
    <row r="349" spans="1:11">
      <c r="A349" s="3113">
        <v>346</v>
      </c>
      <c r="B349" s="3115" t="s">
        <v>4409</v>
      </c>
      <c r="C349" s="3114">
        <v>58.48</v>
      </c>
      <c r="D349" s="3113" t="s">
        <v>2911</v>
      </c>
      <c r="H349" s="3118">
        <v>346</v>
      </c>
      <c r="I349" s="3115" t="s">
        <v>4408</v>
      </c>
      <c r="J349" s="3114">
        <v>87.87</v>
      </c>
      <c r="K349" s="3118" t="s">
        <v>3463</v>
      </c>
    </row>
    <row r="350" spans="1:11">
      <c r="A350" s="3113">
        <v>347</v>
      </c>
      <c r="B350" s="3115" t="s">
        <v>4407</v>
      </c>
      <c r="C350" s="3114">
        <v>58.48</v>
      </c>
      <c r="D350" s="3113" t="s">
        <v>2911</v>
      </c>
      <c r="H350" s="3118">
        <v>347</v>
      </c>
      <c r="I350" s="3115" t="s">
        <v>4406</v>
      </c>
      <c r="J350" s="3114">
        <v>87.87</v>
      </c>
      <c r="K350" s="3118" t="s">
        <v>3463</v>
      </c>
    </row>
    <row r="351" spans="1:11">
      <c r="A351" s="3113">
        <v>348</v>
      </c>
      <c r="B351" s="3115" t="s">
        <v>4405</v>
      </c>
      <c r="C351" s="3114">
        <v>58.48</v>
      </c>
      <c r="D351" s="3113" t="s">
        <v>2911</v>
      </c>
      <c r="H351" s="3118">
        <v>348</v>
      </c>
      <c r="I351" s="3115" t="s">
        <v>4404</v>
      </c>
      <c r="J351" s="3114">
        <v>87.87</v>
      </c>
      <c r="K351" s="3118" t="s">
        <v>3463</v>
      </c>
    </row>
    <row r="352" spans="1:11">
      <c r="A352" s="3113">
        <v>349</v>
      </c>
      <c r="B352" s="3115" t="s">
        <v>4403</v>
      </c>
      <c r="C352" s="3114">
        <v>58.48</v>
      </c>
      <c r="D352" s="3113" t="s">
        <v>2911</v>
      </c>
      <c r="H352" s="3118">
        <v>349</v>
      </c>
      <c r="I352" s="3115" t="s">
        <v>4402</v>
      </c>
      <c r="J352" s="3114">
        <v>87.87</v>
      </c>
      <c r="K352" s="3118" t="s">
        <v>3463</v>
      </c>
    </row>
    <row r="353" spans="1:11">
      <c r="A353" s="3113">
        <v>350</v>
      </c>
      <c r="B353" s="3115" t="s">
        <v>4401</v>
      </c>
      <c r="C353" s="3114">
        <v>58.48</v>
      </c>
      <c r="D353" s="3113" t="s">
        <v>2911</v>
      </c>
      <c r="H353" s="3118">
        <v>350</v>
      </c>
      <c r="I353" s="3115" t="s">
        <v>4400</v>
      </c>
      <c r="J353" s="3114">
        <v>87.87</v>
      </c>
      <c r="K353" s="3118" t="s">
        <v>3463</v>
      </c>
    </row>
    <row r="354" spans="1:11">
      <c r="A354" s="3113">
        <v>351</v>
      </c>
      <c r="B354" s="3115" t="s">
        <v>4399</v>
      </c>
      <c r="C354" s="3114">
        <v>58.48</v>
      </c>
      <c r="D354" s="3113" t="s">
        <v>2911</v>
      </c>
      <c r="H354" s="3118">
        <v>351</v>
      </c>
      <c r="I354" s="3115" t="s">
        <v>4398</v>
      </c>
      <c r="J354" s="3114">
        <v>87.87</v>
      </c>
      <c r="K354" s="3118" t="s">
        <v>3463</v>
      </c>
    </row>
    <row r="355" spans="1:11">
      <c r="A355" s="3113">
        <v>352</v>
      </c>
      <c r="B355" s="3115" t="s">
        <v>4397</v>
      </c>
      <c r="C355" s="3114">
        <v>58.48</v>
      </c>
      <c r="D355" s="3113" t="s">
        <v>2911</v>
      </c>
      <c r="H355" s="3118">
        <v>352</v>
      </c>
      <c r="I355" s="3115" t="s">
        <v>4396</v>
      </c>
      <c r="J355" s="3114">
        <v>87.87</v>
      </c>
      <c r="K355" s="3118" t="s">
        <v>3463</v>
      </c>
    </row>
    <row r="356" spans="1:11">
      <c r="A356" s="3113">
        <v>353</v>
      </c>
      <c r="B356" s="3115" t="s">
        <v>4395</v>
      </c>
      <c r="C356" s="3114">
        <v>58.48</v>
      </c>
      <c r="D356" s="3113" t="s">
        <v>2911</v>
      </c>
      <c r="H356" s="3118">
        <v>353</v>
      </c>
      <c r="I356" s="3115" t="s">
        <v>4394</v>
      </c>
      <c r="J356" s="3114">
        <v>88.11</v>
      </c>
      <c r="K356" s="3118" t="s">
        <v>3463</v>
      </c>
    </row>
    <row r="357" spans="1:11">
      <c r="A357" s="3113">
        <v>354</v>
      </c>
      <c r="B357" s="3115" t="s">
        <v>4393</v>
      </c>
      <c r="C357" s="3114">
        <v>58.48</v>
      </c>
      <c r="D357" s="3113" t="s">
        <v>2911</v>
      </c>
      <c r="H357" s="3118">
        <v>354</v>
      </c>
      <c r="I357" s="3115" t="s">
        <v>4392</v>
      </c>
      <c r="J357" s="3114">
        <v>127.04</v>
      </c>
      <c r="K357" s="3118" t="s">
        <v>3463</v>
      </c>
    </row>
    <row r="358" spans="1:11">
      <c r="A358" s="3113">
        <v>355</v>
      </c>
      <c r="B358" s="3115" t="s">
        <v>4391</v>
      </c>
      <c r="C358" s="3114">
        <v>58.48</v>
      </c>
      <c r="D358" s="3113" t="s">
        <v>2911</v>
      </c>
      <c r="H358" s="3118">
        <v>355</v>
      </c>
      <c r="I358" s="3115" t="s">
        <v>4390</v>
      </c>
      <c r="J358" s="3114">
        <v>127.04</v>
      </c>
      <c r="K358" s="3118" t="s">
        <v>3463</v>
      </c>
    </row>
    <row r="359" spans="1:11">
      <c r="A359" s="3113">
        <v>356</v>
      </c>
      <c r="B359" s="3115" t="s">
        <v>4389</v>
      </c>
      <c r="C359" s="3114">
        <v>58.48</v>
      </c>
      <c r="D359" s="3113" t="s">
        <v>2911</v>
      </c>
      <c r="H359" s="3118">
        <v>356</v>
      </c>
      <c r="I359" s="3115" t="s">
        <v>4388</v>
      </c>
      <c r="J359" s="3114">
        <v>127.04</v>
      </c>
      <c r="K359" s="3118" t="s">
        <v>3463</v>
      </c>
    </row>
    <row r="360" spans="1:11">
      <c r="A360" s="3113">
        <v>357</v>
      </c>
      <c r="B360" s="3115" t="s">
        <v>4387</v>
      </c>
      <c r="C360" s="3114">
        <v>58.48</v>
      </c>
      <c r="D360" s="3113" t="s">
        <v>2911</v>
      </c>
      <c r="H360" s="3118">
        <v>357</v>
      </c>
      <c r="I360" s="3115" t="s">
        <v>4386</v>
      </c>
      <c r="J360" s="3114">
        <v>127.04</v>
      </c>
      <c r="K360" s="3118" t="s">
        <v>3463</v>
      </c>
    </row>
    <row r="361" spans="1:11">
      <c r="A361" s="3113">
        <v>358</v>
      </c>
      <c r="B361" s="3115" t="s">
        <v>4385</v>
      </c>
      <c r="C361" s="3114">
        <v>58.48</v>
      </c>
      <c r="D361" s="3113" t="s">
        <v>2911</v>
      </c>
      <c r="H361" s="3118">
        <v>358</v>
      </c>
      <c r="I361" s="3115" t="s">
        <v>4384</v>
      </c>
      <c r="J361" s="3114">
        <v>127.04</v>
      </c>
      <c r="K361" s="3118" t="s">
        <v>3463</v>
      </c>
    </row>
    <row r="362" spans="1:11">
      <c r="A362" s="3113">
        <v>359</v>
      </c>
      <c r="B362" s="3115" t="s">
        <v>4383</v>
      </c>
      <c r="C362" s="3114">
        <v>58.48</v>
      </c>
      <c r="D362" s="3113" t="s">
        <v>2911</v>
      </c>
      <c r="H362" s="3118">
        <v>359</v>
      </c>
      <c r="I362" s="3115" t="s">
        <v>4382</v>
      </c>
      <c r="J362" s="3114">
        <v>127.04</v>
      </c>
      <c r="K362" s="3118" t="s">
        <v>3463</v>
      </c>
    </row>
    <row r="363" spans="1:11">
      <c r="A363" s="3113">
        <v>360</v>
      </c>
      <c r="B363" s="3115" t="s">
        <v>4381</v>
      </c>
      <c r="C363" s="3114">
        <v>58.48</v>
      </c>
      <c r="D363" s="3113" t="s">
        <v>2911</v>
      </c>
      <c r="H363" s="3118">
        <v>360</v>
      </c>
      <c r="I363" s="3115" t="s">
        <v>4380</v>
      </c>
      <c r="J363" s="3114">
        <v>127.04</v>
      </c>
      <c r="K363" s="3118" t="s">
        <v>3463</v>
      </c>
    </row>
    <row r="364" spans="1:11">
      <c r="A364" s="3113">
        <v>361</v>
      </c>
      <c r="B364" s="3115" t="s">
        <v>4379</v>
      </c>
      <c r="C364" s="3114">
        <v>58.12</v>
      </c>
      <c r="D364" s="3113" t="s">
        <v>2911</v>
      </c>
      <c r="H364" s="3118">
        <v>361</v>
      </c>
      <c r="I364" s="3115" t="s">
        <v>4378</v>
      </c>
      <c r="J364" s="3114">
        <v>127.04</v>
      </c>
      <c r="K364" s="3118" t="s">
        <v>3463</v>
      </c>
    </row>
    <row r="365" spans="1:11">
      <c r="A365" s="3113">
        <v>362</v>
      </c>
      <c r="B365" s="3115" t="s">
        <v>4377</v>
      </c>
      <c r="C365" s="3114">
        <v>58.12</v>
      </c>
      <c r="D365" s="3113" t="s">
        <v>2911</v>
      </c>
      <c r="H365" s="3118">
        <v>362</v>
      </c>
      <c r="I365" s="3115" t="s">
        <v>4376</v>
      </c>
      <c r="J365" s="3114">
        <v>127.04</v>
      </c>
      <c r="K365" s="3118" t="s">
        <v>3463</v>
      </c>
    </row>
    <row r="366" spans="1:11">
      <c r="A366" s="3113">
        <v>363</v>
      </c>
      <c r="B366" s="3115" t="s">
        <v>4375</v>
      </c>
      <c r="C366" s="3114">
        <v>58.12</v>
      </c>
      <c r="D366" s="3113" t="s">
        <v>2911</v>
      </c>
      <c r="H366" s="3118">
        <v>363</v>
      </c>
      <c r="I366" s="3115" t="s">
        <v>4374</v>
      </c>
      <c r="J366" s="3114">
        <v>127.04</v>
      </c>
      <c r="K366" s="3118" t="s">
        <v>3463</v>
      </c>
    </row>
    <row r="367" spans="1:11">
      <c r="A367" s="3113">
        <v>364</v>
      </c>
      <c r="B367" s="3115" t="s">
        <v>4373</v>
      </c>
      <c r="C367" s="3114">
        <v>58.12</v>
      </c>
      <c r="D367" s="3113" t="s">
        <v>2911</v>
      </c>
      <c r="H367" s="3118">
        <v>364</v>
      </c>
      <c r="I367" s="3115" t="s">
        <v>4372</v>
      </c>
      <c r="J367" s="3114">
        <v>127.04</v>
      </c>
      <c r="K367" s="3118" t="s">
        <v>3463</v>
      </c>
    </row>
    <row r="368" spans="1:11">
      <c r="A368" s="3113">
        <v>365</v>
      </c>
      <c r="B368" s="3115" t="s">
        <v>4371</v>
      </c>
      <c r="C368" s="3114">
        <v>58.12</v>
      </c>
      <c r="D368" s="3113" t="s">
        <v>2911</v>
      </c>
      <c r="H368" s="3118">
        <v>365</v>
      </c>
      <c r="I368" s="3115" t="s">
        <v>4370</v>
      </c>
      <c r="J368" s="3114">
        <v>127.04</v>
      </c>
      <c r="K368" s="3118" t="s">
        <v>3463</v>
      </c>
    </row>
    <row r="369" spans="1:11">
      <c r="A369" s="3113">
        <v>366</v>
      </c>
      <c r="B369" s="3115" t="s">
        <v>4369</v>
      </c>
      <c r="C369" s="3114">
        <v>58.12</v>
      </c>
      <c r="D369" s="3113" t="s">
        <v>2911</v>
      </c>
      <c r="H369" s="3118">
        <v>366</v>
      </c>
      <c r="I369" s="3115" t="s">
        <v>4368</v>
      </c>
      <c r="J369" s="3114">
        <v>127.04</v>
      </c>
      <c r="K369" s="3118" t="s">
        <v>3463</v>
      </c>
    </row>
    <row r="370" spans="1:11">
      <c r="A370" s="3113">
        <v>367</v>
      </c>
      <c r="B370" s="3115" t="s">
        <v>4367</v>
      </c>
      <c r="C370" s="3114">
        <v>58.12</v>
      </c>
      <c r="D370" s="3113" t="s">
        <v>2911</v>
      </c>
      <c r="H370" s="3118">
        <v>367</v>
      </c>
      <c r="I370" s="3115" t="s">
        <v>4366</v>
      </c>
      <c r="J370" s="3114">
        <v>127.04</v>
      </c>
      <c r="K370" s="3118" t="s">
        <v>3463</v>
      </c>
    </row>
    <row r="371" spans="1:11">
      <c r="A371" s="3113">
        <v>368</v>
      </c>
      <c r="B371" s="3115" t="s">
        <v>4365</v>
      </c>
      <c r="C371" s="3114">
        <v>58.12</v>
      </c>
      <c r="D371" s="3113" t="s">
        <v>2911</v>
      </c>
      <c r="H371" s="3118">
        <v>368</v>
      </c>
      <c r="I371" s="3115" t="s">
        <v>4364</v>
      </c>
      <c r="J371" s="3114">
        <v>127.04</v>
      </c>
      <c r="K371" s="3118" t="s">
        <v>3463</v>
      </c>
    </row>
    <row r="372" spans="1:11">
      <c r="A372" s="3113">
        <v>369</v>
      </c>
      <c r="B372" s="3115" t="s">
        <v>4363</v>
      </c>
      <c r="C372" s="3114">
        <v>58.12</v>
      </c>
      <c r="D372" s="3113" t="s">
        <v>2911</v>
      </c>
      <c r="H372" s="3118">
        <v>369</v>
      </c>
      <c r="I372" s="3115" t="s">
        <v>4362</v>
      </c>
      <c r="J372" s="3114">
        <v>127.04</v>
      </c>
      <c r="K372" s="3118" t="s">
        <v>3463</v>
      </c>
    </row>
    <row r="373" spans="1:11">
      <c r="A373" s="3113">
        <v>370</v>
      </c>
      <c r="B373" s="3115" t="s">
        <v>4361</v>
      </c>
      <c r="C373" s="3114">
        <v>58.12</v>
      </c>
      <c r="D373" s="3113" t="s">
        <v>2911</v>
      </c>
      <c r="H373" s="3118">
        <v>370</v>
      </c>
      <c r="I373" s="3115" t="s">
        <v>4360</v>
      </c>
      <c r="J373" s="3114">
        <v>127.04</v>
      </c>
      <c r="K373" s="3118" t="s">
        <v>3463</v>
      </c>
    </row>
    <row r="374" spans="1:11">
      <c r="A374" s="3113">
        <v>371</v>
      </c>
      <c r="B374" s="3115" t="s">
        <v>4359</v>
      </c>
      <c r="C374" s="3114">
        <v>58.12</v>
      </c>
      <c r="D374" s="3113" t="s">
        <v>2911</v>
      </c>
      <c r="H374" s="3118">
        <v>371</v>
      </c>
      <c r="I374" s="3115" t="s">
        <v>4358</v>
      </c>
      <c r="J374" s="3114">
        <v>127.04</v>
      </c>
      <c r="K374" s="3118" t="s">
        <v>3463</v>
      </c>
    </row>
    <row r="375" spans="1:11">
      <c r="A375" s="3113">
        <v>372</v>
      </c>
      <c r="B375" s="3115" t="s">
        <v>4357</v>
      </c>
      <c r="C375" s="3114">
        <v>58.12</v>
      </c>
      <c r="D375" s="3113" t="s">
        <v>2911</v>
      </c>
      <c r="H375" s="3118">
        <v>372</v>
      </c>
      <c r="I375" s="3115" t="s">
        <v>4356</v>
      </c>
      <c r="J375" s="3114">
        <v>127.04</v>
      </c>
      <c r="K375" s="3118" t="s">
        <v>3463</v>
      </c>
    </row>
    <row r="376" spans="1:11">
      <c r="A376" s="3113">
        <v>373</v>
      </c>
      <c r="B376" s="3115" t="s">
        <v>4355</v>
      </c>
      <c r="C376" s="3114">
        <v>58.12</v>
      </c>
      <c r="D376" s="3113" t="s">
        <v>2911</v>
      </c>
      <c r="H376" s="3118">
        <v>373</v>
      </c>
      <c r="I376" s="3115" t="s">
        <v>4354</v>
      </c>
      <c r="J376" s="3114">
        <v>127.04</v>
      </c>
      <c r="K376" s="3118" t="s">
        <v>3463</v>
      </c>
    </row>
    <row r="377" spans="1:11">
      <c r="A377" s="3113">
        <v>374</v>
      </c>
      <c r="B377" s="3115" t="s">
        <v>4353</v>
      </c>
      <c r="C377" s="3114">
        <v>58.12</v>
      </c>
      <c r="D377" s="3113" t="s">
        <v>2911</v>
      </c>
      <c r="H377" s="3118">
        <v>374</v>
      </c>
      <c r="I377" s="3115" t="s">
        <v>4352</v>
      </c>
      <c r="J377" s="3114">
        <v>127.04</v>
      </c>
      <c r="K377" s="3118" t="s">
        <v>3463</v>
      </c>
    </row>
    <row r="378" spans="1:11">
      <c r="A378" s="3113">
        <v>375</v>
      </c>
      <c r="B378" s="3115" t="s">
        <v>4351</v>
      </c>
      <c r="C378" s="3114">
        <v>58.12</v>
      </c>
      <c r="D378" s="3113" t="s">
        <v>2911</v>
      </c>
      <c r="H378" s="3118">
        <v>375</v>
      </c>
      <c r="I378" s="3115" t="s">
        <v>4350</v>
      </c>
      <c r="J378" s="3114">
        <v>127.04</v>
      </c>
      <c r="K378" s="3118" t="s">
        <v>3463</v>
      </c>
    </row>
    <row r="379" spans="1:11">
      <c r="A379" s="3113">
        <v>376</v>
      </c>
      <c r="B379" s="3115" t="s">
        <v>4349</v>
      </c>
      <c r="C379" s="3114">
        <v>58.12</v>
      </c>
      <c r="D379" s="3113" t="s">
        <v>2911</v>
      </c>
      <c r="H379" s="3118">
        <v>376</v>
      </c>
      <c r="I379" s="3115" t="s">
        <v>4348</v>
      </c>
      <c r="J379" s="3114">
        <v>127.04</v>
      </c>
      <c r="K379" s="3118" t="s">
        <v>3463</v>
      </c>
    </row>
    <row r="380" spans="1:11">
      <c r="A380" s="3113">
        <v>377</v>
      </c>
      <c r="B380" s="3115" t="s">
        <v>4347</v>
      </c>
      <c r="C380" s="3114">
        <v>58.12</v>
      </c>
      <c r="D380" s="3113" t="s">
        <v>2911</v>
      </c>
      <c r="H380" s="3118">
        <v>377</v>
      </c>
      <c r="I380" s="3115" t="s">
        <v>4346</v>
      </c>
      <c r="J380" s="3114">
        <v>127.04</v>
      </c>
      <c r="K380" s="3118" t="s">
        <v>3463</v>
      </c>
    </row>
    <row r="381" spans="1:11">
      <c r="A381" s="3113">
        <v>378</v>
      </c>
      <c r="B381" s="3115" t="s">
        <v>4345</v>
      </c>
      <c r="C381" s="3114">
        <v>58.12</v>
      </c>
      <c r="D381" s="3113" t="s">
        <v>2911</v>
      </c>
      <c r="H381" s="3118">
        <v>378</v>
      </c>
      <c r="I381" s="3115" t="s">
        <v>4344</v>
      </c>
      <c r="J381" s="3114">
        <v>127.04</v>
      </c>
      <c r="K381" s="3118" t="s">
        <v>3463</v>
      </c>
    </row>
    <row r="382" spans="1:11">
      <c r="A382" s="3113">
        <v>379</v>
      </c>
      <c r="B382" s="3115" t="s">
        <v>4343</v>
      </c>
      <c r="C382" s="3114">
        <v>58.12</v>
      </c>
      <c r="D382" s="3113" t="s">
        <v>2911</v>
      </c>
      <c r="H382" s="3118">
        <v>379</v>
      </c>
      <c r="I382" s="3115" t="s">
        <v>4342</v>
      </c>
      <c r="J382" s="3114">
        <v>127.04</v>
      </c>
      <c r="K382" s="3118" t="s">
        <v>3463</v>
      </c>
    </row>
    <row r="383" spans="1:11">
      <c r="A383" s="3113">
        <v>380</v>
      </c>
      <c r="B383" s="3115" t="s">
        <v>4341</v>
      </c>
      <c r="C383" s="3114">
        <v>58.12</v>
      </c>
      <c r="D383" s="3113" t="s">
        <v>2911</v>
      </c>
      <c r="H383" s="3118">
        <v>380</v>
      </c>
      <c r="I383" s="3115" t="s">
        <v>4340</v>
      </c>
      <c r="J383" s="3114">
        <v>127.04</v>
      </c>
      <c r="K383" s="3118" t="s">
        <v>3463</v>
      </c>
    </row>
    <row r="384" spans="1:11">
      <c r="A384" s="3113">
        <v>381</v>
      </c>
      <c r="B384" s="3115" t="s">
        <v>4339</v>
      </c>
      <c r="C384" s="3114">
        <v>58.12</v>
      </c>
      <c r="D384" s="3113" t="s">
        <v>2911</v>
      </c>
      <c r="H384" s="3118">
        <v>381</v>
      </c>
      <c r="I384" s="3115" t="s">
        <v>4338</v>
      </c>
      <c r="J384" s="3114">
        <v>127.04</v>
      </c>
      <c r="K384" s="3118" t="s">
        <v>3463</v>
      </c>
    </row>
    <row r="385" spans="1:11">
      <c r="A385" s="3113">
        <v>382</v>
      </c>
      <c r="B385" s="3115" t="s">
        <v>4337</v>
      </c>
      <c r="C385" s="3114">
        <v>58.12</v>
      </c>
      <c r="D385" s="3113" t="s">
        <v>2911</v>
      </c>
      <c r="H385" s="3118">
        <v>382</v>
      </c>
      <c r="I385" s="3115" t="s">
        <v>4336</v>
      </c>
      <c r="J385" s="3114">
        <v>104.77</v>
      </c>
      <c r="K385" s="3118" t="s">
        <v>3463</v>
      </c>
    </row>
    <row r="386" spans="1:11">
      <c r="A386" s="3113">
        <v>383</v>
      </c>
      <c r="B386" s="3115" t="s">
        <v>4335</v>
      </c>
      <c r="C386" s="3114">
        <v>58.12</v>
      </c>
      <c r="D386" s="3113" t="s">
        <v>2911</v>
      </c>
      <c r="H386" s="3118">
        <v>383</v>
      </c>
      <c r="I386" s="3115" t="s">
        <v>4334</v>
      </c>
      <c r="J386" s="3114">
        <v>137.88</v>
      </c>
      <c r="K386" s="3118" t="s">
        <v>3463</v>
      </c>
    </row>
    <row r="387" spans="1:11">
      <c r="A387" s="3113">
        <v>384</v>
      </c>
      <c r="B387" s="3115" t="s">
        <v>4333</v>
      </c>
      <c r="C387" s="3114">
        <v>58.12</v>
      </c>
      <c r="D387" s="3113" t="s">
        <v>2911</v>
      </c>
      <c r="H387" s="3118">
        <v>384</v>
      </c>
      <c r="I387" s="3115" t="s">
        <v>4332</v>
      </c>
      <c r="J387" s="3114">
        <v>137.88</v>
      </c>
      <c r="K387" s="3118" t="s">
        <v>3463</v>
      </c>
    </row>
    <row r="388" spans="1:11">
      <c r="A388" s="3113">
        <v>385</v>
      </c>
      <c r="B388" s="3115" t="s">
        <v>4331</v>
      </c>
      <c r="C388" s="3114">
        <v>58.12</v>
      </c>
      <c r="D388" s="3113" t="s">
        <v>2911</v>
      </c>
      <c r="H388" s="3118">
        <v>385</v>
      </c>
      <c r="I388" s="3115" t="s">
        <v>4330</v>
      </c>
      <c r="J388" s="3114">
        <v>137.88</v>
      </c>
      <c r="K388" s="3118" t="s">
        <v>3463</v>
      </c>
    </row>
    <row r="389" spans="1:11">
      <c r="A389" s="3113">
        <v>386</v>
      </c>
      <c r="B389" s="3115" t="s">
        <v>4329</v>
      </c>
      <c r="C389" s="3114">
        <v>58.12</v>
      </c>
      <c r="D389" s="3113" t="s">
        <v>2911</v>
      </c>
      <c r="H389" s="3118">
        <v>386</v>
      </c>
      <c r="I389" s="3115" t="s">
        <v>4328</v>
      </c>
      <c r="J389" s="3114">
        <v>137.88</v>
      </c>
      <c r="K389" s="3118" t="s">
        <v>3463</v>
      </c>
    </row>
    <row r="390" spans="1:11">
      <c r="A390" s="3113">
        <v>387</v>
      </c>
      <c r="B390" s="3115" t="s">
        <v>4327</v>
      </c>
      <c r="C390" s="3114">
        <v>58.12</v>
      </c>
      <c r="D390" s="3113" t="s">
        <v>2911</v>
      </c>
      <c r="H390" s="3118">
        <v>387</v>
      </c>
      <c r="I390" s="3115" t="s">
        <v>4326</v>
      </c>
      <c r="J390" s="3114">
        <v>137.88</v>
      </c>
      <c r="K390" s="3118" t="s">
        <v>3463</v>
      </c>
    </row>
    <row r="391" spans="1:11">
      <c r="A391" s="3113">
        <v>388</v>
      </c>
      <c r="B391" s="3115" t="s">
        <v>4325</v>
      </c>
      <c r="C391" s="3114">
        <v>58.12</v>
      </c>
      <c r="D391" s="3113" t="s">
        <v>2911</v>
      </c>
      <c r="H391" s="3118">
        <v>388</v>
      </c>
      <c r="I391" s="3115" t="s">
        <v>4324</v>
      </c>
      <c r="J391" s="3114">
        <v>137.88</v>
      </c>
      <c r="K391" s="3118" t="s">
        <v>3463</v>
      </c>
    </row>
    <row r="392" spans="1:11">
      <c r="A392" s="3113">
        <v>389</v>
      </c>
      <c r="B392" s="3115" t="s">
        <v>4323</v>
      </c>
      <c r="C392" s="3114">
        <v>58.12</v>
      </c>
      <c r="D392" s="3113" t="s">
        <v>2911</v>
      </c>
      <c r="H392" s="3118">
        <v>389</v>
      </c>
      <c r="I392" s="3115" t="s">
        <v>4322</v>
      </c>
      <c r="J392" s="3114">
        <v>137.88</v>
      </c>
      <c r="K392" s="3118" t="s">
        <v>3463</v>
      </c>
    </row>
    <row r="393" spans="1:11">
      <c r="A393" s="3113">
        <v>390</v>
      </c>
      <c r="B393" s="3115" t="s">
        <v>4321</v>
      </c>
      <c r="C393" s="3114">
        <v>88.31</v>
      </c>
      <c r="D393" s="3113" t="s">
        <v>2911</v>
      </c>
      <c r="H393" s="3118">
        <v>390</v>
      </c>
      <c r="I393" s="3115" t="s">
        <v>4320</v>
      </c>
      <c r="J393" s="3114">
        <v>137.88</v>
      </c>
      <c r="K393" s="3118" t="s">
        <v>3463</v>
      </c>
    </row>
    <row r="394" spans="1:11">
      <c r="A394" s="3113">
        <v>391</v>
      </c>
      <c r="B394" s="3115" t="s">
        <v>4319</v>
      </c>
      <c r="C394" s="3114">
        <v>88.31</v>
      </c>
      <c r="D394" s="3113" t="s">
        <v>2911</v>
      </c>
      <c r="H394" s="3118">
        <v>391</v>
      </c>
      <c r="I394" s="3115" t="s">
        <v>4318</v>
      </c>
      <c r="J394" s="3114">
        <v>137.88</v>
      </c>
      <c r="K394" s="3118" t="s">
        <v>3463</v>
      </c>
    </row>
    <row r="395" spans="1:11">
      <c r="A395" s="3113">
        <v>392</v>
      </c>
      <c r="B395" s="3115" t="s">
        <v>4317</v>
      </c>
      <c r="C395" s="3114">
        <v>88.31</v>
      </c>
      <c r="D395" s="3113" t="s">
        <v>2911</v>
      </c>
      <c r="H395" s="3118">
        <v>392</v>
      </c>
      <c r="I395" s="3115" t="s">
        <v>4316</v>
      </c>
      <c r="J395" s="3114">
        <v>137.88</v>
      </c>
      <c r="K395" s="3118" t="s">
        <v>3463</v>
      </c>
    </row>
    <row r="396" spans="1:11">
      <c r="A396" s="3113">
        <v>393</v>
      </c>
      <c r="B396" s="3115" t="s">
        <v>4315</v>
      </c>
      <c r="C396" s="3114">
        <v>88.31</v>
      </c>
      <c r="D396" s="3113" t="s">
        <v>2911</v>
      </c>
      <c r="H396" s="3118">
        <v>393</v>
      </c>
      <c r="I396" s="3115" t="s">
        <v>4314</v>
      </c>
      <c r="J396" s="3114">
        <v>137.88</v>
      </c>
      <c r="K396" s="3118" t="s">
        <v>3463</v>
      </c>
    </row>
    <row r="397" spans="1:11">
      <c r="A397" s="3113">
        <v>394</v>
      </c>
      <c r="B397" s="3115" t="s">
        <v>4313</v>
      </c>
      <c r="C397" s="3114">
        <v>88.31</v>
      </c>
      <c r="D397" s="3113" t="s">
        <v>2911</v>
      </c>
      <c r="H397" s="3118">
        <v>394</v>
      </c>
      <c r="I397" s="3115" t="s">
        <v>4312</v>
      </c>
      <c r="J397" s="3114">
        <v>137.88</v>
      </c>
      <c r="K397" s="3118" t="s">
        <v>3463</v>
      </c>
    </row>
    <row r="398" spans="1:11">
      <c r="A398" s="3113">
        <v>395</v>
      </c>
      <c r="B398" s="3115" t="s">
        <v>4311</v>
      </c>
      <c r="C398" s="3114">
        <v>88.31</v>
      </c>
      <c r="D398" s="3113" t="s">
        <v>2911</v>
      </c>
      <c r="H398" s="3118">
        <v>395</v>
      </c>
      <c r="I398" s="3115" t="s">
        <v>4310</v>
      </c>
      <c r="J398" s="3114">
        <v>137.88</v>
      </c>
      <c r="K398" s="3118" t="s">
        <v>3463</v>
      </c>
    </row>
    <row r="399" spans="1:11">
      <c r="A399" s="3113">
        <v>396</v>
      </c>
      <c r="B399" s="3115" t="s">
        <v>4309</v>
      </c>
      <c r="C399" s="3114">
        <v>88.31</v>
      </c>
      <c r="D399" s="3113" t="s">
        <v>2911</v>
      </c>
      <c r="H399" s="3118">
        <v>396</v>
      </c>
      <c r="I399" s="3115" t="s">
        <v>4308</v>
      </c>
      <c r="J399" s="3114">
        <v>137.88</v>
      </c>
      <c r="K399" s="3118" t="s">
        <v>3463</v>
      </c>
    </row>
    <row r="400" spans="1:11">
      <c r="A400" s="3113">
        <v>397</v>
      </c>
      <c r="B400" s="3115" t="s">
        <v>4307</v>
      </c>
      <c r="C400" s="3114">
        <v>88.31</v>
      </c>
      <c r="D400" s="3113" t="s">
        <v>2911</v>
      </c>
      <c r="H400" s="3118">
        <v>397</v>
      </c>
      <c r="I400" s="3115" t="s">
        <v>4306</v>
      </c>
      <c r="J400" s="3114">
        <v>137.88</v>
      </c>
      <c r="K400" s="3118" t="s">
        <v>3463</v>
      </c>
    </row>
    <row r="401" spans="1:11">
      <c r="A401" s="3113">
        <v>398</v>
      </c>
      <c r="B401" s="3115" t="s">
        <v>4305</v>
      </c>
      <c r="C401" s="3114">
        <v>88.31</v>
      </c>
      <c r="D401" s="3113" t="s">
        <v>2911</v>
      </c>
      <c r="H401" s="3118">
        <v>398</v>
      </c>
      <c r="I401" s="3115" t="s">
        <v>4304</v>
      </c>
      <c r="J401" s="3114">
        <v>137.88</v>
      </c>
      <c r="K401" s="3118" t="s">
        <v>3463</v>
      </c>
    </row>
    <row r="402" spans="1:11">
      <c r="A402" s="3113">
        <v>399</v>
      </c>
      <c r="B402" s="3115" t="s">
        <v>4303</v>
      </c>
      <c r="C402" s="3114">
        <v>88.31</v>
      </c>
      <c r="D402" s="3113" t="s">
        <v>2911</v>
      </c>
      <c r="H402" s="3118">
        <v>399</v>
      </c>
      <c r="I402" s="3115" t="s">
        <v>4302</v>
      </c>
      <c r="J402" s="3114">
        <v>137.88</v>
      </c>
      <c r="K402" s="3118" t="s">
        <v>3463</v>
      </c>
    </row>
    <row r="403" spans="1:11">
      <c r="A403" s="3113">
        <v>400</v>
      </c>
      <c r="B403" s="3115" t="s">
        <v>4301</v>
      </c>
      <c r="C403" s="3114">
        <v>88.31</v>
      </c>
      <c r="D403" s="3113" t="s">
        <v>2911</v>
      </c>
      <c r="H403" s="3118">
        <v>400</v>
      </c>
      <c r="I403" s="3115" t="s">
        <v>4300</v>
      </c>
      <c r="J403" s="3114">
        <v>137.88</v>
      </c>
      <c r="K403" s="3118" t="s">
        <v>3463</v>
      </c>
    </row>
    <row r="404" spans="1:11">
      <c r="A404" s="3113">
        <v>401</v>
      </c>
      <c r="B404" s="3115" t="s">
        <v>4299</v>
      </c>
      <c r="C404" s="3114">
        <v>88.31</v>
      </c>
      <c r="D404" s="3113" t="s">
        <v>2911</v>
      </c>
      <c r="H404" s="3118">
        <v>401</v>
      </c>
      <c r="I404" s="3115" t="s">
        <v>4298</v>
      </c>
      <c r="J404" s="3114">
        <v>137.88</v>
      </c>
      <c r="K404" s="3118" t="s">
        <v>3463</v>
      </c>
    </row>
    <row r="405" spans="1:11">
      <c r="A405" s="3113">
        <v>402</v>
      </c>
      <c r="B405" s="3115" t="s">
        <v>4297</v>
      </c>
      <c r="C405" s="3114">
        <v>88.31</v>
      </c>
      <c r="D405" s="3113" t="s">
        <v>2911</v>
      </c>
      <c r="H405" s="3118">
        <v>402</v>
      </c>
      <c r="I405" s="3115" t="s">
        <v>4296</v>
      </c>
      <c r="J405" s="3114">
        <v>137.88</v>
      </c>
      <c r="K405" s="3118" t="s">
        <v>3463</v>
      </c>
    </row>
    <row r="406" spans="1:11">
      <c r="A406" s="3113">
        <v>403</v>
      </c>
      <c r="B406" s="3115" t="s">
        <v>4295</v>
      </c>
      <c r="C406" s="3114">
        <v>88.31</v>
      </c>
      <c r="D406" s="3113" t="s">
        <v>2911</v>
      </c>
      <c r="H406" s="3118">
        <v>403</v>
      </c>
      <c r="I406" s="3115" t="s">
        <v>4294</v>
      </c>
      <c r="J406" s="3114">
        <v>137.88</v>
      </c>
      <c r="K406" s="3118" t="s">
        <v>3463</v>
      </c>
    </row>
    <row r="407" spans="1:11">
      <c r="A407" s="3113">
        <v>404</v>
      </c>
      <c r="B407" s="3115" t="s">
        <v>4293</v>
      </c>
      <c r="C407" s="3114">
        <v>88.31</v>
      </c>
      <c r="D407" s="3113" t="s">
        <v>2911</v>
      </c>
      <c r="H407" s="3118">
        <v>404</v>
      </c>
      <c r="I407" s="3115" t="s">
        <v>4292</v>
      </c>
      <c r="J407" s="3114">
        <v>137.88</v>
      </c>
      <c r="K407" s="3118" t="s">
        <v>3463</v>
      </c>
    </row>
    <row r="408" spans="1:11">
      <c r="A408" s="3113">
        <v>405</v>
      </c>
      <c r="B408" s="3115" t="s">
        <v>4291</v>
      </c>
      <c r="C408" s="3114">
        <v>88.31</v>
      </c>
      <c r="D408" s="3113" t="s">
        <v>2911</v>
      </c>
      <c r="H408" s="3118">
        <v>405</v>
      </c>
      <c r="I408" s="3115" t="s">
        <v>4290</v>
      </c>
      <c r="J408" s="3114">
        <v>137.88</v>
      </c>
      <c r="K408" s="3118" t="s">
        <v>3463</v>
      </c>
    </row>
    <row r="409" spans="1:11">
      <c r="A409" s="3113">
        <v>406</v>
      </c>
      <c r="B409" s="3115" t="s">
        <v>4289</v>
      </c>
      <c r="C409" s="3114">
        <v>88.31</v>
      </c>
      <c r="D409" s="3113" t="s">
        <v>2911</v>
      </c>
      <c r="H409" s="3118">
        <v>406</v>
      </c>
      <c r="I409" s="3115" t="s">
        <v>4288</v>
      </c>
      <c r="J409" s="3114">
        <v>137.88</v>
      </c>
      <c r="K409" s="3118" t="s">
        <v>3463</v>
      </c>
    </row>
    <row r="410" spans="1:11">
      <c r="A410" s="3113">
        <v>407</v>
      </c>
      <c r="B410" s="3115" t="s">
        <v>4287</v>
      </c>
      <c r="C410" s="3114">
        <v>88.31</v>
      </c>
      <c r="D410" s="3113" t="s">
        <v>2911</v>
      </c>
      <c r="H410" s="3118">
        <v>407</v>
      </c>
      <c r="I410" s="3115" t="s">
        <v>4286</v>
      </c>
      <c r="J410" s="3114">
        <v>137.88</v>
      </c>
      <c r="K410" s="3118" t="s">
        <v>3463</v>
      </c>
    </row>
    <row r="411" spans="1:11">
      <c r="A411" s="3113">
        <v>408</v>
      </c>
      <c r="B411" s="3115" t="s">
        <v>4285</v>
      </c>
      <c r="C411" s="3114">
        <v>88.31</v>
      </c>
      <c r="D411" s="3113" t="s">
        <v>2911</v>
      </c>
      <c r="H411" s="3118">
        <v>408</v>
      </c>
      <c r="I411" s="3115" t="s">
        <v>4284</v>
      </c>
      <c r="J411" s="3114">
        <v>137.88</v>
      </c>
      <c r="K411" s="3118" t="s">
        <v>3463</v>
      </c>
    </row>
    <row r="412" spans="1:11">
      <c r="A412" s="3113">
        <v>409</v>
      </c>
      <c r="B412" s="3115" t="s">
        <v>4283</v>
      </c>
      <c r="C412" s="3114">
        <v>88.31</v>
      </c>
      <c r="D412" s="3113" t="s">
        <v>2911</v>
      </c>
      <c r="H412" s="3118">
        <v>409</v>
      </c>
      <c r="I412" s="3115" t="s">
        <v>4282</v>
      </c>
      <c r="J412" s="3114">
        <v>137.88</v>
      </c>
      <c r="K412" s="3118" t="s">
        <v>3463</v>
      </c>
    </row>
    <row r="413" spans="1:11">
      <c r="A413" s="3113">
        <v>410</v>
      </c>
      <c r="B413" s="3115" t="s">
        <v>4281</v>
      </c>
      <c r="C413" s="3114">
        <v>88.31</v>
      </c>
      <c r="D413" s="3113" t="s">
        <v>2911</v>
      </c>
      <c r="H413" s="3118">
        <v>410</v>
      </c>
      <c r="I413" s="3115" t="s">
        <v>4280</v>
      </c>
      <c r="J413" s="3114">
        <v>137.88</v>
      </c>
      <c r="K413" s="3118" t="s">
        <v>3463</v>
      </c>
    </row>
    <row r="414" spans="1:11">
      <c r="A414" s="3113">
        <v>411</v>
      </c>
      <c r="B414" s="3115" t="s">
        <v>4279</v>
      </c>
      <c r="C414" s="3114">
        <v>88.31</v>
      </c>
      <c r="D414" s="3113" t="s">
        <v>2911</v>
      </c>
      <c r="H414" s="3118">
        <v>411</v>
      </c>
      <c r="I414" s="3115" t="s">
        <v>4278</v>
      </c>
      <c r="J414" s="3114">
        <v>123.76</v>
      </c>
      <c r="K414" s="3118" t="s">
        <v>3463</v>
      </c>
    </row>
    <row r="415" spans="1:11">
      <c r="A415" s="3113">
        <v>412</v>
      </c>
      <c r="B415" s="3115" t="s">
        <v>4277</v>
      </c>
      <c r="C415" s="3114">
        <v>88.31</v>
      </c>
      <c r="D415" s="3113" t="s">
        <v>2911</v>
      </c>
      <c r="H415" s="3118">
        <v>412</v>
      </c>
      <c r="I415" s="3115" t="s">
        <v>4276</v>
      </c>
      <c r="J415" s="3114">
        <v>88.06</v>
      </c>
      <c r="K415" s="3118" t="s">
        <v>3463</v>
      </c>
    </row>
    <row r="416" spans="1:11">
      <c r="A416" s="3113">
        <v>413</v>
      </c>
      <c r="B416" s="3115" t="s">
        <v>4275</v>
      </c>
      <c r="C416" s="3114">
        <v>88.31</v>
      </c>
      <c r="D416" s="3113" t="s">
        <v>2911</v>
      </c>
      <c r="H416" s="3118">
        <v>413</v>
      </c>
      <c r="I416" s="3115" t="s">
        <v>4274</v>
      </c>
      <c r="J416" s="3114">
        <v>88.06</v>
      </c>
      <c r="K416" s="3118" t="s">
        <v>3463</v>
      </c>
    </row>
    <row r="417" spans="1:11">
      <c r="A417" s="3113">
        <v>414</v>
      </c>
      <c r="B417" s="3115" t="s">
        <v>4273</v>
      </c>
      <c r="C417" s="3114">
        <v>88.31</v>
      </c>
      <c r="D417" s="3113" t="s">
        <v>2911</v>
      </c>
      <c r="H417" s="3118">
        <v>414</v>
      </c>
      <c r="I417" s="3115" t="s">
        <v>4272</v>
      </c>
      <c r="J417" s="3114">
        <v>88.06</v>
      </c>
      <c r="K417" s="3118" t="s">
        <v>3463</v>
      </c>
    </row>
    <row r="418" spans="1:11">
      <c r="A418" s="3113">
        <v>415</v>
      </c>
      <c r="B418" s="3115" t="s">
        <v>4271</v>
      </c>
      <c r="C418" s="3114">
        <v>88.31</v>
      </c>
      <c r="D418" s="3113" t="s">
        <v>2911</v>
      </c>
      <c r="H418" s="3118">
        <v>415</v>
      </c>
      <c r="I418" s="3115" t="s">
        <v>4270</v>
      </c>
      <c r="J418" s="3114">
        <v>88.06</v>
      </c>
      <c r="K418" s="3118" t="s">
        <v>3463</v>
      </c>
    </row>
    <row r="419" spans="1:11">
      <c r="A419" s="3113">
        <v>416</v>
      </c>
      <c r="B419" s="3115" t="s">
        <v>4269</v>
      </c>
      <c r="C419" s="3114">
        <v>88.31</v>
      </c>
      <c r="D419" s="3113" t="s">
        <v>2911</v>
      </c>
      <c r="H419" s="3118">
        <v>416</v>
      </c>
      <c r="I419" s="3115" t="s">
        <v>4268</v>
      </c>
      <c r="J419" s="3114">
        <v>88.06</v>
      </c>
      <c r="K419" s="3118" t="s">
        <v>3463</v>
      </c>
    </row>
    <row r="420" spans="1:11">
      <c r="A420" s="3113">
        <v>417</v>
      </c>
      <c r="B420" s="3115" t="s">
        <v>4267</v>
      </c>
      <c r="C420" s="3114">
        <v>88.31</v>
      </c>
      <c r="D420" s="3113" t="s">
        <v>2911</v>
      </c>
      <c r="H420" s="3118">
        <v>417</v>
      </c>
      <c r="I420" s="3115" t="s">
        <v>4266</v>
      </c>
      <c r="J420" s="3114">
        <v>88.06</v>
      </c>
      <c r="K420" s="3118" t="s">
        <v>3463</v>
      </c>
    </row>
    <row r="421" spans="1:11">
      <c r="A421" s="3113">
        <v>418</v>
      </c>
      <c r="B421" s="3115" t="s">
        <v>4265</v>
      </c>
      <c r="C421" s="3114">
        <v>112.69</v>
      </c>
      <c r="D421" s="3113" t="s">
        <v>2911</v>
      </c>
      <c r="H421" s="3118">
        <v>418</v>
      </c>
      <c r="I421" s="3115" t="s">
        <v>4264</v>
      </c>
      <c r="J421" s="3114">
        <v>88.06</v>
      </c>
      <c r="K421" s="3118" t="s">
        <v>3463</v>
      </c>
    </row>
    <row r="422" spans="1:11">
      <c r="A422" s="3113">
        <v>419</v>
      </c>
      <c r="B422" s="3115" t="s">
        <v>4263</v>
      </c>
      <c r="C422" s="3114">
        <v>112.69</v>
      </c>
      <c r="D422" s="3113" t="s">
        <v>2911</v>
      </c>
      <c r="H422" s="3118">
        <v>419</v>
      </c>
      <c r="I422" s="3115" t="s">
        <v>4262</v>
      </c>
      <c r="J422" s="3114">
        <v>88.06</v>
      </c>
      <c r="K422" s="3118" t="s">
        <v>3463</v>
      </c>
    </row>
    <row r="423" spans="1:11">
      <c r="A423" s="3113">
        <v>420</v>
      </c>
      <c r="B423" s="3115" t="s">
        <v>4261</v>
      </c>
      <c r="C423" s="3114">
        <v>112.69</v>
      </c>
      <c r="D423" s="3113" t="s">
        <v>2911</v>
      </c>
      <c r="H423" s="3118">
        <v>420</v>
      </c>
      <c r="I423" s="3115" t="s">
        <v>4260</v>
      </c>
      <c r="J423" s="3114">
        <v>88.06</v>
      </c>
      <c r="K423" s="3118" t="s">
        <v>3463</v>
      </c>
    </row>
    <row r="424" spans="1:11">
      <c r="A424" s="3113">
        <v>421</v>
      </c>
      <c r="B424" s="3115" t="s">
        <v>4259</v>
      </c>
      <c r="C424" s="3114">
        <v>112.69</v>
      </c>
      <c r="D424" s="3113" t="s">
        <v>2911</v>
      </c>
      <c r="H424" s="3118">
        <v>421</v>
      </c>
      <c r="I424" s="3115" t="s">
        <v>4258</v>
      </c>
      <c r="J424" s="3114">
        <v>88.06</v>
      </c>
      <c r="K424" s="3118" t="s">
        <v>3463</v>
      </c>
    </row>
    <row r="425" spans="1:11">
      <c r="A425" s="3113">
        <v>422</v>
      </c>
      <c r="B425" s="3115" t="s">
        <v>4257</v>
      </c>
      <c r="C425" s="3114">
        <v>112.69</v>
      </c>
      <c r="D425" s="3113" t="s">
        <v>2911</v>
      </c>
      <c r="H425" s="3118">
        <v>422</v>
      </c>
      <c r="I425" s="3115" t="s">
        <v>4256</v>
      </c>
      <c r="J425" s="3114">
        <v>88.06</v>
      </c>
      <c r="K425" s="3118" t="s">
        <v>3463</v>
      </c>
    </row>
    <row r="426" spans="1:11">
      <c r="A426" s="3113">
        <v>423</v>
      </c>
      <c r="B426" s="3115" t="s">
        <v>4255</v>
      </c>
      <c r="C426" s="3114">
        <v>112.69</v>
      </c>
      <c r="D426" s="3113" t="s">
        <v>2911</v>
      </c>
      <c r="H426" s="3118">
        <v>423</v>
      </c>
      <c r="I426" s="3115" t="s">
        <v>4254</v>
      </c>
      <c r="J426" s="3114">
        <v>88.06</v>
      </c>
      <c r="K426" s="3118" t="s">
        <v>3463</v>
      </c>
    </row>
    <row r="427" spans="1:11">
      <c r="A427" s="3113">
        <v>424</v>
      </c>
      <c r="B427" s="3115" t="s">
        <v>4253</v>
      </c>
      <c r="C427" s="3114">
        <v>112.69</v>
      </c>
      <c r="D427" s="3113" t="s">
        <v>2911</v>
      </c>
      <c r="H427" s="3118">
        <v>424</v>
      </c>
      <c r="I427" s="3115" t="s">
        <v>4252</v>
      </c>
      <c r="J427" s="3114">
        <v>88.06</v>
      </c>
      <c r="K427" s="3118" t="s">
        <v>3463</v>
      </c>
    </row>
    <row r="428" spans="1:11">
      <c r="A428" s="3113">
        <v>425</v>
      </c>
      <c r="B428" s="3115" t="s">
        <v>4251</v>
      </c>
      <c r="C428" s="3114">
        <v>112.69</v>
      </c>
      <c r="D428" s="3113" t="s">
        <v>2911</v>
      </c>
      <c r="H428" s="3118">
        <v>425</v>
      </c>
      <c r="I428" s="3115" t="s">
        <v>4250</v>
      </c>
      <c r="J428" s="3114">
        <v>88.06</v>
      </c>
      <c r="K428" s="3118" t="s">
        <v>3463</v>
      </c>
    </row>
    <row r="429" spans="1:11">
      <c r="A429" s="3113">
        <v>426</v>
      </c>
      <c r="B429" s="3115" t="s">
        <v>4249</v>
      </c>
      <c r="C429" s="3114">
        <v>112.69</v>
      </c>
      <c r="D429" s="3113" t="s">
        <v>2911</v>
      </c>
      <c r="H429" s="3118">
        <v>426</v>
      </c>
      <c r="I429" s="3115" t="s">
        <v>4248</v>
      </c>
      <c r="J429" s="3114">
        <v>88.06</v>
      </c>
      <c r="K429" s="3118" t="s">
        <v>3463</v>
      </c>
    </row>
    <row r="430" spans="1:11">
      <c r="A430" s="3113">
        <v>427</v>
      </c>
      <c r="B430" s="3115" t="s">
        <v>4247</v>
      </c>
      <c r="C430" s="3114">
        <v>112.69</v>
      </c>
      <c r="D430" s="3113" t="s">
        <v>2911</v>
      </c>
      <c r="H430" s="3118">
        <v>427</v>
      </c>
      <c r="I430" s="3115" t="s">
        <v>4246</v>
      </c>
      <c r="J430" s="3114">
        <v>88.06</v>
      </c>
      <c r="K430" s="3118" t="s">
        <v>3463</v>
      </c>
    </row>
    <row r="431" spans="1:11">
      <c r="A431" s="3113">
        <v>428</v>
      </c>
      <c r="B431" s="3115" t="s">
        <v>4245</v>
      </c>
      <c r="C431" s="3114">
        <v>112.69</v>
      </c>
      <c r="D431" s="3113" t="s">
        <v>2911</v>
      </c>
      <c r="H431" s="3118">
        <v>428</v>
      </c>
      <c r="I431" s="3115" t="s">
        <v>4244</v>
      </c>
      <c r="J431" s="3114">
        <v>88.06</v>
      </c>
      <c r="K431" s="3118" t="s">
        <v>3463</v>
      </c>
    </row>
    <row r="432" spans="1:11">
      <c r="A432" s="3113">
        <v>429</v>
      </c>
      <c r="B432" s="3115" t="s">
        <v>4243</v>
      </c>
      <c r="C432" s="3114">
        <v>112.69</v>
      </c>
      <c r="D432" s="3113" t="s">
        <v>2911</v>
      </c>
      <c r="H432" s="3118">
        <v>429</v>
      </c>
      <c r="I432" s="3115" t="s">
        <v>4242</v>
      </c>
      <c r="J432" s="3114">
        <v>88.06</v>
      </c>
      <c r="K432" s="3118" t="s">
        <v>3463</v>
      </c>
    </row>
    <row r="433" spans="1:11">
      <c r="A433" s="3113">
        <v>430</v>
      </c>
      <c r="B433" s="3115" t="s">
        <v>4241</v>
      </c>
      <c r="C433" s="3114">
        <v>112.69</v>
      </c>
      <c r="D433" s="3113" t="s">
        <v>2911</v>
      </c>
      <c r="H433" s="3118">
        <v>430</v>
      </c>
      <c r="I433" s="3115" t="s">
        <v>4240</v>
      </c>
      <c r="J433" s="3114">
        <v>88.06</v>
      </c>
      <c r="K433" s="3118" t="s">
        <v>3463</v>
      </c>
    </row>
    <row r="434" spans="1:11">
      <c r="A434" s="3113">
        <v>431</v>
      </c>
      <c r="B434" s="3115" t="s">
        <v>4239</v>
      </c>
      <c r="C434" s="3114">
        <v>112.69</v>
      </c>
      <c r="D434" s="3113" t="s">
        <v>2911</v>
      </c>
      <c r="H434" s="3118">
        <v>431</v>
      </c>
      <c r="I434" s="3115" t="s">
        <v>4238</v>
      </c>
      <c r="J434" s="3114">
        <v>88.06</v>
      </c>
      <c r="K434" s="3118" t="s">
        <v>3463</v>
      </c>
    </row>
    <row r="435" spans="1:11">
      <c r="A435" s="3113">
        <v>432</v>
      </c>
      <c r="B435" s="3115" t="s">
        <v>4237</v>
      </c>
      <c r="C435" s="3114">
        <v>112.69</v>
      </c>
      <c r="D435" s="3113" t="s">
        <v>2911</v>
      </c>
      <c r="H435" s="3118">
        <v>432</v>
      </c>
      <c r="I435" s="3115" t="s">
        <v>4236</v>
      </c>
      <c r="J435" s="3114">
        <v>88.06</v>
      </c>
      <c r="K435" s="3118" t="s">
        <v>3463</v>
      </c>
    </row>
    <row r="436" spans="1:11">
      <c r="A436" s="3113">
        <v>433</v>
      </c>
      <c r="B436" s="3115" t="s">
        <v>4235</v>
      </c>
      <c r="C436" s="3114">
        <v>112.69</v>
      </c>
      <c r="D436" s="3113" t="s">
        <v>2911</v>
      </c>
      <c r="H436" s="3118">
        <v>433</v>
      </c>
      <c r="I436" s="3115" t="s">
        <v>4234</v>
      </c>
      <c r="J436" s="3114">
        <v>88.06</v>
      </c>
      <c r="K436" s="3118" t="s">
        <v>3463</v>
      </c>
    </row>
    <row r="437" spans="1:11">
      <c r="A437" s="3113">
        <v>434</v>
      </c>
      <c r="B437" s="3115" t="s">
        <v>4233</v>
      </c>
      <c r="C437" s="3114">
        <v>112.69</v>
      </c>
      <c r="D437" s="3113" t="s">
        <v>2911</v>
      </c>
      <c r="H437" s="3118">
        <v>434</v>
      </c>
      <c r="I437" s="3115" t="s">
        <v>4232</v>
      </c>
      <c r="J437" s="3114">
        <v>88.06</v>
      </c>
      <c r="K437" s="3118" t="s">
        <v>3463</v>
      </c>
    </row>
    <row r="438" spans="1:11">
      <c r="A438" s="3113">
        <v>435</v>
      </c>
      <c r="B438" s="3115" t="s">
        <v>4231</v>
      </c>
      <c r="C438" s="3114">
        <v>112.69</v>
      </c>
      <c r="D438" s="3113" t="s">
        <v>2911</v>
      </c>
      <c r="H438" s="3118">
        <v>435</v>
      </c>
      <c r="I438" s="3115" t="s">
        <v>4230</v>
      </c>
      <c r="J438" s="3114">
        <v>88.06</v>
      </c>
      <c r="K438" s="3118" t="s">
        <v>3463</v>
      </c>
    </row>
    <row r="439" spans="1:11">
      <c r="A439" s="3113">
        <v>436</v>
      </c>
      <c r="B439" s="3115" t="s">
        <v>4229</v>
      </c>
      <c r="C439" s="3114">
        <v>112.69</v>
      </c>
      <c r="D439" s="3113" t="s">
        <v>2911</v>
      </c>
      <c r="H439" s="3118">
        <v>436</v>
      </c>
      <c r="I439" s="3115" t="s">
        <v>4228</v>
      </c>
      <c r="J439" s="3114">
        <v>88.06</v>
      </c>
      <c r="K439" s="3118" t="s">
        <v>3463</v>
      </c>
    </row>
    <row r="440" spans="1:11">
      <c r="A440" s="3113">
        <v>437</v>
      </c>
      <c r="B440" s="3115" t="s">
        <v>4227</v>
      </c>
      <c r="C440" s="3114">
        <v>112.69</v>
      </c>
      <c r="D440" s="3113" t="s">
        <v>2911</v>
      </c>
      <c r="H440" s="3118">
        <v>437</v>
      </c>
      <c r="I440" s="3115" t="s">
        <v>4226</v>
      </c>
      <c r="J440" s="3114">
        <v>88.06</v>
      </c>
      <c r="K440" s="3118" t="s">
        <v>3463</v>
      </c>
    </row>
    <row r="441" spans="1:11">
      <c r="A441" s="3113">
        <v>438</v>
      </c>
      <c r="B441" s="3115" t="s">
        <v>4225</v>
      </c>
      <c r="C441" s="3114">
        <v>112.69</v>
      </c>
      <c r="D441" s="3113" t="s">
        <v>2911</v>
      </c>
      <c r="H441" s="3118">
        <v>438</v>
      </c>
      <c r="I441" s="3115" t="s">
        <v>4224</v>
      </c>
      <c r="J441" s="3114">
        <v>88.06</v>
      </c>
      <c r="K441" s="3118" t="s">
        <v>3463</v>
      </c>
    </row>
    <row r="442" spans="1:11">
      <c r="A442" s="3113">
        <v>439</v>
      </c>
      <c r="B442" s="3115" t="s">
        <v>4223</v>
      </c>
      <c r="C442" s="3114">
        <v>112.69</v>
      </c>
      <c r="D442" s="3113" t="s">
        <v>2911</v>
      </c>
      <c r="H442" s="3118">
        <v>439</v>
      </c>
      <c r="I442" s="3115" t="s">
        <v>4222</v>
      </c>
      <c r="J442" s="3114">
        <v>88.06</v>
      </c>
      <c r="K442" s="3118" t="s">
        <v>3463</v>
      </c>
    </row>
    <row r="443" spans="1:11">
      <c r="A443" s="3113">
        <v>440</v>
      </c>
      <c r="B443" s="3115" t="s">
        <v>4221</v>
      </c>
      <c r="C443" s="3114">
        <v>112.69</v>
      </c>
      <c r="D443" s="3113" t="s">
        <v>2911</v>
      </c>
      <c r="H443" s="3118">
        <v>440</v>
      </c>
      <c r="I443" s="3115" t="s">
        <v>4220</v>
      </c>
      <c r="J443" s="3114">
        <v>88.06</v>
      </c>
      <c r="K443" s="3118" t="s">
        <v>3463</v>
      </c>
    </row>
    <row r="444" spans="1:11">
      <c r="A444" s="3113">
        <v>441</v>
      </c>
      <c r="B444" s="3115" t="s">
        <v>4219</v>
      </c>
      <c r="C444" s="3114">
        <v>112.69</v>
      </c>
      <c r="D444" s="3113" t="s">
        <v>2911</v>
      </c>
      <c r="H444" s="3118">
        <v>441</v>
      </c>
      <c r="I444" s="3115" t="s">
        <v>4218</v>
      </c>
      <c r="J444" s="3114">
        <v>88.19</v>
      </c>
      <c r="K444" s="3118" t="s">
        <v>3463</v>
      </c>
    </row>
    <row r="445" spans="1:11">
      <c r="A445" s="3113">
        <v>442</v>
      </c>
      <c r="B445" s="3115" t="s">
        <v>4217</v>
      </c>
      <c r="C445" s="3114">
        <v>112.69</v>
      </c>
      <c r="D445" s="3113" t="s">
        <v>2911</v>
      </c>
      <c r="H445" s="3118">
        <v>442</v>
      </c>
      <c r="I445" s="3115" t="s">
        <v>4216</v>
      </c>
      <c r="J445" s="3114">
        <v>88.19</v>
      </c>
      <c r="K445" s="3118" t="s">
        <v>3463</v>
      </c>
    </row>
    <row r="446" spans="1:11">
      <c r="A446" s="3113">
        <v>443</v>
      </c>
      <c r="B446" s="3115" t="s">
        <v>4215</v>
      </c>
      <c r="C446" s="3114">
        <v>112.69</v>
      </c>
      <c r="D446" s="3113" t="s">
        <v>2911</v>
      </c>
      <c r="H446" s="3118">
        <v>443</v>
      </c>
      <c r="I446" s="3115" t="s">
        <v>4214</v>
      </c>
      <c r="J446" s="3114">
        <v>88.19</v>
      </c>
      <c r="K446" s="3118" t="s">
        <v>3463</v>
      </c>
    </row>
    <row r="447" spans="1:11">
      <c r="A447" s="3113">
        <v>444</v>
      </c>
      <c r="B447" s="3115" t="s">
        <v>4213</v>
      </c>
      <c r="C447" s="3114">
        <v>112.69</v>
      </c>
      <c r="D447" s="3113" t="s">
        <v>2911</v>
      </c>
      <c r="H447" s="3118">
        <v>444</v>
      </c>
      <c r="I447" s="3115" t="s">
        <v>4212</v>
      </c>
      <c r="J447" s="3114">
        <v>88.19</v>
      </c>
      <c r="K447" s="3118" t="s">
        <v>3463</v>
      </c>
    </row>
    <row r="448" spans="1:11">
      <c r="A448" s="3113">
        <v>445</v>
      </c>
      <c r="B448" s="3115" t="s">
        <v>4211</v>
      </c>
      <c r="C448" s="3114">
        <v>112.69</v>
      </c>
      <c r="D448" s="3113" t="s">
        <v>2911</v>
      </c>
      <c r="H448" s="3118">
        <v>445</v>
      </c>
      <c r="I448" s="3115" t="s">
        <v>4210</v>
      </c>
      <c r="J448" s="3114">
        <v>88.19</v>
      </c>
      <c r="K448" s="3118" t="s">
        <v>3463</v>
      </c>
    </row>
    <row r="449" spans="1:11">
      <c r="A449" s="3113">
        <v>446</v>
      </c>
      <c r="B449" s="3115" t="s">
        <v>4209</v>
      </c>
      <c r="C449" s="3114">
        <v>103.26</v>
      </c>
      <c r="D449" s="3113" t="s">
        <v>2911</v>
      </c>
      <c r="H449" s="3118">
        <v>446</v>
      </c>
      <c r="I449" s="3115" t="s">
        <v>4208</v>
      </c>
      <c r="J449" s="3114">
        <v>88.19</v>
      </c>
      <c r="K449" s="3118" t="s">
        <v>3463</v>
      </c>
    </row>
    <row r="450" spans="1:11">
      <c r="A450" s="3113">
        <v>447</v>
      </c>
      <c r="B450" s="3115" t="s">
        <v>4207</v>
      </c>
      <c r="C450" s="3114">
        <v>111.43</v>
      </c>
      <c r="D450" s="3113" t="s">
        <v>2911</v>
      </c>
      <c r="H450" s="3118">
        <v>447</v>
      </c>
      <c r="I450" s="3115" t="s">
        <v>4206</v>
      </c>
      <c r="J450" s="3114">
        <v>88.19</v>
      </c>
      <c r="K450" s="3118" t="s">
        <v>3463</v>
      </c>
    </row>
    <row r="451" spans="1:11">
      <c r="A451" s="3113">
        <v>448</v>
      </c>
      <c r="B451" s="3115" t="s">
        <v>4205</v>
      </c>
      <c r="C451" s="3114">
        <v>111.43</v>
      </c>
      <c r="D451" s="3113" t="s">
        <v>2911</v>
      </c>
      <c r="H451" s="3118">
        <v>448</v>
      </c>
      <c r="I451" s="3115" t="s">
        <v>4204</v>
      </c>
      <c r="J451" s="3114">
        <v>88.19</v>
      </c>
      <c r="K451" s="3118" t="s">
        <v>3463</v>
      </c>
    </row>
    <row r="452" spans="1:11">
      <c r="A452" s="3113">
        <v>449</v>
      </c>
      <c r="B452" s="3115" t="s">
        <v>4203</v>
      </c>
      <c r="C452" s="3114">
        <v>111.43</v>
      </c>
      <c r="D452" s="3113" t="s">
        <v>2911</v>
      </c>
      <c r="H452" s="3118">
        <v>449</v>
      </c>
      <c r="I452" s="3115" t="s">
        <v>4202</v>
      </c>
      <c r="J452" s="3114">
        <v>88.19</v>
      </c>
      <c r="K452" s="3118" t="s">
        <v>3463</v>
      </c>
    </row>
    <row r="453" spans="1:11">
      <c r="A453" s="3113">
        <v>450</v>
      </c>
      <c r="B453" s="3115" t="s">
        <v>4201</v>
      </c>
      <c r="C453" s="3114">
        <v>111.43</v>
      </c>
      <c r="D453" s="3113" t="s">
        <v>2911</v>
      </c>
      <c r="H453" s="3118">
        <v>450</v>
      </c>
      <c r="I453" s="3115" t="s">
        <v>4200</v>
      </c>
      <c r="J453" s="3114">
        <v>88.19</v>
      </c>
      <c r="K453" s="3118" t="s">
        <v>3463</v>
      </c>
    </row>
    <row r="454" spans="1:11">
      <c r="A454" s="3113">
        <v>451</v>
      </c>
      <c r="B454" s="3115" t="s">
        <v>4199</v>
      </c>
      <c r="C454" s="3114">
        <v>111.43</v>
      </c>
      <c r="D454" s="3113" t="s">
        <v>2911</v>
      </c>
      <c r="H454" s="3118">
        <v>451</v>
      </c>
      <c r="I454" s="3115" t="s">
        <v>4198</v>
      </c>
      <c r="J454" s="3114">
        <v>88.19</v>
      </c>
      <c r="K454" s="3118" t="s">
        <v>3463</v>
      </c>
    </row>
    <row r="455" spans="1:11">
      <c r="A455" s="3113">
        <v>452</v>
      </c>
      <c r="B455" s="3115" t="s">
        <v>4197</v>
      </c>
      <c r="C455" s="3114">
        <v>111.43</v>
      </c>
      <c r="D455" s="3113" t="s">
        <v>2911</v>
      </c>
      <c r="H455" s="3118">
        <v>452</v>
      </c>
      <c r="I455" s="3115" t="s">
        <v>4196</v>
      </c>
      <c r="J455" s="3114">
        <v>88.19</v>
      </c>
      <c r="K455" s="3118" t="s">
        <v>3463</v>
      </c>
    </row>
    <row r="456" spans="1:11">
      <c r="A456" s="3113">
        <v>453</v>
      </c>
      <c r="B456" s="3115" t="s">
        <v>4195</v>
      </c>
      <c r="C456" s="3114">
        <v>111.43</v>
      </c>
      <c r="D456" s="3113" t="s">
        <v>2911</v>
      </c>
      <c r="H456" s="3118">
        <v>453</v>
      </c>
      <c r="I456" s="3115" t="s">
        <v>4194</v>
      </c>
      <c r="J456" s="3114">
        <v>88.19</v>
      </c>
      <c r="K456" s="3118" t="s">
        <v>3463</v>
      </c>
    </row>
    <row r="457" spans="1:11">
      <c r="A457" s="3113">
        <v>454</v>
      </c>
      <c r="B457" s="3115" t="s">
        <v>4193</v>
      </c>
      <c r="C457" s="3114">
        <v>111.43</v>
      </c>
      <c r="D457" s="3113" t="s">
        <v>2911</v>
      </c>
      <c r="H457" s="3118">
        <v>454</v>
      </c>
      <c r="I457" s="3115" t="s">
        <v>4192</v>
      </c>
      <c r="J457" s="3114">
        <v>88.19</v>
      </c>
      <c r="K457" s="3118" t="s">
        <v>3463</v>
      </c>
    </row>
    <row r="458" spans="1:11">
      <c r="A458" s="3113">
        <v>455</v>
      </c>
      <c r="B458" s="3115" t="s">
        <v>4191</v>
      </c>
      <c r="C458" s="3114">
        <v>111.43</v>
      </c>
      <c r="D458" s="3113" t="s">
        <v>2911</v>
      </c>
      <c r="H458" s="3118">
        <v>455</v>
      </c>
      <c r="I458" s="3115" t="s">
        <v>4190</v>
      </c>
      <c r="J458" s="3114">
        <v>88.19</v>
      </c>
      <c r="K458" s="3118" t="s">
        <v>3463</v>
      </c>
    </row>
    <row r="459" spans="1:11">
      <c r="A459" s="3113">
        <v>456</v>
      </c>
      <c r="B459" s="3115" t="s">
        <v>4189</v>
      </c>
      <c r="C459" s="3114">
        <v>111.43</v>
      </c>
      <c r="D459" s="3113" t="s">
        <v>2911</v>
      </c>
      <c r="H459" s="3118">
        <v>456</v>
      </c>
      <c r="I459" s="3115" t="s">
        <v>4188</v>
      </c>
      <c r="J459" s="3114">
        <v>88.19</v>
      </c>
      <c r="K459" s="3118" t="s">
        <v>3463</v>
      </c>
    </row>
    <row r="460" spans="1:11">
      <c r="A460" s="3113">
        <v>457</v>
      </c>
      <c r="B460" s="3115" t="s">
        <v>4187</v>
      </c>
      <c r="C460" s="3114">
        <v>111.43</v>
      </c>
      <c r="D460" s="3113" t="s">
        <v>2911</v>
      </c>
      <c r="H460" s="3118">
        <v>457</v>
      </c>
      <c r="I460" s="3115" t="s">
        <v>4186</v>
      </c>
      <c r="J460" s="3114">
        <v>88.19</v>
      </c>
      <c r="K460" s="3118" t="s">
        <v>3463</v>
      </c>
    </row>
    <row r="461" spans="1:11">
      <c r="A461" s="3113">
        <v>458</v>
      </c>
      <c r="B461" s="3115" t="s">
        <v>4185</v>
      </c>
      <c r="C461" s="3114">
        <v>111.43</v>
      </c>
      <c r="D461" s="3113" t="s">
        <v>2911</v>
      </c>
      <c r="H461" s="3118">
        <v>458</v>
      </c>
      <c r="I461" s="3115" t="s">
        <v>4184</v>
      </c>
      <c r="J461" s="3114">
        <v>88.19</v>
      </c>
      <c r="K461" s="3118" t="s">
        <v>3463</v>
      </c>
    </row>
    <row r="462" spans="1:11">
      <c r="A462" s="3113">
        <v>459</v>
      </c>
      <c r="B462" s="3115" t="s">
        <v>4183</v>
      </c>
      <c r="C462" s="3114">
        <v>111.43</v>
      </c>
      <c r="D462" s="3113" t="s">
        <v>2911</v>
      </c>
      <c r="H462" s="3118">
        <v>459</v>
      </c>
      <c r="I462" s="3115" t="s">
        <v>4182</v>
      </c>
      <c r="J462" s="3114">
        <v>88.19</v>
      </c>
      <c r="K462" s="3118" t="s">
        <v>3463</v>
      </c>
    </row>
    <row r="463" spans="1:11">
      <c r="A463" s="3113">
        <v>460</v>
      </c>
      <c r="B463" s="3115" t="s">
        <v>4181</v>
      </c>
      <c r="C463" s="3114">
        <v>111.43</v>
      </c>
      <c r="D463" s="3113" t="s">
        <v>2911</v>
      </c>
      <c r="H463" s="3118">
        <v>460</v>
      </c>
      <c r="I463" s="3115" t="s">
        <v>4180</v>
      </c>
      <c r="J463" s="3114">
        <v>88.19</v>
      </c>
      <c r="K463" s="3118" t="s">
        <v>3463</v>
      </c>
    </row>
    <row r="464" spans="1:11">
      <c r="A464" s="3113">
        <v>461</v>
      </c>
      <c r="B464" s="3115" t="s">
        <v>4179</v>
      </c>
      <c r="C464" s="3114">
        <v>111.43</v>
      </c>
      <c r="D464" s="3113" t="s">
        <v>2911</v>
      </c>
      <c r="H464" s="3118">
        <v>461</v>
      </c>
      <c r="I464" s="3115" t="s">
        <v>4178</v>
      </c>
      <c r="J464" s="3114">
        <v>88.19</v>
      </c>
      <c r="K464" s="3118" t="s">
        <v>3463</v>
      </c>
    </row>
    <row r="465" spans="1:11">
      <c r="A465" s="3113">
        <v>462</v>
      </c>
      <c r="B465" s="3115" t="s">
        <v>4177</v>
      </c>
      <c r="C465" s="3114">
        <v>111.43</v>
      </c>
      <c r="D465" s="3113" t="s">
        <v>2911</v>
      </c>
      <c r="H465" s="3118">
        <v>462</v>
      </c>
      <c r="I465" s="3115" t="s">
        <v>4176</v>
      </c>
      <c r="J465" s="3114">
        <v>88.19</v>
      </c>
      <c r="K465" s="3118" t="s">
        <v>3463</v>
      </c>
    </row>
    <row r="466" spans="1:11">
      <c r="A466" s="3113">
        <v>463</v>
      </c>
      <c r="B466" s="3115" t="s">
        <v>4175</v>
      </c>
      <c r="C466" s="3114">
        <v>111.43</v>
      </c>
      <c r="D466" s="3113" t="s">
        <v>2911</v>
      </c>
      <c r="H466" s="3118">
        <v>463</v>
      </c>
      <c r="I466" s="3115" t="s">
        <v>4174</v>
      </c>
      <c r="J466" s="3114">
        <v>88.19</v>
      </c>
      <c r="K466" s="3118" t="s">
        <v>3463</v>
      </c>
    </row>
    <row r="467" spans="1:11">
      <c r="A467" s="3113">
        <v>464</v>
      </c>
      <c r="B467" s="3115" t="s">
        <v>4173</v>
      </c>
      <c r="C467" s="3114">
        <v>111.43</v>
      </c>
      <c r="D467" s="3113" t="s">
        <v>2911</v>
      </c>
      <c r="H467" s="3118">
        <v>464</v>
      </c>
      <c r="I467" s="3115" t="s">
        <v>4172</v>
      </c>
      <c r="J467" s="3114">
        <v>88.19</v>
      </c>
      <c r="K467" s="3118" t="s">
        <v>3463</v>
      </c>
    </row>
    <row r="468" spans="1:11">
      <c r="A468" s="3113">
        <v>465</v>
      </c>
      <c r="B468" s="3115" t="s">
        <v>4171</v>
      </c>
      <c r="C468" s="3114">
        <v>111.43</v>
      </c>
      <c r="D468" s="3113" t="s">
        <v>2911</v>
      </c>
      <c r="H468" s="3118">
        <v>465</v>
      </c>
      <c r="I468" s="3115" t="s">
        <v>4170</v>
      </c>
      <c r="J468" s="3114">
        <v>88.19</v>
      </c>
      <c r="K468" s="3118" t="s">
        <v>3463</v>
      </c>
    </row>
    <row r="469" spans="1:11">
      <c r="A469" s="3113">
        <v>466</v>
      </c>
      <c r="B469" s="3115" t="s">
        <v>4169</v>
      </c>
      <c r="C469" s="3114">
        <v>111.43</v>
      </c>
      <c r="D469" s="3113" t="s">
        <v>2911</v>
      </c>
      <c r="H469" s="3118">
        <v>466</v>
      </c>
      <c r="I469" s="3115" t="s">
        <v>4168</v>
      </c>
      <c r="J469" s="3114">
        <v>88.19</v>
      </c>
      <c r="K469" s="3118" t="s">
        <v>3463</v>
      </c>
    </row>
    <row r="470" spans="1:11">
      <c r="A470" s="3113">
        <v>467</v>
      </c>
      <c r="B470" s="3115" t="s">
        <v>4167</v>
      </c>
      <c r="C470" s="3114">
        <v>111.43</v>
      </c>
      <c r="D470" s="3113" t="s">
        <v>2911</v>
      </c>
      <c r="H470" s="3118">
        <v>467</v>
      </c>
      <c r="I470" s="3115" t="s">
        <v>4166</v>
      </c>
      <c r="J470" s="3114">
        <v>88.19</v>
      </c>
      <c r="K470" s="3118" t="s">
        <v>3463</v>
      </c>
    </row>
    <row r="471" spans="1:11">
      <c r="A471" s="3113">
        <v>468</v>
      </c>
      <c r="B471" s="3115" t="s">
        <v>4165</v>
      </c>
      <c r="C471" s="3114">
        <v>111.43</v>
      </c>
      <c r="D471" s="3113" t="s">
        <v>2911</v>
      </c>
      <c r="H471" s="3118">
        <v>468</v>
      </c>
      <c r="I471" s="3115" t="s">
        <v>4164</v>
      </c>
      <c r="J471" s="3114">
        <v>88.19</v>
      </c>
      <c r="K471" s="3118" t="s">
        <v>3463</v>
      </c>
    </row>
    <row r="472" spans="1:11">
      <c r="A472" s="3113">
        <v>469</v>
      </c>
      <c r="B472" s="3115" t="s">
        <v>4163</v>
      </c>
      <c r="C472" s="3114">
        <v>111.43</v>
      </c>
      <c r="D472" s="3113" t="s">
        <v>2911</v>
      </c>
      <c r="H472" s="3118">
        <v>469</v>
      </c>
      <c r="I472" s="3115" t="s">
        <v>4162</v>
      </c>
      <c r="J472" s="3114">
        <v>88.19</v>
      </c>
      <c r="K472" s="3118" t="s">
        <v>3463</v>
      </c>
    </row>
    <row r="473" spans="1:11">
      <c r="A473" s="3113">
        <v>470</v>
      </c>
      <c r="B473" s="3115" t="s">
        <v>4161</v>
      </c>
      <c r="C473" s="3114">
        <v>111.43</v>
      </c>
      <c r="D473" s="3113" t="s">
        <v>2911</v>
      </c>
      <c r="H473" s="3118">
        <v>470</v>
      </c>
      <c r="I473" s="3115" t="s">
        <v>4160</v>
      </c>
      <c r="J473" s="3114">
        <v>136.66999999999999</v>
      </c>
      <c r="K473" s="3118" t="s">
        <v>3463</v>
      </c>
    </row>
    <row r="474" spans="1:11">
      <c r="A474" s="3113">
        <v>471</v>
      </c>
      <c r="B474" s="3115" t="s">
        <v>4159</v>
      </c>
      <c r="C474" s="3114">
        <v>111.43</v>
      </c>
      <c r="D474" s="3113" t="s">
        <v>2911</v>
      </c>
      <c r="H474" s="3118">
        <v>471</v>
      </c>
      <c r="I474" s="3115" t="s">
        <v>4158</v>
      </c>
      <c r="J474" s="3114">
        <v>136.66999999999999</v>
      </c>
      <c r="K474" s="3118" t="s">
        <v>3463</v>
      </c>
    </row>
    <row r="475" spans="1:11">
      <c r="A475" s="3113">
        <v>472</v>
      </c>
      <c r="B475" s="3115" t="s">
        <v>4157</v>
      </c>
      <c r="C475" s="3114">
        <v>111.43</v>
      </c>
      <c r="D475" s="3113" t="s">
        <v>2911</v>
      </c>
      <c r="H475" s="3118">
        <v>472</v>
      </c>
      <c r="I475" s="3115" t="s">
        <v>4156</v>
      </c>
      <c r="J475" s="3114">
        <v>136.66999999999999</v>
      </c>
      <c r="K475" s="3118" t="s">
        <v>3463</v>
      </c>
    </row>
    <row r="476" spans="1:11">
      <c r="A476" s="3113">
        <v>473</v>
      </c>
      <c r="B476" s="3115" t="s">
        <v>4155</v>
      </c>
      <c r="C476" s="3114">
        <v>97.27</v>
      </c>
      <c r="D476" s="3113" t="s">
        <v>2911</v>
      </c>
      <c r="H476" s="3118">
        <v>473</v>
      </c>
      <c r="I476" s="3115" t="s">
        <v>4154</v>
      </c>
      <c r="J476" s="3114">
        <v>136.66999999999999</v>
      </c>
      <c r="K476" s="3118" t="s">
        <v>3463</v>
      </c>
    </row>
    <row r="477" spans="1:11">
      <c r="A477" s="3113">
        <v>474</v>
      </c>
      <c r="B477" s="3115" t="s">
        <v>4153</v>
      </c>
      <c r="C477" s="3114">
        <v>88.42</v>
      </c>
      <c r="D477" s="3113" t="s">
        <v>2911</v>
      </c>
      <c r="H477" s="3118">
        <v>474</v>
      </c>
      <c r="I477" s="3115" t="s">
        <v>4152</v>
      </c>
      <c r="J477" s="3114">
        <v>136.66999999999999</v>
      </c>
      <c r="K477" s="3118" t="s">
        <v>3463</v>
      </c>
    </row>
    <row r="478" spans="1:11">
      <c r="A478" s="3113">
        <v>475</v>
      </c>
      <c r="B478" s="3115" t="s">
        <v>4151</v>
      </c>
      <c r="C478" s="3114">
        <v>88.42</v>
      </c>
      <c r="D478" s="3113" t="s">
        <v>2911</v>
      </c>
      <c r="H478" s="3118">
        <v>475</v>
      </c>
      <c r="I478" s="3115" t="s">
        <v>4150</v>
      </c>
      <c r="J478" s="3114">
        <v>136.66999999999999</v>
      </c>
      <c r="K478" s="3118" t="s">
        <v>3463</v>
      </c>
    </row>
    <row r="479" spans="1:11">
      <c r="A479" s="3113">
        <v>476</v>
      </c>
      <c r="B479" s="3115" t="s">
        <v>4149</v>
      </c>
      <c r="C479" s="3114">
        <v>88.42</v>
      </c>
      <c r="D479" s="3113" t="s">
        <v>2911</v>
      </c>
      <c r="H479" s="3118">
        <v>476</v>
      </c>
      <c r="I479" s="3115" t="s">
        <v>4148</v>
      </c>
      <c r="J479" s="3114">
        <v>136.66999999999999</v>
      </c>
      <c r="K479" s="3118" t="s">
        <v>3463</v>
      </c>
    </row>
    <row r="480" spans="1:11">
      <c r="A480" s="3113">
        <v>477</v>
      </c>
      <c r="B480" s="3115" t="s">
        <v>4147</v>
      </c>
      <c r="C480" s="3114">
        <v>88.42</v>
      </c>
      <c r="D480" s="3113" t="s">
        <v>2911</v>
      </c>
      <c r="H480" s="3118">
        <v>477</v>
      </c>
      <c r="I480" s="3115" t="s">
        <v>4146</v>
      </c>
      <c r="J480" s="3114">
        <v>136.66999999999999</v>
      </c>
      <c r="K480" s="3118" t="s">
        <v>3463</v>
      </c>
    </row>
    <row r="481" spans="1:11">
      <c r="A481" s="3113">
        <v>478</v>
      </c>
      <c r="B481" s="3115" t="s">
        <v>4145</v>
      </c>
      <c r="C481" s="3114">
        <v>88.42</v>
      </c>
      <c r="D481" s="3113" t="s">
        <v>2911</v>
      </c>
      <c r="H481" s="3118">
        <v>478</v>
      </c>
      <c r="I481" s="3115" t="s">
        <v>4144</v>
      </c>
      <c r="J481" s="3114">
        <v>136.66999999999999</v>
      </c>
      <c r="K481" s="3118" t="s">
        <v>3463</v>
      </c>
    </row>
    <row r="482" spans="1:11">
      <c r="A482" s="3113">
        <v>479</v>
      </c>
      <c r="B482" s="3115" t="s">
        <v>4143</v>
      </c>
      <c r="C482" s="3114">
        <v>88.42</v>
      </c>
      <c r="D482" s="3113" t="s">
        <v>2911</v>
      </c>
      <c r="H482" s="3118">
        <v>479</v>
      </c>
      <c r="I482" s="3115" t="s">
        <v>4142</v>
      </c>
      <c r="J482" s="3114">
        <v>136.66999999999999</v>
      </c>
      <c r="K482" s="3118" t="s">
        <v>3463</v>
      </c>
    </row>
    <row r="483" spans="1:11">
      <c r="A483" s="3113">
        <v>480</v>
      </c>
      <c r="B483" s="3115" t="s">
        <v>4141</v>
      </c>
      <c r="C483" s="3114">
        <v>88.42</v>
      </c>
      <c r="D483" s="3113" t="s">
        <v>2911</v>
      </c>
      <c r="H483" s="3118">
        <v>480</v>
      </c>
      <c r="I483" s="3115" t="s">
        <v>4140</v>
      </c>
      <c r="J483" s="3114">
        <v>136.66999999999999</v>
      </c>
      <c r="K483" s="3118" t="s">
        <v>3463</v>
      </c>
    </row>
    <row r="484" spans="1:11">
      <c r="A484" s="3113">
        <v>481</v>
      </c>
      <c r="B484" s="3115" t="s">
        <v>4139</v>
      </c>
      <c r="C484" s="3114">
        <v>88.42</v>
      </c>
      <c r="D484" s="3113" t="s">
        <v>2911</v>
      </c>
      <c r="H484" s="3118">
        <v>481</v>
      </c>
      <c r="I484" s="3115" t="s">
        <v>4138</v>
      </c>
      <c r="J484" s="3114">
        <v>136.66999999999999</v>
      </c>
      <c r="K484" s="3118" t="s">
        <v>3463</v>
      </c>
    </row>
    <row r="485" spans="1:11">
      <c r="A485" s="3113">
        <v>482</v>
      </c>
      <c r="B485" s="3115" t="s">
        <v>4137</v>
      </c>
      <c r="C485" s="3114">
        <v>88.42</v>
      </c>
      <c r="D485" s="3113" t="s">
        <v>2911</v>
      </c>
      <c r="H485" s="3118">
        <v>482</v>
      </c>
      <c r="I485" s="3115" t="s">
        <v>4136</v>
      </c>
      <c r="J485" s="3114">
        <v>136.66999999999999</v>
      </c>
      <c r="K485" s="3118" t="s">
        <v>3463</v>
      </c>
    </row>
    <row r="486" spans="1:11">
      <c r="A486" s="3113">
        <v>483</v>
      </c>
      <c r="B486" s="3115" t="s">
        <v>4135</v>
      </c>
      <c r="C486" s="3114">
        <v>88.42</v>
      </c>
      <c r="D486" s="3113" t="s">
        <v>2911</v>
      </c>
      <c r="H486" s="3118">
        <v>483</v>
      </c>
      <c r="I486" s="3115" t="s">
        <v>4134</v>
      </c>
      <c r="J486" s="3114">
        <v>136.66999999999999</v>
      </c>
      <c r="K486" s="3118" t="s">
        <v>3463</v>
      </c>
    </row>
    <row r="487" spans="1:11">
      <c r="A487" s="3113">
        <v>484</v>
      </c>
      <c r="B487" s="3115" t="s">
        <v>4133</v>
      </c>
      <c r="C487" s="3114">
        <v>88.42</v>
      </c>
      <c r="D487" s="3113" t="s">
        <v>2911</v>
      </c>
      <c r="H487" s="3118">
        <v>484</v>
      </c>
      <c r="I487" s="3115" t="s">
        <v>4132</v>
      </c>
      <c r="J487" s="3114">
        <v>68.760000000000005</v>
      </c>
      <c r="K487" s="3118" t="s">
        <v>3463</v>
      </c>
    </row>
    <row r="488" spans="1:11">
      <c r="A488" s="3113">
        <v>485</v>
      </c>
      <c r="B488" s="3115" t="s">
        <v>4131</v>
      </c>
      <c r="C488" s="3114">
        <v>88.42</v>
      </c>
      <c r="D488" s="3113" t="s">
        <v>2911</v>
      </c>
      <c r="H488" s="3118">
        <v>485</v>
      </c>
      <c r="I488" s="3115" t="s">
        <v>4130</v>
      </c>
      <c r="J488" s="3114">
        <v>136.66999999999999</v>
      </c>
      <c r="K488" s="3118" t="s">
        <v>3463</v>
      </c>
    </row>
    <row r="489" spans="1:11">
      <c r="A489" s="3113">
        <v>486</v>
      </c>
      <c r="B489" s="3115" t="s">
        <v>4129</v>
      </c>
      <c r="C489" s="3114">
        <v>88.42</v>
      </c>
      <c r="D489" s="3113" t="s">
        <v>2911</v>
      </c>
      <c r="H489" s="3118">
        <v>486</v>
      </c>
      <c r="I489" s="3115" t="s">
        <v>4128</v>
      </c>
      <c r="J489" s="3114">
        <v>136.66999999999999</v>
      </c>
      <c r="K489" s="3118" t="s">
        <v>3463</v>
      </c>
    </row>
    <row r="490" spans="1:11">
      <c r="A490" s="3113">
        <v>487</v>
      </c>
      <c r="B490" s="3115" t="s">
        <v>4127</v>
      </c>
      <c r="C490" s="3114">
        <v>88.42</v>
      </c>
      <c r="D490" s="3113" t="s">
        <v>2911</v>
      </c>
      <c r="H490" s="3118">
        <v>487</v>
      </c>
      <c r="I490" s="3115" t="s">
        <v>4126</v>
      </c>
      <c r="J490" s="3114">
        <v>136.66999999999999</v>
      </c>
      <c r="K490" s="3118" t="s">
        <v>3463</v>
      </c>
    </row>
    <row r="491" spans="1:11">
      <c r="A491" s="3113">
        <v>488</v>
      </c>
      <c r="B491" s="3115" t="s">
        <v>4125</v>
      </c>
      <c r="C491" s="3114">
        <v>88.42</v>
      </c>
      <c r="D491" s="3113" t="s">
        <v>2911</v>
      </c>
      <c r="H491" s="3118">
        <v>488</v>
      </c>
      <c r="I491" s="3115" t="s">
        <v>4124</v>
      </c>
      <c r="J491" s="3114">
        <v>136.66999999999999</v>
      </c>
      <c r="K491" s="3118" t="s">
        <v>3463</v>
      </c>
    </row>
    <row r="492" spans="1:11">
      <c r="A492" s="3113">
        <v>489</v>
      </c>
      <c r="B492" s="3115" t="s">
        <v>4123</v>
      </c>
      <c r="C492" s="3114">
        <v>88.42</v>
      </c>
      <c r="D492" s="3113" t="s">
        <v>2911</v>
      </c>
      <c r="H492" s="3118">
        <v>489</v>
      </c>
      <c r="I492" s="3115" t="s">
        <v>4122</v>
      </c>
      <c r="J492" s="3114">
        <v>136.66999999999999</v>
      </c>
      <c r="K492" s="3118" t="s">
        <v>3463</v>
      </c>
    </row>
    <row r="493" spans="1:11">
      <c r="A493" s="3113">
        <v>490</v>
      </c>
      <c r="B493" s="3115" t="s">
        <v>4121</v>
      </c>
      <c r="C493" s="3114">
        <v>88.42</v>
      </c>
      <c r="D493" s="3113" t="s">
        <v>2911</v>
      </c>
      <c r="H493" s="3118">
        <v>490</v>
      </c>
      <c r="I493" s="3115" t="s">
        <v>4120</v>
      </c>
      <c r="J493" s="3114">
        <v>136.66999999999999</v>
      </c>
      <c r="K493" s="3118" t="s">
        <v>3463</v>
      </c>
    </row>
    <row r="494" spans="1:11">
      <c r="A494" s="3113">
        <v>491</v>
      </c>
      <c r="B494" s="3115" t="s">
        <v>4119</v>
      </c>
      <c r="C494" s="3114">
        <v>88.42</v>
      </c>
      <c r="D494" s="3113" t="s">
        <v>2911</v>
      </c>
      <c r="H494" s="3118">
        <v>491</v>
      </c>
      <c r="I494" s="3115" t="s">
        <v>4118</v>
      </c>
      <c r="J494" s="3114">
        <v>136.66999999999999</v>
      </c>
      <c r="K494" s="3118" t="s">
        <v>3463</v>
      </c>
    </row>
    <row r="495" spans="1:11">
      <c r="A495" s="3113">
        <v>492</v>
      </c>
      <c r="B495" s="3115" t="s">
        <v>4117</v>
      </c>
      <c r="C495" s="3114">
        <v>88.42</v>
      </c>
      <c r="D495" s="3113" t="s">
        <v>2911</v>
      </c>
      <c r="H495" s="3118">
        <v>492</v>
      </c>
      <c r="I495" s="3115" t="s">
        <v>4116</v>
      </c>
      <c r="J495" s="3114">
        <v>136.66999999999999</v>
      </c>
      <c r="K495" s="3118" t="s">
        <v>3463</v>
      </c>
    </row>
    <row r="496" spans="1:11">
      <c r="A496" s="3113">
        <v>493</v>
      </c>
      <c r="B496" s="3115" t="s">
        <v>4115</v>
      </c>
      <c r="C496" s="3114">
        <v>88.42</v>
      </c>
      <c r="D496" s="3113" t="s">
        <v>2911</v>
      </c>
      <c r="H496" s="3118">
        <v>493</v>
      </c>
      <c r="I496" s="3115" t="s">
        <v>4114</v>
      </c>
      <c r="J496" s="3114">
        <v>136.66999999999999</v>
      </c>
      <c r="K496" s="3118" t="s">
        <v>3463</v>
      </c>
    </row>
    <row r="497" spans="1:11">
      <c r="A497" s="3113">
        <v>494</v>
      </c>
      <c r="B497" s="3115" t="s">
        <v>4113</v>
      </c>
      <c r="C497" s="3114">
        <v>88.42</v>
      </c>
      <c r="D497" s="3113" t="s">
        <v>2911</v>
      </c>
      <c r="H497" s="3118">
        <v>494</v>
      </c>
      <c r="I497" s="3115" t="s">
        <v>4112</v>
      </c>
      <c r="J497" s="3114">
        <v>136.66999999999999</v>
      </c>
      <c r="K497" s="3118" t="s">
        <v>3463</v>
      </c>
    </row>
    <row r="498" spans="1:11">
      <c r="A498" s="3113">
        <v>495</v>
      </c>
      <c r="B498" s="3115" t="s">
        <v>4111</v>
      </c>
      <c r="C498" s="3114">
        <v>88.42</v>
      </c>
      <c r="D498" s="3113" t="s">
        <v>2911</v>
      </c>
      <c r="H498" s="3118">
        <v>495</v>
      </c>
      <c r="I498" s="3115" t="s">
        <v>4110</v>
      </c>
      <c r="J498" s="3114">
        <v>136.66999999999999</v>
      </c>
      <c r="K498" s="3118" t="s">
        <v>3463</v>
      </c>
    </row>
    <row r="499" spans="1:11">
      <c r="A499" s="3113">
        <v>496</v>
      </c>
      <c r="B499" s="3115" t="s">
        <v>4109</v>
      </c>
      <c r="C499" s="3114">
        <v>88.42</v>
      </c>
      <c r="D499" s="3113" t="s">
        <v>2911</v>
      </c>
      <c r="H499" s="3118">
        <v>496</v>
      </c>
      <c r="I499" s="3115" t="s">
        <v>4108</v>
      </c>
      <c r="J499" s="3114">
        <v>136.66999999999999</v>
      </c>
      <c r="K499" s="3118" t="s">
        <v>3463</v>
      </c>
    </row>
    <row r="500" spans="1:11">
      <c r="A500" s="3113">
        <v>497</v>
      </c>
      <c r="B500" s="3115" t="s">
        <v>4107</v>
      </c>
      <c r="C500" s="3114">
        <v>88.42</v>
      </c>
      <c r="D500" s="3113" t="s">
        <v>2911</v>
      </c>
      <c r="H500" s="3118">
        <v>497</v>
      </c>
      <c r="I500" s="3115" t="s">
        <v>4106</v>
      </c>
      <c r="J500" s="3114">
        <v>136.66999999999999</v>
      </c>
      <c r="K500" s="3118" t="s">
        <v>3463</v>
      </c>
    </row>
    <row r="501" spans="1:11">
      <c r="A501" s="3113">
        <v>498</v>
      </c>
      <c r="B501" s="3115" t="s">
        <v>4105</v>
      </c>
      <c r="C501" s="3114">
        <v>88.42</v>
      </c>
      <c r="D501" s="3113" t="s">
        <v>2911</v>
      </c>
      <c r="H501" s="3118">
        <v>498</v>
      </c>
      <c r="I501" s="3115" t="s">
        <v>4104</v>
      </c>
      <c r="J501" s="3114">
        <v>136.66999999999999</v>
      </c>
      <c r="K501" s="3118" t="s">
        <v>3463</v>
      </c>
    </row>
    <row r="502" spans="1:11">
      <c r="A502" s="3113">
        <v>499</v>
      </c>
      <c r="B502" s="3115" t="s">
        <v>4103</v>
      </c>
      <c r="C502" s="3114">
        <v>88.42</v>
      </c>
      <c r="D502" s="3113" t="s">
        <v>2911</v>
      </c>
      <c r="H502" s="3118">
        <v>499</v>
      </c>
      <c r="I502" s="3115" t="s">
        <v>4102</v>
      </c>
      <c r="J502" s="3114">
        <v>68.760000000000005</v>
      </c>
      <c r="K502" s="3118" t="s">
        <v>3463</v>
      </c>
    </row>
    <row r="503" spans="1:11">
      <c r="A503" s="3113">
        <v>500</v>
      </c>
      <c r="B503" s="3115" t="s">
        <v>4101</v>
      </c>
      <c r="C503" s="3114">
        <v>86.92</v>
      </c>
      <c r="D503" s="3113" t="s">
        <v>2911</v>
      </c>
      <c r="H503" s="3118">
        <v>500</v>
      </c>
      <c r="I503" s="3115" t="s">
        <v>4100</v>
      </c>
      <c r="J503" s="3114">
        <v>88.16</v>
      </c>
      <c r="K503" s="3118" t="s">
        <v>3463</v>
      </c>
    </row>
    <row r="504" spans="1:11">
      <c r="A504" s="3113">
        <v>501</v>
      </c>
      <c r="B504" s="3115" t="s">
        <v>4099</v>
      </c>
      <c r="C504" s="3114">
        <v>109.77</v>
      </c>
      <c r="D504" s="3113" t="s">
        <v>2911</v>
      </c>
      <c r="H504" s="3118">
        <v>501</v>
      </c>
      <c r="I504" s="3115" t="s">
        <v>4098</v>
      </c>
      <c r="J504" s="3114">
        <v>88.16</v>
      </c>
      <c r="K504" s="3118" t="s">
        <v>3463</v>
      </c>
    </row>
    <row r="505" spans="1:11">
      <c r="A505" s="3113">
        <v>502</v>
      </c>
      <c r="B505" s="3115" t="s">
        <v>4097</v>
      </c>
      <c r="C505" s="3114">
        <v>109.77</v>
      </c>
      <c r="D505" s="3113" t="s">
        <v>2911</v>
      </c>
      <c r="H505" s="3118">
        <v>502</v>
      </c>
      <c r="I505" s="3115" t="s">
        <v>4096</v>
      </c>
      <c r="J505" s="3114">
        <v>88.16</v>
      </c>
      <c r="K505" s="3118" t="s">
        <v>3463</v>
      </c>
    </row>
    <row r="506" spans="1:11">
      <c r="A506" s="3113">
        <v>503</v>
      </c>
      <c r="B506" s="3115" t="s">
        <v>4095</v>
      </c>
      <c r="C506" s="3114">
        <v>109.77</v>
      </c>
      <c r="D506" s="3113" t="s">
        <v>2911</v>
      </c>
      <c r="H506" s="3118">
        <v>503</v>
      </c>
      <c r="I506" s="3115" t="s">
        <v>4094</v>
      </c>
      <c r="J506" s="3114">
        <v>88.16</v>
      </c>
      <c r="K506" s="3118" t="s">
        <v>3463</v>
      </c>
    </row>
    <row r="507" spans="1:11">
      <c r="A507" s="3113">
        <v>504</v>
      </c>
      <c r="B507" s="3115" t="s">
        <v>4093</v>
      </c>
      <c r="C507" s="3114">
        <v>109.77</v>
      </c>
      <c r="D507" s="3113" t="s">
        <v>2911</v>
      </c>
      <c r="H507" s="3118">
        <v>504</v>
      </c>
      <c r="I507" s="3115" t="s">
        <v>4092</v>
      </c>
      <c r="J507" s="3114">
        <v>88.16</v>
      </c>
      <c r="K507" s="3118" t="s">
        <v>3463</v>
      </c>
    </row>
    <row r="508" spans="1:11">
      <c r="A508" s="3113">
        <v>505</v>
      </c>
      <c r="B508" s="3115" t="s">
        <v>4091</v>
      </c>
      <c r="C508" s="3114">
        <v>109.77</v>
      </c>
      <c r="D508" s="3113" t="s">
        <v>2911</v>
      </c>
      <c r="H508" s="3118">
        <v>505</v>
      </c>
      <c r="I508" s="3115" t="s">
        <v>4090</v>
      </c>
      <c r="J508" s="3114">
        <v>88.16</v>
      </c>
      <c r="K508" s="3118" t="s">
        <v>3463</v>
      </c>
    </row>
    <row r="509" spans="1:11">
      <c r="A509" s="3113">
        <v>506</v>
      </c>
      <c r="B509" s="3115" t="s">
        <v>4089</v>
      </c>
      <c r="C509" s="3114">
        <v>109.77</v>
      </c>
      <c r="D509" s="3113" t="s">
        <v>2911</v>
      </c>
      <c r="H509" s="3118">
        <v>506</v>
      </c>
      <c r="I509" s="3115" t="s">
        <v>4088</v>
      </c>
      <c r="J509" s="3114">
        <v>88.16</v>
      </c>
      <c r="K509" s="3118" t="s">
        <v>3463</v>
      </c>
    </row>
    <row r="510" spans="1:11">
      <c r="A510" s="3113">
        <v>507</v>
      </c>
      <c r="B510" s="3115" t="s">
        <v>4087</v>
      </c>
      <c r="C510" s="3114">
        <v>109.77</v>
      </c>
      <c r="D510" s="3113" t="s">
        <v>2911</v>
      </c>
      <c r="H510" s="3118">
        <v>507</v>
      </c>
      <c r="I510" s="3115" t="s">
        <v>4086</v>
      </c>
      <c r="J510" s="3114">
        <v>88.16</v>
      </c>
      <c r="K510" s="3118" t="s">
        <v>3463</v>
      </c>
    </row>
    <row r="511" spans="1:11">
      <c r="A511" s="3113">
        <v>508</v>
      </c>
      <c r="B511" s="3115" t="s">
        <v>4085</v>
      </c>
      <c r="C511" s="3114">
        <v>109.77</v>
      </c>
      <c r="D511" s="3113" t="s">
        <v>2911</v>
      </c>
      <c r="H511" s="3118">
        <v>508</v>
      </c>
      <c r="I511" s="3115" t="s">
        <v>4084</v>
      </c>
      <c r="J511" s="3114">
        <v>88.16</v>
      </c>
      <c r="K511" s="3118" t="s">
        <v>3463</v>
      </c>
    </row>
    <row r="512" spans="1:11">
      <c r="A512" s="3113">
        <v>509</v>
      </c>
      <c r="B512" s="3115" t="s">
        <v>4083</v>
      </c>
      <c r="C512" s="3114">
        <v>109.77</v>
      </c>
      <c r="D512" s="3113" t="s">
        <v>2911</v>
      </c>
      <c r="H512" s="3118">
        <v>509</v>
      </c>
      <c r="I512" s="3115" t="s">
        <v>4082</v>
      </c>
      <c r="J512" s="3114">
        <v>88.16</v>
      </c>
      <c r="K512" s="3118" t="s">
        <v>3463</v>
      </c>
    </row>
    <row r="513" spans="1:11">
      <c r="A513" s="3113">
        <v>510</v>
      </c>
      <c r="B513" s="3115" t="s">
        <v>4081</v>
      </c>
      <c r="C513" s="3114">
        <v>109.77</v>
      </c>
      <c r="D513" s="3113" t="s">
        <v>2911</v>
      </c>
      <c r="H513" s="3118">
        <v>510</v>
      </c>
      <c r="I513" s="3115" t="s">
        <v>4080</v>
      </c>
      <c r="J513" s="3114">
        <v>88.16</v>
      </c>
      <c r="K513" s="3118" t="s">
        <v>3463</v>
      </c>
    </row>
    <row r="514" spans="1:11">
      <c r="A514" s="3113">
        <v>511</v>
      </c>
      <c r="B514" s="3115" t="s">
        <v>4079</v>
      </c>
      <c r="C514" s="3114">
        <v>109.77</v>
      </c>
      <c r="D514" s="3113" t="s">
        <v>2911</v>
      </c>
      <c r="H514" s="3118">
        <v>511</v>
      </c>
      <c r="I514" s="3115" t="s">
        <v>4078</v>
      </c>
      <c r="J514" s="3114">
        <v>88.16</v>
      </c>
      <c r="K514" s="3118" t="s">
        <v>3463</v>
      </c>
    </row>
    <row r="515" spans="1:11">
      <c r="A515" s="3113">
        <v>512</v>
      </c>
      <c r="B515" s="3115" t="s">
        <v>4077</v>
      </c>
      <c r="C515" s="3114">
        <v>109.77</v>
      </c>
      <c r="D515" s="3113" t="s">
        <v>2911</v>
      </c>
      <c r="H515" s="3118">
        <v>512</v>
      </c>
      <c r="I515" s="3115" t="s">
        <v>4076</v>
      </c>
      <c r="J515" s="3114">
        <v>88.16</v>
      </c>
      <c r="K515" s="3118" t="s">
        <v>3463</v>
      </c>
    </row>
    <row r="516" spans="1:11">
      <c r="A516" s="3113">
        <v>513</v>
      </c>
      <c r="B516" s="3115" t="s">
        <v>4075</v>
      </c>
      <c r="C516" s="3114">
        <v>109.77</v>
      </c>
      <c r="D516" s="3113" t="s">
        <v>2911</v>
      </c>
      <c r="H516" s="3118">
        <v>513</v>
      </c>
      <c r="I516" s="3115" t="s">
        <v>4074</v>
      </c>
      <c r="J516" s="3114">
        <v>88.16</v>
      </c>
      <c r="K516" s="3118" t="s">
        <v>3463</v>
      </c>
    </row>
    <row r="517" spans="1:11">
      <c r="A517" s="3113">
        <v>514</v>
      </c>
      <c r="B517" s="3115" t="s">
        <v>4073</v>
      </c>
      <c r="C517" s="3114">
        <v>109.77</v>
      </c>
      <c r="D517" s="3113" t="s">
        <v>2911</v>
      </c>
      <c r="H517" s="3118">
        <v>514</v>
      </c>
      <c r="I517" s="3115" t="s">
        <v>4072</v>
      </c>
      <c r="J517" s="3114">
        <v>88.16</v>
      </c>
      <c r="K517" s="3118" t="s">
        <v>3463</v>
      </c>
    </row>
    <row r="518" spans="1:11">
      <c r="A518" s="3113">
        <v>515</v>
      </c>
      <c r="B518" s="3115" t="s">
        <v>4071</v>
      </c>
      <c r="C518" s="3114">
        <v>109.77</v>
      </c>
      <c r="D518" s="3113" t="s">
        <v>2911</v>
      </c>
      <c r="H518" s="3118">
        <v>515</v>
      </c>
      <c r="I518" s="3115" t="s">
        <v>4070</v>
      </c>
      <c r="J518" s="3114">
        <v>88.16</v>
      </c>
      <c r="K518" s="3118" t="s">
        <v>3463</v>
      </c>
    </row>
    <row r="519" spans="1:11">
      <c r="A519" s="3113">
        <v>516</v>
      </c>
      <c r="B519" s="3115" t="s">
        <v>4069</v>
      </c>
      <c r="C519" s="3114">
        <v>109.77</v>
      </c>
      <c r="D519" s="3113" t="s">
        <v>2911</v>
      </c>
      <c r="H519" s="3118">
        <v>516</v>
      </c>
      <c r="I519" s="3115" t="s">
        <v>4068</v>
      </c>
      <c r="J519" s="3114">
        <v>88.16</v>
      </c>
      <c r="K519" s="3118" t="s">
        <v>3463</v>
      </c>
    </row>
    <row r="520" spans="1:11">
      <c r="A520" s="3113">
        <v>517</v>
      </c>
      <c r="B520" s="3115" t="s">
        <v>4067</v>
      </c>
      <c r="C520" s="3114">
        <v>109.77</v>
      </c>
      <c r="D520" s="3113" t="s">
        <v>2911</v>
      </c>
      <c r="H520" s="3118">
        <v>517</v>
      </c>
      <c r="I520" s="3115" t="s">
        <v>4066</v>
      </c>
      <c r="J520" s="3114">
        <v>88.16</v>
      </c>
      <c r="K520" s="3118" t="s">
        <v>3463</v>
      </c>
    </row>
    <row r="521" spans="1:11">
      <c r="A521" s="3113">
        <v>518</v>
      </c>
      <c r="B521" s="3115" t="s">
        <v>4065</v>
      </c>
      <c r="C521" s="3114">
        <v>109.77</v>
      </c>
      <c r="D521" s="3113" t="s">
        <v>2911</v>
      </c>
      <c r="H521" s="3118">
        <v>518</v>
      </c>
      <c r="I521" s="3115" t="s">
        <v>4064</v>
      </c>
      <c r="J521" s="3114">
        <v>88.16</v>
      </c>
      <c r="K521" s="3118" t="s">
        <v>3463</v>
      </c>
    </row>
    <row r="522" spans="1:11">
      <c r="A522" s="3113">
        <v>519</v>
      </c>
      <c r="B522" s="3115" t="s">
        <v>4063</v>
      </c>
      <c r="C522" s="3114">
        <v>109.77</v>
      </c>
      <c r="D522" s="3113" t="s">
        <v>2911</v>
      </c>
      <c r="H522" s="3118">
        <v>519</v>
      </c>
      <c r="I522" s="3115" t="s">
        <v>4062</v>
      </c>
      <c r="J522" s="3114">
        <v>88.16</v>
      </c>
      <c r="K522" s="3118" t="s">
        <v>3463</v>
      </c>
    </row>
    <row r="523" spans="1:11">
      <c r="A523" s="3113">
        <v>520</v>
      </c>
      <c r="B523" s="3115" t="s">
        <v>4061</v>
      </c>
      <c r="C523" s="3114">
        <v>109.77</v>
      </c>
      <c r="D523" s="3113" t="s">
        <v>2911</v>
      </c>
      <c r="H523" s="3118">
        <v>520</v>
      </c>
      <c r="I523" s="3115" t="s">
        <v>4060</v>
      </c>
      <c r="J523" s="3114">
        <v>88.16</v>
      </c>
      <c r="K523" s="3118" t="s">
        <v>3463</v>
      </c>
    </row>
    <row r="524" spans="1:11">
      <c r="A524" s="3113">
        <v>521</v>
      </c>
      <c r="B524" s="3115" t="s">
        <v>4059</v>
      </c>
      <c r="C524" s="3114">
        <v>109.77</v>
      </c>
      <c r="D524" s="3113" t="s">
        <v>2911</v>
      </c>
      <c r="H524" s="3118">
        <v>521</v>
      </c>
      <c r="I524" s="3115" t="s">
        <v>4058</v>
      </c>
      <c r="J524" s="3114">
        <v>88.16</v>
      </c>
      <c r="K524" s="3118" t="s">
        <v>3463</v>
      </c>
    </row>
    <row r="525" spans="1:11">
      <c r="A525" s="3113">
        <v>522</v>
      </c>
      <c r="B525" s="3115" t="s">
        <v>4057</v>
      </c>
      <c r="C525" s="3114">
        <v>109.77</v>
      </c>
      <c r="D525" s="3113" t="s">
        <v>2911</v>
      </c>
      <c r="H525" s="3118">
        <v>522</v>
      </c>
      <c r="I525" s="3115" t="s">
        <v>4056</v>
      </c>
      <c r="J525" s="3114">
        <v>88.16</v>
      </c>
      <c r="K525" s="3118" t="s">
        <v>3463</v>
      </c>
    </row>
    <row r="526" spans="1:11">
      <c r="A526" s="3113">
        <v>523</v>
      </c>
      <c r="B526" s="3115" t="s">
        <v>4055</v>
      </c>
      <c r="C526" s="3114">
        <v>109.77</v>
      </c>
      <c r="D526" s="3113" t="s">
        <v>2911</v>
      </c>
      <c r="H526" s="3118">
        <v>523</v>
      </c>
      <c r="I526" s="3115" t="s">
        <v>4054</v>
      </c>
      <c r="J526" s="3114">
        <v>88.16</v>
      </c>
      <c r="K526" s="3118" t="s">
        <v>3463</v>
      </c>
    </row>
    <row r="527" spans="1:11">
      <c r="A527" s="3113">
        <v>524</v>
      </c>
      <c r="B527" s="3115" t="s">
        <v>4053</v>
      </c>
      <c r="C527" s="3114">
        <v>109.77</v>
      </c>
      <c r="D527" s="3113" t="s">
        <v>2911</v>
      </c>
      <c r="H527" s="3118">
        <v>524</v>
      </c>
      <c r="I527" s="3115" t="s">
        <v>4052</v>
      </c>
      <c r="J527" s="3114">
        <v>88.16</v>
      </c>
      <c r="K527" s="3118" t="s">
        <v>3463</v>
      </c>
    </row>
    <row r="528" spans="1:11">
      <c r="A528" s="3113">
        <v>525</v>
      </c>
      <c r="B528" s="3115" t="s">
        <v>4051</v>
      </c>
      <c r="C528" s="3114">
        <v>109.77</v>
      </c>
      <c r="D528" s="3113" t="s">
        <v>2911</v>
      </c>
      <c r="H528" s="3118">
        <v>525</v>
      </c>
      <c r="I528" s="3115" t="s">
        <v>4050</v>
      </c>
      <c r="J528" s="3114">
        <v>88.16</v>
      </c>
      <c r="K528" s="3118" t="s">
        <v>3463</v>
      </c>
    </row>
    <row r="529" spans="1:11">
      <c r="A529" s="3113">
        <v>526</v>
      </c>
      <c r="B529" s="3115" t="s">
        <v>4049</v>
      </c>
      <c r="C529" s="3114">
        <v>109.77</v>
      </c>
      <c r="D529" s="3113" t="s">
        <v>2911</v>
      </c>
      <c r="H529" s="3118">
        <v>526</v>
      </c>
      <c r="I529" s="3115" t="s">
        <v>4048</v>
      </c>
      <c r="J529" s="3114">
        <v>88.16</v>
      </c>
      <c r="K529" s="3118" t="s">
        <v>3463</v>
      </c>
    </row>
    <row r="530" spans="1:11">
      <c r="A530" s="3113">
        <v>527</v>
      </c>
      <c r="B530" s="3115" t="s">
        <v>4047</v>
      </c>
      <c r="C530" s="3114">
        <v>95.39</v>
      </c>
      <c r="D530" s="3113" t="s">
        <v>2911</v>
      </c>
      <c r="H530" s="3118">
        <v>527</v>
      </c>
      <c r="I530" s="3115" t="s">
        <v>4046</v>
      </c>
      <c r="J530" s="3114">
        <v>88.16</v>
      </c>
      <c r="K530" s="3118" t="s">
        <v>3463</v>
      </c>
    </row>
    <row r="531" spans="1:11">
      <c r="A531" s="3113">
        <v>528</v>
      </c>
      <c r="B531" s="3115" t="s">
        <v>4045</v>
      </c>
      <c r="C531" s="3114">
        <v>109.77</v>
      </c>
      <c r="D531" s="3113" t="s">
        <v>2911</v>
      </c>
      <c r="H531" s="3118">
        <v>528</v>
      </c>
      <c r="I531" s="3115" t="s">
        <v>4044</v>
      </c>
      <c r="J531" s="3114">
        <v>88.16</v>
      </c>
      <c r="K531" s="3118" t="s">
        <v>3463</v>
      </c>
    </row>
    <row r="532" spans="1:11">
      <c r="A532" s="3113">
        <v>529</v>
      </c>
      <c r="B532" s="3115" t="s">
        <v>4043</v>
      </c>
      <c r="C532" s="3114">
        <v>109.77</v>
      </c>
      <c r="D532" s="3113" t="s">
        <v>2911</v>
      </c>
      <c r="H532" s="3118">
        <v>529</v>
      </c>
      <c r="I532" s="3115" t="s">
        <v>4042</v>
      </c>
      <c r="J532" s="3114">
        <v>160.75</v>
      </c>
      <c r="K532" s="3118" t="s">
        <v>3463</v>
      </c>
    </row>
    <row r="533" spans="1:11">
      <c r="A533" s="3113">
        <v>530</v>
      </c>
      <c r="B533" s="3115" t="s">
        <v>4041</v>
      </c>
      <c r="C533" s="3114">
        <v>109.77</v>
      </c>
      <c r="D533" s="3113" t="s">
        <v>2911</v>
      </c>
      <c r="H533" s="3118">
        <v>530</v>
      </c>
      <c r="I533" s="3115" t="s">
        <v>4040</v>
      </c>
      <c r="J533" s="3114">
        <v>160.75</v>
      </c>
      <c r="K533" s="3118" t="s">
        <v>3463</v>
      </c>
    </row>
    <row r="534" spans="1:11">
      <c r="A534" s="3113">
        <v>531</v>
      </c>
      <c r="B534" s="3115" t="s">
        <v>4039</v>
      </c>
      <c r="C534" s="3114">
        <v>109.77</v>
      </c>
      <c r="D534" s="3113" t="s">
        <v>2911</v>
      </c>
      <c r="H534" s="3118">
        <v>531</v>
      </c>
      <c r="I534" s="3115" t="s">
        <v>4038</v>
      </c>
      <c r="J534" s="3114">
        <v>160.75</v>
      </c>
      <c r="K534" s="3118" t="s">
        <v>3463</v>
      </c>
    </row>
    <row r="535" spans="1:11">
      <c r="A535" s="3113">
        <v>532</v>
      </c>
      <c r="B535" s="3115" t="s">
        <v>4037</v>
      </c>
      <c r="C535" s="3114">
        <v>109.77</v>
      </c>
      <c r="D535" s="3113" t="s">
        <v>2911</v>
      </c>
      <c r="H535" s="3118">
        <v>532</v>
      </c>
      <c r="I535" s="3115" t="s">
        <v>4036</v>
      </c>
      <c r="J535" s="3114">
        <v>160.75</v>
      </c>
      <c r="K535" s="3118" t="s">
        <v>3463</v>
      </c>
    </row>
    <row r="536" spans="1:11">
      <c r="A536" s="3113">
        <v>533</v>
      </c>
      <c r="B536" s="3115" t="s">
        <v>4035</v>
      </c>
      <c r="C536" s="3114">
        <v>109.77</v>
      </c>
      <c r="D536" s="3113" t="s">
        <v>2911</v>
      </c>
      <c r="H536" s="3118">
        <v>533</v>
      </c>
      <c r="I536" s="3115" t="s">
        <v>4034</v>
      </c>
      <c r="J536" s="3114">
        <v>160.75</v>
      </c>
      <c r="K536" s="3118" t="s">
        <v>3463</v>
      </c>
    </row>
    <row r="537" spans="1:11">
      <c r="A537" s="3113">
        <v>534</v>
      </c>
      <c r="B537" s="3115" t="s">
        <v>4033</v>
      </c>
      <c r="C537" s="3114">
        <v>109.77</v>
      </c>
      <c r="D537" s="3113" t="s">
        <v>2911</v>
      </c>
      <c r="H537" s="3118">
        <v>534</v>
      </c>
      <c r="I537" s="3115" t="s">
        <v>4032</v>
      </c>
      <c r="J537" s="3114">
        <v>160.75</v>
      </c>
      <c r="K537" s="3118" t="s">
        <v>3463</v>
      </c>
    </row>
    <row r="538" spans="1:11">
      <c r="A538" s="3113">
        <v>535</v>
      </c>
      <c r="B538" s="3115" t="s">
        <v>4031</v>
      </c>
      <c r="C538" s="3114">
        <v>109.77</v>
      </c>
      <c r="D538" s="3113" t="s">
        <v>2911</v>
      </c>
      <c r="H538" s="3118">
        <v>535</v>
      </c>
      <c r="I538" s="3115" t="s">
        <v>4030</v>
      </c>
      <c r="J538" s="3114">
        <v>160.75</v>
      </c>
      <c r="K538" s="3118" t="s">
        <v>3463</v>
      </c>
    </row>
    <row r="539" spans="1:11">
      <c r="A539" s="3113">
        <v>536</v>
      </c>
      <c r="B539" s="3115" t="s">
        <v>4029</v>
      </c>
      <c r="C539" s="3114">
        <v>109.77</v>
      </c>
      <c r="D539" s="3113" t="s">
        <v>2911</v>
      </c>
      <c r="H539" s="3118">
        <v>536</v>
      </c>
      <c r="I539" s="3115" t="s">
        <v>4028</v>
      </c>
      <c r="J539" s="3114">
        <v>160.75</v>
      </c>
      <c r="K539" s="3118" t="s">
        <v>3463</v>
      </c>
    </row>
    <row r="540" spans="1:11">
      <c r="A540" s="3113">
        <v>537</v>
      </c>
      <c r="B540" s="3115" t="s">
        <v>4027</v>
      </c>
      <c r="C540" s="3114">
        <v>109.77</v>
      </c>
      <c r="D540" s="3113" t="s">
        <v>2911</v>
      </c>
      <c r="H540" s="3118">
        <v>537</v>
      </c>
      <c r="I540" s="3115" t="s">
        <v>4026</v>
      </c>
      <c r="J540" s="3114">
        <v>160.75</v>
      </c>
      <c r="K540" s="3118" t="s">
        <v>3463</v>
      </c>
    </row>
    <row r="541" spans="1:11">
      <c r="A541" s="3113">
        <v>538</v>
      </c>
      <c r="B541" s="3115" t="s">
        <v>4025</v>
      </c>
      <c r="C541" s="3114">
        <v>109.77</v>
      </c>
      <c r="D541" s="3113" t="s">
        <v>2911</v>
      </c>
      <c r="H541" s="3118">
        <v>538</v>
      </c>
      <c r="I541" s="3115" t="s">
        <v>4024</v>
      </c>
      <c r="J541" s="3114">
        <v>160.75</v>
      </c>
      <c r="K541" s="3118" t="s">
        <v>3463</v>
      </c>
    </row>
    <row r="542" spans="1:11">
      <c r="A542" s="3113">
        <v>539</v>
      </c>
      <c r="B542" s="3115" t="s">
        <v>4023</v>
      </c>
      <c r="C542" s="3114">
        <v>109.77</v>
      </c>
      <c r="D542" s="3113" t="s">
        <v>2911</v>
      </c>
      <c r="H542" s="3118">
        <v>539</v>
      </c>
      <c r="I542" s="3115" t="s">
        <v>4022</v>
      </c>
      <c r="J542" s="3114">
        <v>160.75</v>
      </c>
      <c r="K542" s="3118" t="s">
        <v>3463</v>
      </c>
    </row>
    <row r="543" spans="1:11">
      <c r="A543" s="3113">
        <v>540</v>
      </c>
      <c r="B543" s="3115" t="s">
        <v>4021</v>
      </c>
      <c r="C543" s="3114">
        <v>109.77</v>
      </c>
      <c r="D543" s="3113" t="s">
        <v>2911</v>
      </c>
      <c r="H543" s="3118">
        <v>540</v>
      </c>
      <c r="I543" s="3115" t="s">
        <v>4020</v>
      </c>
      <c r="J543" s="3114">
        <v>160.75</v>
      </c>
      <c r="K543" s="3118" t="s">
        <v>3463</v>
      </c>
    </row>
    <row r="544" spans="1:11">
      <c r="A544" s="3113">
        <v>541</v>
      </c>
      <c r="B544" s="3115" t="s">
        <v>4019</v>
      </c>
      <c r="C544" s="3114">
        <v>109.77</v>
      </c>
      <c r="D544" s="3113" t="s">
        <v>2911</v>
      </c>
      <c r="H544" s="3118">
        <v>541</v>
      </c>
      <c r="I544" s="3115" t="s">
        <v>4018</v>
      </c>
      <c r="J544" s="3114">
        <v>160.75</v>
      </c>
      <c r="K544" s="3118" t="s">
        <v>3463</v>
      </c>
    </row>
    <row r="545" spans="1:11">
      <c r="A545" s="3113">
        <v>542</v>
      </c>
      <c r="B545" s="3115" t="s">
        <v>4017</v>
      </c>
      <c r="C545" s="3114">
        <v>95.39</v>
      </c>
      <c r="D545" s="3113" t="s">
        <v>2911</v>
      </c>
      <c r="H545" s="3118">
        <v>542</v>
      </c>
      <c r="I545" s="3115" t="s">
        <v>4016</v>
      </c>
      <c r="J545" s="3114">
        <v>160.75</v>
      </c>
      <c r="K545" s="3118" t="s">
        <v>3463</v>
      </c>
    </row>
    <row r="546" spans="1:11">
      <c r="A546" s="3113">
        <v>543</v>
      </c>
      <c r="B546" s="3115" t="s">
        <v>4015</v>
      </c>
      <c r="C546" s="3114">
        <v>88.42</v>
      </c>
      <c r="D546" s="3113" t="s">
        <v>2911</v>
      </c>
      <c r="H546" s="3118">
        <v>543</v>
      </c>
      <c r="I546" s="3115" t="s">
        <v>4014</v>
      </c>
      <c r="J546" s="3114">
        <v>160.75</v>
      </c>
      <c r="K546" s="3118" t="s">
        <v>3463</v>
      </c>
    </row>
    <row r="547" spans="1:11">
      <c r="A547" s="3113">
        <v>544</v>
      </c>
      <c r="B547" s="3115" t="s">
        <v>4013</v>
      </c>
      <c r="C547" s="3114">
        <v>88.42</v>
      </c>
      <c r="D547" s="3113" t="s">
        <v>2911</v>
      </c>
      <c r="H547" s="3118">
        <v>544</v>
      </c>
      <c r="I547" s="3115" t="s">
        <v>4012</v>
      </c>
      <c r="J547" s="3114">
        <v>160.75</v>
      </c>
      <c r="K547" s="3118" t="s">
        <v>3463</v>
      </c>
    </row>
    <row r="548" spans="1:11">
      <c r="A548" s="3113">
        <v>545</v>
      </c>
      <c r="B548" s="3115" t="s">
        <v>4011</v>
      </c>
      <c r="C548" s="3114">
        <v>88.42</v>
      </c>
      <c r="D548" s="3113" t="s">
        <v>2911</v>
      </c>
      <c r="H548" s="3118">
        <v>545</v>
      </c>
      <c r="I548" s="3115" t="s">
        <v>4010</v>
      </c>
      <c r="J548" s="3114">
        <v>160.75</v>
      </c>
      <c r="K548" s="3118" t="s">
        <v>3463</v>
      </c>
    </row>
    <row r="549" spans="1:11">
      <c r="A549" s="3113">
        <v>546</v>
      </c>
      <c r="B549" s="3115" t="s">
        <v>4009</v>
      </c>
      <c r="C549" s="3114">
        <v>88.42</v>
      </c>
      <c r="D549" s="3113" t="s">
        <v>2911</v>
      </c>
      <c r="H549" s="3118">
        <v>546</v>
      </c>
      <c r="I549" s="3115" t="s">
        <v>4008</v>
      </c>
      <c r="J549" s="3114">
        <v>160.75</v>
      </c>
      <c r="K549" s="3118" t="s">
        <v>3463</v>
      </c>
    </row>
    <row r="550" spans="1:11">
      <c r="A550" s="3113">
        <v>547</v>
      </c>
      <c r="B550" s="3115" t="s">
        <v>4007</v>
      </c>
      <c r="C550" s="3114">
        <v>88.42</v>
      </c>
      <c r="D550" s="3113" t="s">
        <v>2911</v>
      </c>
      <c r="H550" s="3118">
        <v>547</v>
      </c>
      <c r="I550" s="3115" t="s">
        <v>4006</v>
      </c>
      <c r="J550" s="3114">
        <v>160.75</v>
      </c>
      <c r="K550" s="3118" t="s">
        <v>3463</v>
      </c>
    </row>
    <row r="551" spans="1:11">
      <c r="A551" s="3113">
        <v>548</v>
      </c>
      <c r="B551" s="3115" t="s">
        <v>4005</v>
      </c>
      <c r="C551" s="3114">
        <v>88.42</v>
      </c>
      <c r="D551" s="3113" t="s">
        <v>2911</v>
      </c>
      <c r="H551" s="3118">
        <v>548</v>
      </c>
      <c r="I551" s="3115" t="s">
        <v>4004</v>
      </c>
      <c r="J551" s="3114">
        <v>160.75</v>
      </c>
      <c r="K551" s="3118" t="s">
        <v>3463</v>
      </c>
    </row>
    <row r="552" spans="1:11">
      <c r="A552" s="3113">
        <v>549</v>
      </c>
      <c r="B552" s="3115" t="s">
        <v>4003</v>
      </c>
      <c r="C552" s="3114">
        <v>88.42</v>
      </c>
      <c r="D552" s="3113" t="s">
        <v>2911</v>
      </c>
      <c r="H552" s="3118">
        <v>549</v>
      </c>
      <c r="I552" s="3115" t="s">
        <v>4002</v>
      </c>
      <c r="J552" s="3114">
        <v>160.75</v>
      </c>
      <c r="K552" s="3118" t="s">
        <v>3463</v>
      </c>
    </row>
    <row r="553" spans="1:11">
      <c r="A553" s="3113">
        <v>550</v>
      </c>
      <c r="B553" s="3115" t="s">
        <v>4001</v>
      </c>
      <c r="C553" s="3114">
        <v>88.42</v>
      </c>
      <c r="D553" s="3113" t="s">
        <v>2911</v>
      </c>
      <c r="H553" s="3118">
        <v>550</v>
      </c>
      <c r="I553" s="3115" t="s">
        <v>4000</v>
      </c>
      <c r="J553" s="3114">
        <v>160.75</v>
      </c>
      <c r="K553" s="3118" t="s">
        <v>3463</v>
      </c>
    </row>
    <row r="554" spans="1:11">
      <c r="A554" s="3113">
        <v>551</v>
      </c>
      <c r="B554" s="3115" t="s">
        <v>3999</v>
      </c>
      <c r="C554" s="3114">
        <v>88.42</v>
      </c>
      <c r="D554" s="3113" t="s">
        <v>2911</v>
      </c>
      <c r="H554" s="3118">
        <v>551</v>
      </c>
      <c r="I554" s="3115" t="s">
        <v>3998</v>
      </c>
      <c r="J554" s="3114">
        <v>160.75</v>
      </c>
      <c r="K554" s="3118" t="s">
        <v>3463</v>
      </c>
    </row>
    <row r="555" spans="1:11">
      <c r="A555" s="3113">
        <v>552</v>
      </c>
      <c r="B555" s="3115" t="s">
        <v>3997</v>
      </c>
      <c r="C555" s="3114">
        <v>88.42</v>
      </c>
      <c r="D555" s="3113" t="s">
        <v>2911</v>
      </c>
      <c r="H555" s="3118">
        <v>552</v>
      </c>
      <c r="I555" s="3115" t="s">
        <v>3996</v>
      </c>
      <c r="J555" s="3114">
        <v>160.75</v>
      </c>
      <c r="K555" s="3118" t="s">
        <v>3463</v>
      </c>
    </row>
    <row r="556" spans="1:11">
      <c r="A556" s="3113">
        <v>553</v>
      </c>
      <c r="B556" s="3115" t="s">
        <v>3995</v>
      </c>
      <c r="C556" s="3114">
        <v>88.42</v>
      </c>
      <c r="D556" s="3113" t="s">
        <v>2911</v>
      </c>
      <c r="H556" s="3118">
        <v>553</v>
      </c>
      <c r="I556" s="3115" t="s">
        <v>3994</v>
      </c>
      <c r="J556" s="3114">
        <v>160.75</v>
      </c>
      <c r="K556" s="3118" t="s">
        <v>3463</v>
      </c>
    </row>
    <row r="557" spans="1:11">
      <c r="A557" s="3113">
        <v>554</v>
      </c>
      <c r="B557" s="3115" t="s">
        <v>3993</v>
      </c>
      <c r="C557" s="3114">
        <v>88.42</v>
      </c>
      <c r="D557" s="3113" t="s">
        <v>2911</v>
      </c>
      <c r="H557" s="3118">
        <v>554</v>
      </c>
      <c r="I557" s="3115" t="s">
        <v>3992</v>
      </c>
      <c r="J557" s="3114">
        <v>160.75</v>
      </c>
      <c r="K557" s="3118" t="s">
        <v>3463</v>
      </c>
    </row>
    <row r="558" spans="1:11">
      <c r="A558" s="3113">
        <v>555</v>
      </c>
      <c r="B558" s="3115" t="s">
        <v>3991</v>
      </c>
      <c r="C558" s="3114">
        <v>88.42</v>
      </c>
      <c r="D558" s="3113" t="s">
        <v>2911</v>
      </c>
      <c r="H558" s="3118">
        <v>555</v>
      </c>
      <c r="I558" s="3115" t="s">
        <v>3990</v>
      </c>
      <c r="J558" s="3114">
        <v>160.75</v>
      </c>
      <c r="K558" s="3118" t="s">
        <v>3463</v>
      </c>
    </row>
    <row r="559" spans="1:11">
      <c r="A559" s="3113">
        <v>556</v>
      </c>
      <c r="B559" s="3115" t="s">
        <v>3989</v>
      </c>
      <c r="C559" s="3114">
        <v>88.42</v>
      </c>
      <c r="D559" s="3113" t="s">
        <v>2911</v>
      </c>
      <c r="H559" s="3118">
        <v>556</v>
      </c>
      <c r="I559" s="3115" t="s">
        <v>3988</v>
      </c>
      <c r="J559" s="3114">
        <v>160.75</v>
      </c>
      <c r="K559" s="3118" t="s">
        <v>3463</v>
      </c>
    </row>
    <row r="560" spans="1:11">
      <c r="A560" s="3113">
        <v>557</v>
      </c>
      <c r="B560" s="3115" t="s">
        <v>3987</v>
      </c>
      <c r="C560" s="3114">
        <v>88.42</v>
      </c>
      <c r="D560" s="3113" t="s">
        <v>2911</v>
      </c>
      <c r="H560" s="3118">
        <v>557</v>
      </c>
      <c r="I560" s="3115" t="s">
        <v>3986</v>
      </c>
      <c r="J560" s="3114">
        <v>138.51</v>
      </c>
      <c r="K560" s="3118" t="s">
        <v>3463</v>
      </c>
    </row>
    <row r="561" spans="1:11">
      <c r="A561" s="3113">
        <v>558</v>
      </c>
      <c r="B561" s="3115" t="s">
        <v>3985</v>
      </c>
      <c r="C561" s="3114">
        <v>88.42</v>
      </c>
      <c r="D561" s="3113" t="s">
        <v>2911</v>
      </c>
      <c r="H561" s="3118">
        <v>558</v>
      </c>
      <c r="I561" s="3115" t="s">
        <v>3984</v>
      </c>
      <c r="J561" s="3114">
        <v>160.75</v>
      </c>
      <c r="K561" s="3118" t="s">
        <v>3463</v>
      </c>
    </row>
    <row r="562" spans="1:11">
      <c r="A562" s="3113">
        <v>559</v>
      </c>
      <c r="B562" s="3115" t="s">
        <v>3983</v>
      </c>
      <c r="C562" s="3114">
        <v>88.42</v>
      </c>
      <c r="D562" s="3113" t="s">
        <v>2911</v>
      </c>
      <c r="H562" s="3118">
        <v>559</v>
      </c>
      <c r="I562" s="3115" t="s">
        <v>3982</v>
      </c>
      <c r="J562" s="3114">
        <v>88.16</v>
      </c>
      <c r="K562" s="3118" t="s">
        <v>3463</v>
      </c>
    </row>
    <row r="563" spans="1:11">
      <c r="A563" s="3113">
        <v>560</v>
      </c>
      <c r="B563" s="3115" t="s">
        <v>3981</v>
      </c>
      <c r="C563" s="3114">
        <v>88.42</v>
      </c>
      <c r="D563" s="3113" t="s">
        <v>2911</v>
      </c>
      <c r="H563" s="3118">
        <v>560</v>
      </c>
      <c r="I563" s="3115" t="s">
        <v>3980</v>
      </c>
      <c r="J563" s="3114">
        <v>136.66999999999999</v>
      </c>
      <c r="K563" s="3118" t="s">
        <v>3463</v>
      </c>
    </row>
    <row r="564" spans="1:11">
      <c r="A564" s="3113">
        <v>561</v>
      </c>
      <c r="B564" s="3115" t="s">
        <v>3979</v>
      </c>
      <c r="C564" s="3114">
        <v>88.42</v>
      </c>
      <c r="D564" s="3113" t="s">
        <v>2911</v>
      </c>
      <c r="H564" s="3118">
        <v>561</v>
      </c>
      <c r="I564" s="3115" t="s">
        <v>3978</v>
      </c>
      <c r="J564" s="3114">
        <v>136.66999999999999</v>
      </c>
      <c r="K564" s="3118" t="s">
        <v>3463</v>
      </c>
    </row>
    <row r="565" spans="1:11">
      <c r="A565" s="3113">
        <v>562</v>
      </c>
      <c r="B565" s="3115" t="s">
        <v>3977</v>
      </c>
      <c r="C565" s="3114">
        <v>88.42</v>
      </c>
      <c r="D565" s="3113" t="s">
        <v>2911</v>
      </c>
      <c r="H565" s="3118">
        <v>562</v>
      </c>
      <c r="I565" s="3115" t="s">
        <v>3976</v>
      </c>
      <c r="J565" s="3114">
        <v>136.66999999999999</v>
      </c>
      <c r="K565" s="3118" t="s">
        <v>3463</v>
      </c>
    </row>
    <row r="566" spans="1:11">
      <c r="A566" s="3113">
        <v>563</v>
      </c>
      <c r="B566" s="3115" t="s">
        <v>3975</v>
      </c>
      <c r="C566" s="3114">
        <v>88.42</v>
      </c>
      <c r="D566" s="3113" t="s">
        <v>2911</v>
      </c>
      <c r="H566" s="3118">
        <v>563</v>
      </c>
      <c r="I566" s="3115" t="s">
        <v>3974</v>
      </c>
      <c r="J566" s="3114">
        <v>110.76</v>
      </c>
      <c r="K566" s="3118" t="s">
        <v>3463</v>
      </c>
    </row>
    <row r="567" spans="1:11">
      <c r="A567" s="3113">
        <v>564</v>
      </c>
      <c r="B567" s="3115" t="s">
        <v>3973</v>
      </c>
      <c r="C567" s="3114">
        <v>88.42</v>
      </c>
      <c r="D567" s="3113" t="s">
        <v>2911</v>
      </c>
      <c r="H567" s="3118">
        <v>564</v>
      </c>
      <c r="I567" s="3115" t="s">
        <v>3972</v>
      </c>
      <c r="J567" s="3114">
        <v>110.76</v>
      </c>
      <c r="K567" s="3118" t="s">
        <v>3463</v>
      </c>
    </row>
    <row r="568" spans="1:11">
      <c r="A568" s="3113">
        <v>565</v>
      </c>
      <c r="B568" s="3115" t="s">
        <v>3971</v>
      </c>
      <c r="C568" s="3114">
        <v>88.42</v>
      </c>
      <c r="D568" s="3113" t="s">
        <v>2911</v>
      </c>
      <c r="H568" s="3118">
        <v>565</v>
      </c>
      <c r="I568" s="3115" t="s">
        <v>3970</v>
      </c>
      <c r="J568" s="3114">
        <v>110.89</v>
      </c>
      <c r="K568" s="3118" t="s">
        <v>3463</v>
      </c>
    </row>
    <row r="569" spans="1:11">
      <c r="A569" s="3113">
        <v>566</v>
      </c>
      <c r="B569" s="3115" t="s">
        <v>3969</v>
      </c>
      <c r="C569" s="3114">
        <v>88.42</v>
      </c>
      <c r="D569" s="3113" t="s">
        <v>2911</v>
      </c>
      <c r="H569" s="3118">
        <v>566</v>
      </c>
      <c r="I569" s="3115" t="s">
        <v>3968</v>
      </c>
      <c r="J569" s="3114">
        <v>110.89</v>
      </c>
      <c r="K569" s="3118" t="s">
        <v>3463</v>
      </c>
    </row>
    <row r="570" spans="1:11">
      <c r="A570" s="3113">
        <v>567</v>
      </c>
      <c r="B570" s="3115" t="s">
        <v>3967</v>
      </c>
      <c r="C570" s="3114">
        <v>88.42</v>
      </c>
      <c r="D570" s="3113" t="s">
        <v>2911</v>
      </c>
      <c r="H570" s="3118">
        <v>567</v>
      </c>
      <c r="I570" s="3115" t="s">
        <v>3966</v>
      </c>
      <c r="J570" s="3114">
        <v>110.89</v>
      </c>
      <c r="K570" s="3118" t="s">
        <v>3463</v>
      </c>
    </row>
    <row r="571" spans="1:11">
      <c r="A571" s="3113">
        <v>568</v>
      </c>
      <c r="B571" s="3115" t="s">
        <v>3965</v>
      </c>
      <c r="C571" s="3114">
        <v>88.42</v>
      </c>
      <c r="D571" s="3113" t="s">
        <v>2911</v>
      </c>
      <c r="H571" s="3118">
        <v>568</v>
      </c>
      <c r="I571" s="3115" t="s">
        <v>3964</v>
      </c>
      <c r="J571" s="3114">
        <v>110.89</v>
      </c>
      <c r="K571" s="3118" t="s">
        <v>3463</v>
      </c>
    </row>
    <row r="572" spans="1:11">
      <c r="A572" s="3113">
        <v>569</v>
      </c>
      <c r="B572" s="3115" t="s">
        <v>3963</v>
      </c>
      <c r="C572" s="3114">
        <v>86.92</v>
      </c>
      <c r="D572" s="3113" t="s">
        <v>2911</v>
      </c>
      <c r="H572" s="3118">
        <v>569</v>
      </c>
      <c r="I572" s="3115" t="s">
        <v>3962</v>
      </c>
      <c r="J572" s="3114">
        <v>110.89</v>
      </c>
      <c r="K572" s="3118" t="s">
        <v>3463</v>
      </c>
    </row>
    <row r="573" spans="1:11">
      <c r="A573" s="3113">
        <v>570</v>
      </c>
      <c r="B573" s="3115" t="s">
        <v>3961</v>
      </c>
      <c r="C573" s="3114">
        <v>111.5</v>
      </c>
      <c r="D573" s="3113" t="s">
        <v>2911</v>
      </c>
      <c r="H573" s="3118">
        <v>570</v>
      </c>
      <c r="I573" s="3115" t="s">
        <v>3960</v>
      </c>
      <c r="J573" s="3114">
        <v>110.89</v>
      </c>
      <c r="K573" s="3118" t="s">
        <v>3463</v>
      </c>
    </row>
    <row r="574" spans="1:11">
      <c r="A574" s="3113">
        <v>571</v>
      </c>
      <c r="B574" s="3115" t="s">
        <v>3959</v>
      </c>
      <c r="C574" s="3114">
        <v>111.5</v>
      </c>
      <c r="D574" s="3113" t="s">
        <v>2911</v>
      </c>
      <c r="H574" s="3118">
        <v>571</v>
      </c>
      <c r="I574" s="3115" t="s">
        <v>3958</v>
      </c>
      <c r="J574" s="3114">
        <v>110.89</v>
      </c>
      <c r="K574" s="3118" t="s">
        <v>3463</v>
      </c>
    </row>
    <row r="575" spans="1:11">
      <c r="A575" s="3113">
        <v>572</v>
      </c>
      <c r="B575" s="3115" t="s">
        <v>3957</v>
      </c>
      <c r="C575" s="3114">
        <v>111.5</v>
      </c>
      <c r="D575" s="3113" t="s">
        <v>2911</v>
      </c>
      <c r="H575" s="3118">
        <v>572</v>
      </c>
      <c r="I575" s="3115" t="s">
        <v>3956</v>
      </c>
      <c r="J575" s="3114">
        <v>110.89</v>
      </c>
      <c r="K575" s="3118" t="s">
        <v>3463</v>
      </c>
    </row>
    <row r="576" spans="1:11">
      <c r="A576" s="3113">
        <v>573</v>
      </c>
      <c r="B576" s="3115" t="s">
        <v>3955</v>
      </c>
      <c r="C576" s="3114">
        <v>111.5</v>
      </c>
      <c r="D576" s="3113" t="s">
        <v>2911</v>
      </c>
      <c r="H576" s="3118">
        <v>573</v>
      </c>
      <c r="I576" s="3115" t="s">
        <v>3954</v>
      </c>
      <c r="J576" s="3114">
        <v>110.89</v>
      </c>
      <c r="K576" s="3118" t="s">
        <v>3463</v>
      </c>
    </row>
    <row r="577" spans="1:11">
      <c r="A577" s="3113">
        <v>574</v>
      </c>
      <c r="B577" s="3115" t="s">
        <v>3953</v>
      </c>
      <c r="C577" s="3114">
        <v>111.5</v>
      </c>
      <c r="D577" s="3113" t="s">
        <v>2911</v>
      </c>
      <c r="H577" s="3118">
        <v>574</v>
      </c>
      <c r="I577" s="3115" t="s">
        <v>3952</v>
      </c>
      <c r="J577" s="3114">
        <v>110.89</v>
      </c>
      <c r="K577" s="3118" t="s">
        <v>3463</v>
      </c>
    </row>
    <row r="578" spans="1:11">
      <c r="A578" s="3113">
        <v>575</v>
      </c>
      <c r="B578" s="3115" t="s">
        <v>3951</v>
      </c>
      <c r="C578" s="3114">
        <v>111.5</v>
      </c>
      <c r="D578" s="3113" t="s">
        <v>2911</v>
      </c>
      <c r="H578" s="3118">
        <v>575</v>
      </c>
      <c r="I578" s="3115" t="s">
        <v>3950</v>
      </c>
      <c r="J578" s="3114">
        <v>110.89</v>
      </c>
      <c r="K578" s="3118" t="s">
        <v>3463</v>
      </c>
    </row>
    <row r="579" spans="1:11">
      <c r="A579" s="3113">
        <v>576</v>
      </c>
      <c r="B579" s="3115" t="s">
        <v>3949</v>
      </c>
      <c r="C579" s="3114">
        <v>111.5</v>
      </c>
      <c r="D579" s="3113" t="s">
        <v>2911</v>
      </c>
      <c r="H579" s="3118">
        <v>576</v>
      </c>
      <c r="I579" s="3115" t="s">
        <v>3948</v>
      </c>
      <c r="J579" s="3114">
        <v>110.89</v>
      </c>
      <c r="K579" s="3118" t="s">
        <v>3463</v>
      </c>
    </row>
    <row r="580" spans="1:11">
      <c r="A580" s="3113">
        <v>577</v>
      </c>
      <c r="B580" s="3115" t="s">
        <v>3947</v>
      </c>
      <c r="C580" s="3114">
        <v>111.5</v>
      </c>
      <c r="D580" s="3113" t="s">
        <v>2911</v>
      </c>
      <c r="H580" s="3118">
        <v>577</v>
      </c>
      <c r="I580" s="3115" t="s">
        <v>3946</v>
      </c>
      <c r="J580" s="3114">
        <v>110.89</v>
      </c>
      <c r="K580" s="3118" t="s">
        <v>3463</v>
      </c>
    </row>
    <row r="581" spans="1:11">
      <c r="A581" s="3113">
        <v>578</v>
      </c>
      <c r="B581" s="3115" t="s">
        <v>3945</v>
      </c>
      <c r="C581" s="3114">
        <v>111.5</v>
      </c>
      <c r="D581" s="3113" t="s">
        <v>2911</v>
      </c>
      <c r="H581" s="3118">
        <v>578</v>
      </c>
      <c r="I581" s="3115" t="s">
        <v>3944</v>
      </c>
      <c r="J581" s="3114">
        <v>110.89</v>
      </c>
      <c r="K581" s="3118" t="s">
        <v>3463</v>
      </c>
    </row>
    <row r="582" spans="1:11">
      <c r="A582" s="3113">
        <v>579</v>
      </c>
      <c r="B582" s="3115" t="s">
        <v>3943</v>
      </c>
      <c r="C582" s="3114">
        <v>111.5</v>
      </c>
      <c r="D582" s="3113" t="s">
        <v>2911</v>
      </c>
      <c r="H582" s="3118">
        <v>579</v>
      </c>
      <c r="I582" s="3115" t="s">
        <v>3942</v>
      </c>
      <c r="J582" s="3114">
        <v>110.89</v>
      </c>
      <c r="K582" s="3118" t="s">
        <v>3463</v>
      </c>
    </row>
    <row r="583" spans="1:11">
      <c r="A583" s="3113">
        <v>580</v>
      </c>
      <c r="B583" s="3115" t="s">
        <v>3941</v>
      </c>
      <c r="C583" s="3114">
        <v>111.5</v>
      </c>
      <c r="D583" s="3113" t="s">
        <v>2911</v>
      </c>
      <c r="H583" s="3118">
        <v>580</v>
      </c>
      <c r="I583" s="3115" t="s">
        <v>3940</v>
      </c>
      <c r="J583" s="3114">
        <v>110.89</v>
      </c>
      <c r="K583" s="3118" t="s">
        <v>3463</v>
      </c>
    </row>
    <row r="584" spans="1:11">
      <c r="A584" s="3113">
        <v>581</v>
      </c>
      <c r="B584" s="3115" t="s">
        <v>3939</v>
      </c>
      <c r="C584" s="3114">
        <v>111.5</v>
      </c>
      <c r="D584" s="3113" t="s">
        <v>2911</v>
      </c>
      <c r="H584" s="3118">
        <v>581</v>
      </c>
      <c r="I584" s="3115" t="s">
        <v>3938</v>
      </c>
      <c r="J584" s="3114">
        <v>110.89</v>
      </c>
      <c r="K584" s="3118" t="s">
        <v>3463</v>
      </c>
    </row>
    <row r="585" spans="1:11">
      <c r="A585" s="3113">
        <v>582</v>
      </c>
      <c r="B585" s="3115" t="s">
        <v>3937</v>
      </c>
      <c r="C585" s="3114">
        <v>111.5</v>
      </c>
      <c r="D585" s="3113" t="s">
        <v>2911</v>
      </c>
      <c r="H585" s="3118">
        <v>582</v>
      </c>
      <c r="I585" s="3115" t="s">
        <v>3936</v>
      </c>
      <c r="J585" s="3114">
        <v>110.89</v>
      </c>
      <c r="K585" s="3118" t="s">
        <v>3463</v>
      </c>
    </row>
    <row r="586" spans="1:11">
      <c r="A586" s="3113">
        <v>583</v>
      </c>
      <c r="B586" s="3115" t="s">
        <v>3935</v>
      </c>
      <c r="C586" s="3114">
        <v>111.5</v>
      </c>
      <c r="D586" s="3113" t="s">
        <v>2911</v>
      </c>
      <c r="H586" s="3118">
        <v>583</v>
      </c>
      <c r="I586" s="3115" t="s">
        <v>3934</v>
      </c>
      <c r="J586" s="3114">
        <v>110.89</v>
      </c>
      <c r="K586" s="3118" t="s">
        <v>3463</v>
      </c>
    </row>
    <row r="587" spans="1:11">
      <c r="A587" s="3113">
        <v>584</v>
      </c>
      <c r="B587" s="3115" t="s">
        <v>3933</v>
      </c>
      <c r="C587" s="3114">
        <v>111.5</v>
      </c>
      <c r="D587" s="3113" t="s">
        <v>2911</v>
      </c>
      <c r="H587" s="3118">
        <v>584</v>
      </c>
      <c r="I587" s="3115" t="s">
        <v>3932</v>
      </c>
      <c r="J587" s="3114">
        <v>110.89</v>
      </c>
      <c r="K587" s="3118" t="s">
        <v>3463</v>
      </c>
    </row>
    <row r="588" spans="1:11">
      <c r="A588" s="3113">
        <v>585</v>
      </c>
      <c r="B588" s="3115" t="s">
        <v>3931</v>
      </c>
      <c r="C588" s="3114">
        <v>111.5</v>
      </c>
      <c r="D588" s="3113" t="s">
        <v>2911</v>
      </c>
      <c r="H588" s="3118">
        <v>585</v>
      </c>
      <c r="I588" s="3115" t="s">
        <v>3930</v>
      </c>
      <c r="J588" s="3114">
        <v>110.89</v>
      </c>
      <c r="K588" s="3118" t="s">
        <v>3463</v>
      </c>
    </row>
    <row r="589" spans="1:11">
      <c r="A589" s="3113">
        <v>586</v>
      </c>
      <c r="B589" s="3115" t="s">
        <v>3929</v>
      </c>
      <c r="C589" s="3114">
        <v>111.5</v>
      </c>
      <c r="D589" s="3113" t="s">
        <v>2911</v>
      </c>
      <c r="H589" s="3118">
        <v>586</v>
      </c>
      <c r="I589" s="3115" t="s">
        <v>3928</v>
      </c>
      <c r="J589" s="3114">
        <v>110.89</v>
      </c>
      <c r="K589" s="3118" t="s">
        <v>3463</v>
      </c>
    </row>
    <row r="590" spans="1:11">
      <c r="A590" s="3113">
        <v>587</v>
      </c>
      <c r="B590" s="3115" t="s">
        <v>3927</v>
      </c>
      <c r="C590" s="3114">
        <v>111.5</v>
      </c>
      <c r="D590" s="3113" t="s">
        <v>2911</v>
      </c>
      <c r="H590" s="3118">
        <v>587</v>
      </c>
      <c r="I590" s="3115" t="s">
        <v>3926</v>
      </c>
      <c r="J590" s="3114">
        <v>110.89</v>
      </c>
      <c r="K590" s="3118" t="s">
        <v>3463</v>
      </c>
    </row>
    <row r="591" spans="1:11">
      <c r="A591" s="3113">
        <v>588</v>
      </c>
      <c r="B591" s="3115" t="s">
        <v>3925</v>
      </c>
      <c r="C591" s="3114">
        <v>111.5</v>
      </c>
      <c r="D591" s="3113" t="s">
        <v>2911</v>
      </c>
      <c r="H591" s="3118">
        <v>588</v>
      </c>
      <c r="I591" s="3115" t="s">
        <v>3924</v>
      </c>
      <c r="J591" s="3114">
        <v>110.89</v>
      </c>
      <c r="K591" s="3118" t="s">
        <v>3463</v>
      </c>
    </row>
    <row r="592" spans="1:11">
      <c r="A592" s="3113">
        <v>589</v>
      </c>
      <c r="B592" s="3115" t="s">
        <v>3923</v>
      </c>
      <c r="C592" s="3114">
        <v>111.5</v>
      </c>
      <c r="D592" s="3113" t="s">
        <v>2911</v>
      </c>
      <c r="H592" s="3118">
        <v>589</v>
      </c>
      <c r="I592" s="3115" t="s">
        <v>3922</v>
      </c>
      <c r="J592" s="3114">
        <v>110.89</v>
      </c>
      <c r="K592" s="3118" t="s">
        <v>3463</v>
      </c>
    </row>
    <row r="593" spans="1:11">
      <c r="A593" s="3113">
        <v>590</v>
      </c>
      <c r="B593" s="3115" t="s">
        <v>3921</v>
      </c>
      <c r="C593" s="3114">
        <v>111.5</v>
      </c>
      <c r="D593" s="3113" t="s">
        <v>2911</v>
      </c>
      <c r="H593" s="3118">
        <v>590</v>
      </c>
      <c r="I593" s="3115" t="s">
        <v>3920</v>
      </c>
      <c r="J593" s="3114">
        <v>110.89</v>
      </c>
      <c r="K593" s="3118" t="s">
        <v>3463</v>
      </c>
    </row>
    <row r="594" spans="1:11">
      <c r="A594" s="3113">
        <v>591</v>
      </c>
      <c r="B594" s="3115" t="s">
        <v>3919</v>
      </c>
      <c r="C594" s="3114">
        <v>111.5</v>
      </c>
      <c r="D594" s="3113" t="s">
        <v>2911</v>
      </c>
      <c r="H594" s="3118">
        <v>591</v>
      </c>
      <c r="I594" s="3115" t="s">
        <v>3918</v>
      </c>
      <c r="J594" s="3114">
        <v>110.89</v>
      </c>
      <c r="K594" s="3118" t="s">
        <v>3463</v>
      </c>
    </row>
    <row r="595" spans="1:11">
      <c r="A595" s="3113">
        <v>592</v>
      </c>
      <c r="B595" s="3115" t="s">
        <v>3917</v>
      </c>
      <c r="C595" s="3114">
        <v>111.5</v>
      </c>
      <c r="D595" s="3113" t="s">
        <v>2911</v>
      </c>
      <c r="H595" s="3118">
        <v>592</v>
      </c>
      <c r="I595" s="3115" t="s">
        <v>3916</v>
      </c>
      <c r="J595" s="3114">
        <v>110.89</v>
      </c>
      <c r="K595" s="3118" t="s">
        <v>3463</v>
      </c>
    </row>
    <row r="596" spans="1:11">
      <c r="A596" s="3113">
        <v>593</v>
      </c>
      <c r="B596" s="3115" t="s">
        <v>3915</v>
      </c>
      <c r="C596" s="3114">
        <v>111.5</v>
      </c>
      <c r="D596" s="3113" t="s">
        <v>2911</v>
      </c>
      <c r="H596" s="3118">
        <v>593</v>
      </c>
      <c r="I596" s="3115" t="s">
        <v>3914</v>
      </c>
      <c r="J596" s="3114">
        <v>110.89</v>
      </c>
      <c r="K596" s="3118" t="s">
        <v>3463</v>
      </c>
    </row>
    <row r="597" spans="1:11">
      <c r="A597" s="3113">
        <v>594</v>
      </c>
      <c r="B597" s="3115" t="s">
        <v>3913</v>
      </c>
      <c r="C597" s="3114">
        <v>111.5</v>
      </c>
      <c r="D597" s="3113" t="s">
        <v>2911</v>
      </c>
      <c r="H597" s="3118">
        <v>594</v>
      </c>
      <c r="I597" s="3115" t="s">
        <v>3912</v>
      </c>
      <c r="J597" s="3114">
        <v>110.89</v>
      </c>
      <c r="K597" s="3118" t="s">
        <v>3463</v>
      </c>
    </row>
    <row r="598" spans="1:11">
      <c r="A598" s="3113">
        <v>595</v>
      </c>
      <c r="B598" s="3115" t="s">
        <v>3911</v>
      </c>
      <c r="C598" s="3114">
        <v>111.5</v>
      </c>
      <c r="D598" s="3113" t="s">
        <v>2911</v>
      </c>
      <c r="H598" s="3118">
        <v>595</v>
      </c>
      <c r="I598" s="3115" t="s">
        <v>3910</v>
      </c>
      <c r="J598" s="3114">
        <v>110.89</v>
      </c>
      <c r="K598" s="3118" t="s">
        <v>3463</v>
      </c>
    </row>
    <row r="599" spans="1:11">
      <c r="A599" s="3113">
        <v>596</v>
      </c>
      <c r="B599" s="3115" t="s">
        <v>3909</v>
      </c>
      <c r="C599" s="3114">
        <v>97.34</v>
      </c>
      <c r="D599" s="3113" t="s">
        <v>2911</v>
      </c>
      <c r="H599" s="3118">
        <v>596</v>
      </c>
      <c r="I599" s="3115" t="s">
        <v>3908</v>
      </c>
      <c r="J599" s="3114">
        <v>110.89</v>
      </c>
      <c r="K599" s="3118" t="s">
        <v>3463</v>
      </c>
    </row>
    <row r="600" spans="1:11">
      <c r="A600" s="3113">
        <v>597</v>
      </c>
      <c r="B600" s="3115" t="s">
        <v>3907</v>
      </c>
      <c r="C600" s="3114">
        <v>112.23</v>
      </c>
      <c r="D600" s="3113" t="s">
        <v>2911</v>
      </c>
      <c r="H600" s="3118">
        <v>597</v>
      </c>
      <c r="I600" s="3115" t="s">
        <v>3906</v>
      </c>
      <c r="J600" s="3114">
        <v>110.89</v>
      </c>
      <c r="K600" s="3118" t="s">
        <v>3463</v>
      </c>
    </row>
    <row r="601" spans="1:11">
      <c r="A601" s="3113">
        <v>598</v>
      </c>
      <c r="B601" s="3115" t="s">
        <v>3905</v>
      </c>
      <c r="C601" s="3114">
        <v>112.23</v>
      </c>
      <c r="D601" s="3113" t="s">
        <v>2911</v>
      </c>
      <c r="H601" s="3118">
        <v>598</v>
      </c>
      <c r="I601" s="3115" t="s">
        <v>3904</v>
      </c>
      <c r="J601" s="3114">
        <v>110.89</v>
      </c>
      <c r="K601" s="3118" t="s">
        <v>3463</v>
      </c>
    </row>
    <row r="602" spans="1:11">
      <c r="A602" s="3113">
        <v>599</v>
      </c>
      <c r="B602" s="3115" t="s">
        <v>3903</v>
      </c>
      <c r="C602" s="3114">
        <v>112.23</v>
      </c>
      <c r="D602" s="3113" t="s">
        <v>2911</v>
      </c>
      <c r="H602" s="3118">
        <v>599</v>
      </c>
      <c r="I602" s="3115" t="s">
        <v>3902</v>
      </c>
      <c r="J602" s="3114">
        <v>110.89</v>
      </c>
      <c r="K602" s="3118" t="s">
        <v>3463</v>
      </c>
    </row>
    <row r="603" spans="1:11">
      <c r="A603" s="3113">
        <v>600</v>
      </c>
      <c r="B603" s="3115" t="s">
        <v>3901</v>
      </c>
      <c r="C603" s="3114">
        <v>112.23</v>
      </c>
      <c r="D603" s="3113" t="s">
        <v>2911</v>
      </c>
      <c r="H603" s="3118">
        <v>600</v>
      </c>
      <c r="I603" s="3115" t="s">
        <v>3900</v>
      </c>
      <c r="J603" s="3114">
        <v>110.89</v>
      </c>
      <c r="K603" s="3118" t="s">
        <v>3463</v>
      </c>
    </row>
    <row r="604" spans="1:11">
      <c r="A604" s="3113">
        <v>601</v>
      </c>
      <c r="B604" s="3115" t="s">
        <v>3899</v>
      </c>
      <c r="C604" s="3114">
        <v>112.23</v>
      </c>
      <c r="D604" s="3113" t="s">
        <v>2911</v>
      </c>
      <c r="H604" s="3118">
        <v>601</v>
      </c>
      <c r="I604" s="3115" t="s">
        <v>3898</v>
      </c>
      <c r="J604" s="3114">
        <v>110.89</v>
      </c>
      <c r="K604" s="3118" t="s">
        <v>3463</v>
      </c>
    </row>
    <row r="605" spans="1:11">
      <c r="A605" s="3113">
        <v>602</v>
      </c>
      <c r="B605" s="3115" t="s">
        <v>3897</v>
      </c>
      <c r="C605" s="3114">
        <v>112.23</v>
      </c>
      <c r="D605" s="3113" t="s">
        <v>2911</v>
      </c>
      <c r="H605" s="3118">
        <v>602</v>
      </c>
      <c r="I605" s="3115" t="s">
        <v>3896</v>
      </c>
      <c r="J605" s="3114">
        <v>110.89</v>
      </c>
      <c r="K605" s="3118" t="s">
        <v>3463</v>
      </c>
    </row>
    <row r="606" spans="1:11">
      <c r="A606" s="3113">
        <v>603</v>
      </c>
      <c r="B606" s="3115" t="s">
        <v>3895</v>
      </c>
      <c r="C606" s="3114">
        <v>112.23</v>
      </c>
      <c r="D606" s="3113" t="s">
        <v>2911</v>
      </c>
      <c r="H606" s="3118">
        <v>603</v>
      </c>
      <c r="I606" s="3115" t="s">
        <v>3894</v>
      </c>
      <c r="J606" s="3114">
        <v>110.89</v>
      </c>
      <c r="K606" s="3118" t="s">
        <v>3463</v>
      </c>
    </row>
    <row r="607" spans="1:11">
      <c r="A607" s="3113">
        <v>604</v>
      </c>
      <c r="B607" s="3115" t="s">
        <v>3893</v>
      </c>
      <c r="C607" s="3114">
        <v>112.23</v>
      </c>
      <c r="D607" s="3113" t="s">
        <v>2911</v>
      </c>
      <c r="H607" s="3118">
        <v>604</v>
      </c>
      <c r="I607" s="3115" t="s">
        <v>3892</v>
      </c>
      <c r="J607" s="3114">
        <v>110.89</v>
      </c>
      <c r="K607" s="3118" t="s">
        <v>3463</v>
      </c>
    </row>
    <row r="608" spans="1:11">
      <c r="A608" s="3113">
        <v>605</v>
      </c>
      <c r="B608" s="3115" t="s">
        <v>3891</v>
      </c>
      <c r="C608" s="3114">
        <v>112.23</v>
      </c>
      <c r="D608" s="3113" t="s">
        <v>2911</v>
      </c>
      <c r="H608" s="3118">
        <v>605</v>
      </c>
      <c r="I608" s="3115" t="s">
        <v>3890</v>
      </c>
      <c r="J608" s="3114">
        <v>110.89</v>
      </c>
      <c r="K608" s="3118" t="s">
        <v>3463</v>
      </c>
    </row>
    <row r="609" spans="1:11">
      <c r="A609" s="3113">
        <v>606</v>
      </c>
      <c r="B609" s="3115" t="s">
        <v>3889</v>
      </c>
      <c r="C609" s="3114">
        <v>112.23</v>
      </c>
      <c r="D609" s="3113" t="s">
        <v>2911</v>
      </c>
      <c r="H609" s="3118">
        <v>606</v>
      </c>
      <c r="I609" s="3115" t="s">
        <v>3888</v>
      </c>
      <c r="J609" s="3114">
        <v>110.89</v>
      </c>
      <c r="K609" s="3118" t="s">
        <v>3463</v>
      </c>
    </row>
    <row r="610" spans="1:11">
      <c r="A610" s="3113">
        <v>607</v>
      </c>
      <c r="B610" s="3115" t="s">
        <v>3887</v>
      </c>
      <c r="C610" s="3114">
        <v>112.23</v>
      </c>
      <c r="D610" s="3113" t="s">
        <v>2911</v>
      </c>
      <c r="H610" s="3118">
        <v>607</v>
      </c>
      <c r="I610" s="3115" t="s">
        <v>3886</v>
      </c>
      <c r="J610" s="3114">
        <v>110.89</v>
      </c>
      <c r="K610" s="3118" t="s">
        <v>3463</v>
      </c>
    </row>
    <row r="611" spans="1:11">
      <c r="A611" s="3113">
        <v>608</v>
      </c>
      <c r="B611" s="3115" t="s">
        <v>3885</v>
      </c>
      <c r="C611" s="3114">
        <v>112.23</v>
      </c>
      <c r="D611" s="3113" t="s">
        <v>2911</v>
      </c>
      <c r="H611" s="3118">
        <v>608</v>
      </c>
      <c r="I611" s="3115" t="s">
        <v>3884</v>
      </c>
      <c r="J611" s="3114">
        <v>110.89</v>
      </c>
      <c r="K611" s="3118" t="s">
        <v>3463</v>
      </c>
    </row>
    <row r="612" spans="1:11">
      <c r="A612" s="3113">
        <v>609</v>
      </c>
      <c r="B612" s="3115" t="s">
        <v>3883</v>
      </c>
      <c r="C612" s="3114">
        <v>112.23</v>
      </c>
      <c r="D612" s="3113" t="s">
        <v>2911</v>
      </c>
      <c r="H612" s="3118">
        <v>609</v>
      </c>
      <c r="I612" s="3115" t="s">
        <v>3882</v>
      </c>
      <c r="J612" s="3114">
        <v>110.89</v>
      </c>
      <c r="K612" s="3118" t="s">
        <v>3463</v>
      </c>
    </row>
    <row r="613" spans="1:11">
      <c r="A613" s="3113">
        <v>610</v>
      </c>
      <c r="B613" s="3115" t="s">
        <v>3881</v>
      </c>
      <c r="C613" s="3114">
        <v>112.23</v>
      </c>
      <c r="D613" s="3113" t="s">
        <v>2911</v>
      </c>
      <c r="H613" s="3118">
        <v>610</v>
      </c>
      <c r="I613" s="3115" t="s">
        <v>3880</v>
      </c>
      <c r="J613" s="3114">
        <v>110.89</v>
      </c>
      <c r="K613" s="3118" t="s">
        <v>3463</v>
      </c>
    </row>
    <row r="614" spans="1:11">
      <c r="A614" s="3113">
        <v>611</v>
      </c>
      <c r="B614" s="3115" t="s">
        <v>3879</v>
      </c>
      <c r="C614" s="3114">
        <v>112.23</v>
      </c>
      <c r="D614" s="3113" t="s">
        <v>2911</v>
      </c>
      <c r="H614" s="3118">
        <v>611</v>
      </c>
      <c r="I614" s="3115" t="s">
        <v>3878</v>
      </c>
      <c r="J614" s="3114">
        <v>110.89</v>
      </c>
      <c r="K614" s="3118" t="s">
        <v>3463</v>
      </c>
    </row>
    <row r="615" spans="1:11">
      <c r="A615" s="3113">
        <v>612</v>
      </c>
      <c r="B615" s="3115" t="s">
        <v>3877</v>
      </c>
      <c r="C615" s="3114">
        <v>107.81</v>
      </c>
      <c r="D615" s="3113" t="s">
        <v>2911</v>
      </c>
      <c r="H615" s="3118">
        <v>612</v>
      </c>
      <c r="I615" s="3115" t="s">
        <v>3876</v>
      </c>
      <c r="J615" s="3114">
        <v>110.89</v>
      </c>
      <c r="K615" s="3118" t="s">
        <v>3463</v>
      </c>
    </row>
    <row r="616" spans="1:11">
      <c r="A616" s="3113">
        <v>613</v>
      </c>
      <c r="B616" s="3115" t="s">
        <v>3875</v>
      </c>
      <c r="C616" s="3114">
        <v>58.34</v>
      </c>
      <c r="D616" s="3113" t="s">
        <v>2911</v>
      </c>
      <c r="H616" s="3118">
        <v>613</v>
      </c>
      <c r="I616" s="3115" t="s">
        <v>3874</v>
      </c>
      <c r="J616" s="3114">
        <v>110.89</v>
      </c>
      <c r="K616" s="3118" t="s">
        <v>3463</v>
      </c>
    </row>
    <row r="617" spans="1:11">
      <c r="A617" s="3113">
        <v>614</v>
      </c>
      <c r="B617" s="3115" t="s">
        <v>3873</v>
      </c>
      <c r="C617" s="3114">
        <v>58.34</v>
      </c>
      <c r="D617" s="3113" t="s">
        <v>2911</v>
      </c>
      <c r="H617" s="3118">
        <v>614</v>
      </c>
      <c r="I617" s="3115" t="s">
        <v>3872</v>
      </c>
      <c r="J617" s="3114">
        <v>110.76</v>
      </c>
      <c r="K617" s="3118" t="s">
        <v>3463</v>
      </c>
    </row>
    <row r="618" spans="1:11">
      <c r="A618" s="3113">
        <v>615</v>
      </c>
      <c r="B618" s="3115" t="s">
        <v>3871</v>
      </c>
      <c r="C618" s="3114">
        <v>58.34</v>
      </c>
      <c r="D618" s="3113" t="s">
        <v>2911</v>
      </c>
      <c r="H618" s="3118">
        <v>615</v>
      </c>
      <c r="I618" s="3115" t="s">
        <v>3870</v>
      </c>
      <c r="J618" s="3114">
        <v>138.16999999999999</v>
      </c>
      <c r="K618" s="3118" t="s">
        <v>3463</v>
      </c>
    </row>
    <row r="619" spans="1:11">
      <c r="A619" s="3113">
        <v>616</v>
      </c>
      <c r="B619" s="3115" t="s">
        <v>3869</v>
      </c>
      <c r="C619" s="3114">
        <v>58.34</v>
      </c>
      <c r="D619" s="3113" t="s">
        <v>2911</v>
      </c>
      <c r="H619" s="3118">
        <v>616</v>
      </c>
      <c r="I619" s="3115" t="s">
        <v>3868</v>
      </c>
      <c r="J619" s="3114">
        <v>138.16999999999999</v>
      </c>
      <c r="K619" s="3118" t="s">
        <v>3463</v>
      </c>
    </row>
    <row r="620" spans="1:11">
      <c r="A620" s="3113">
        <v>617</v>
      </c>
      <c r="B620" s="3115" t="s">
        <v>3867</v>
      </c>
      <c r="C620" s="3114">
        <v>58.34</v>
      </c>
      <c r="D620" s="3113" t="s">
        <v>2911</v>
      </c>
      <c r="H620" s="3118">
        <v>617</v>
      </c>
      <c r="I620" s="3115" t="s">
        <v>3866</v>
      </c>
      <c r="J620" s="3114">
        <v>138.16999999999999</v>
      </c>
      <c r="K620" s="3118" t="s">
        <v>3463</v>
      </c>
    </row>
    <row r="621" spans="1:11">
      <c r="A621" s="3113">
        <v>618</v>
      </c>
      <c r="B621" s="3115" t="s">
        <v>3865</v>
      </c>
      <c r="C621" s="3114">
        <v>58.34</v>
      </c>
      <c r="D621" s="3113" t="s">
        <v>2911</v>
      </c>
      <c r="H621" s="3118">
        <v>618</v>
      </c>
      <c r="I621" s="3115" t="s">
        <v>3864</v>
      </c>
      <c r="J621" s="3114">
        <v>138.16999999999999</v>
      </c>
      <c r="K621" s="3118" t="s">
        <v>3463</v>
      </c>
    </row>
    <row r="622" spans="1:11">
      <c r="A622" s="3113">
        <v>619</v>
      </c>
      <c r="B622" s="3115" t="s">
        <v>3863</v>
      </c>
      <c r="C622" s="3114">
        <v>58.34</v>
      </c>
      <c r="D622" s="3113" t="s">
        <v>2911</v>
      </c>
      <c r="H622" s="3118">
        <v>619</v>
      </c>
      <c r="I622" s="3115" t="s">
        <v>3862</v>
      </c>
      <c r="J622" s="3114">
        <v>138.16999999999999</v>
      </c>
      <c r="K622" s="3118" t="s">
        <v>3463</v>
      </c>
    </row>
    <row r="623" spans="1:11">
      <c r="A623" s="3113">
        <v>620</v>
      </c>
      <c r="B623" s="3115" t="s">
        <v>3861</v>
      </c>
      <c r="C623" s="3114">
        <v>58.34</v>
      </c>
      <c r="D623" s="3113" t="s">
        <v>2911</v>
      </c>
      <c r="H623" s="3118">
        <v>620</v>
      </c>
      <c r="I623" s="3115" t="s">
        <v>3860</v>
      </c>
      <c r="J623" s="3114">
        <v>138.16999999999999</v>
      </c>
      <c r="K623" s="3118" t="s">
        <v>3463</v>
      </c>
    </row>
    <row r="624" spans="1:11">
      <c r="A624" s="3113">
        <v>621</v>
      </c>
      <c r="B624" s="3115" t="s">
        <v>3859</v>
      </c>
      <c r="C624" s="3114">
        <v>58.34</v>
      </c>
      <c r="D624" s="3113" t="s">
        <v>2911</v>
      </c>
      <c r="H624" s="3118">
        <v>621</v>
      </c>
      <c r="I624" s="3115" t="s">
        <v>3858</v>
      </c>
      <c r="J624" s="3114">
        <v>138.16999999999999</v>
      </c>
      <c r="K624" s="3118" t="s">
        <v>3463</v>
      </c>
    </row>
    <row r="625" spans="1:11">
      <c r="A625" s="3113">
        <v>622</v>
      </c>
      <c r="B625" s="3115" t="s">
        <v>3857</v>
      </c>
      <c r="C625" s="3114">
        <v>58.34</v>
      </c>
      <c r="D625" s="3113" t="s">
        <v>2911</v>
      </c>
      <c r="H625" s="3118">
        <v>622</v>
      </c>
      <c r="I625" s="3115" t="s">
        <v>3856</v>
      </c>
      <c r="J625" s="3114">
        <v>138.16999999999999</v>
      </c>
      <c r="K625" s="3118" t="s">
        <v>3463</v>
      </c>
    </row>
    <row r="626" spans="1:11">
      <c r="A626" s="3113">
        <v>623</v>
      </c>
      <c r="B626" s="3115" t="s">
        <v>3855</v>
      </c>
      <c r="C626" s="3114">
        <v>58.34</v>
      </c>
      <c r="D626" s="3113" t="s">
        <v>2911</v>
      </c>
      <c r="H626" s="3118">
        <v>623</v>
      </c>
      <c r="I626" s="3115" t="s">
        <v>3854</v>
      </c>
      <c r="J626" s="3114">
        <v>138.16999999999999</v>
      </c>
      <c r="K626" s="3118" t="s">
        <v>3463</v>
      </c>
    </row>
    <row r="627" spans="1:11">
      <c r="A627" s="3113">
        <v>624</v>
      </c>
      <c r="B627" s="3115" t="s">
        <v>3853</v>
      </c>
      <c r="C627" s="3114">
        <v>58.34</v>
      </c>
      <c r="D627" s="3113" t="s">
        <v>2911</v>
      </c>
      <c r="H627" s="3118">
        <v>624</v>
      </c>
      <c r="I627" s="3115" t="s">
        <v>3852</v>
      </c>
      <c r="J627" s="3114">
        <v>138.16999999999999</v>
      </c>
      <c r="K627" s="3118" t="s">
        <v>3463</v>
      </c>
    </row>
    <row r="628" spans="1:11">
      <c r="A628" s="3113">
        <v>625</v>
      </c>
      <c r="B628" s="3115" t="s">
        <v>3851</v>
      </c>
      <c r="C628" s="3114">
        <v>58.34</v>
      </c>
      <c r="D628" s="3113" t="s">
        <v>2911</v>
      </c>
      <c r="H628" s="3118">
        <v>625</v>
      </c>
      <c r="I628" s="3115" t="s">
        <v>3850</v>
      </c>
      <c r="J628" s="3114">
        <v>138.16999999999999</v>
      </c>
      <c r="K628" s="3118" t="s">
        <v>3463</v>
      </c>
    </row>
    <row r="629" spans="1:11">
      <c r="A629" s="3113">
        <v>626</v>
      </c>
      <c r="B629" s="3115" t="s">
        <v>3849</v>
      </c>
      <c r="C629" s="3114">
        <v>58.34</v>
      </c>
      <c r="D629" s="3113" t="s">
        <v>2911</v>
      </c>
      <c r="H629" s="3118">
        <v>626</v>
      </c>
      <c r="I629" s="3115" t="s">
        <v>3848</v>
      </c>
      <c r="J629" s="3114">
        <v>138.16999999999999</v>
      </c>
      <c r="K629" s="3118" t="s">
        <v>3463</v>
      </c>
    </row>
    <row r="630" spans="1:11">
      <c r="A630" s="3113">
        <v>627</v>
      </c>
      <c r="B630" s="3115" t="s">
        <v>3847</v>
      </c>
      <c r="C630" s="3114">
        <v>58.34</v>
      </c>
      <c r="D630" s="3113" t="s">
        <v>2911</v>
      </c>
      <c r="H630" s="3118">
        <v>627</v>
      </c>
      <c r="I630" s="3115" t="s">
        <v>3846</v>
      </c>
      <c r="J630" s="3114">
        <v>138.16999999999999</v>
      </c>
      <c r="K630" s="3118" t="s">
        <v>3463</v>
      </c>
    </row>
    <row r="631" spans="1:11">
      <c r="A631" s="3113">
        <v>628</v>
      </c>
      <c r="B631" s="3115" t="s">
        <v>3845</v>
      </c>
      <c r="C631" s="3114">
        <v>58.34</v>
      </c>
      <c r="D631" s="3113" t="s">
        <v>2911</v>
      </c>
      <c r="H631" s="3118">
        <v>628</v>
      </c>
      <c r="I631" s="3115" t="s">
        <v>3844</v>
      </c>
      <c r="J631" s="3114">
        <v>138.16999999999999</v>
      </c>
      <c r="K631" s="3118" t="s">
        <v>3463</v>
      </c>
    </row>
    <row r="632" spans="1:11">
      <c r="A632" s="3113">
        <v>629</v>
      </c>
      <c r="B632" s="3115" t="s">
        <v>3843</v>
      </c>
      <c r="C632" s="3114">
        <v>57.76</v>
      </c>
      <c r="D632" s="3113" t="s">
        <v>2911</v>
      </c>
      <c r="H632" s="3118">
        <v>629</v>
      </c>
      <c r="I632" s="3115" t="s">
        <v>3842</v>
      </c>
      <c r="J632" s="3114">
        <v>138.16999999999999</v>
      </c>
      <c r="K632" s="3118" t="s">
        <v>3463</v>
      </c>
    </row>
    <row r="633" spans="1:11">
      <c r="A633" s="3113">
        <v>630</v>
      </c>
      <c r="B633" s="3115" t="s">
        <v>3841</v>
      </c>
      <c r="C633" s="3114">
        <v>57.76</v>
      </c>
      <c r="D633" s="3113" t="s">
        <v>2911</v>
      </c>
      <c r="H633" s="3118">
        <v>630</v>
      </c>
      <c r="I633" s="3115" t="s">
        <v>3840</v>
      </c>
      <c r="J633" s="3114">
        <v>138.16999999999999</v>
      </c>
      <c r="K633" s="3118" t="s">
        <v>3463</v>
      </c>
    </row>
    <row r="634" spans="1:11">
      <c r="A634" s="3113">
        <v>631</v>
      </c>
      <c r="B634" s="3115" t="s">
        <v>3839</v>
      </c>
      <c r="C634" s="3114">
        <v>57.76</v>
      </c>
      <c r="D634" s="3113" t="s">
        <v>2911</v>
      </c>
      <c r="H634" s="3118">
        <v>631</v>
      </c>
      <c r="I634" s="3115" t="s">
        <v>3838</v>
      </c>
      <c r="J634" s="3114">
        <v>138.16999999999999</v>
      </c>
      <c r="K634" s="3118" t="s">
        <v>3463</v>
      </c>
    </row>
    <row r="635" spans="1:11">
      <c r="A635" s="3113">
        <v>632</v>
      </c>
      <c r="B635" s="3115" t="s">
        <v>3837</v>
      </c>
      <c r="C635" s="3114">
        <v>57.76</v>
      </c>
      <c r="D635" s="3113" t="s">
        <v>2911</v>
      </c>
      <c r="H635" s="3118">
        <v>632</v>
      </c>
      <c r="I635" s="3115" t="s">
        <v>3836</v>
      </c>
      <c r="J635" s="3114">
        <v>138.16999999999999</v>
      </c>
      <c r="K635" s="3118" t="s">
        <v>3463</v>
      </c>
    </row>
    <row r="636" spans="1:11">
      <c r="A636" s="3113">
        <v>633</v>
      </c>
      <c r="B636" s="3115" t="s">
        <v>3835</v>
      </c>
      <c r="C636" s="3114">
        <v>57.76</v>
      </c>
      <c r="D636" s="3113" t="s">
        <v>2911</v>
      </c>
      <c r="H636" s="3118">
        <v>633</v>
      </c>
      <c r="I636" s="3115" t="s">
        <v>3834</v>
      </c>
      <c r="J636" s="3114">
        <v>138.16999999999999</v>
      </c>
      <c r="K636" s="3118" t="s">
        <v>3463</v>
      </c>
    </row>
    <row r="637" spans="1:11">
      <c r="A637" s="3113">
        <v>634</v>
      </c>
      <c r="B637" s="3115" t="s">
        <v>3833</v>
      </c>
      <c r="C637" s="3114">
        <v>57.76</v>
      </c>
      <c r="D637" s="3113" t="s">
        <v>2911</v>
      </c>
      <c r="H637" s="3118">
        <v>634</v>
      </c>
      <c r="I637" s="3115" t="s">
        <v>3832</v>
      </c>
      <c r="J637" s="3114">
        <v>138.16999999999999</v>
      </c>
      <c r="K637" s="3118" t="s">
        <v>3463</v>
      </c>
    </row>
    <row r="638" spans="1:11">
      <c r="A638" s="3113">
        <v>635</v>
      </c>
      <c r="B638" s="3115" t="s">
        <v>3831</v>
      </c>
      <c r="C638" s="3114">
        <v>57.76</v>
      </c>
      <c r="D638" s="3113" t="s">
        <v>2911</v>
      </c>
      <c r="H638" s="3118">
        <v>635</v>
      </c>
      <c r="I638" s="3115" t="s">
        <v>3830</v>
      </c>
      <c r="J638" s="3114">
        <v>138.16999999999999</v>
      </c>
      <c r="K638" s="3118" t="s">
        <v>3463</v>
      </c>
    </row>
    <row r="639" spans="1:11">
      <c r="A639" s="3113">
        <v>636</v>
      </c>
      <c r="B639" s="3115" t="s">
        <v>3829</v>
      </c>
      <c r="C639" s="3114">
        <v>57.76</v>
      </c>
      <c r="D639" s="3113" t="s">
        <v>2911</v>
      </c>
      <c r="H639" s="3118">
        <v>636</v>
      </c>
      <c r="I639" s="3115" t="s">
        <v>3828</v>
      </c>
      <c r="J639" s="3114">
        <v>138.16999999999999</v>
      </c>
      <c r="K639" s="3118" t="s">
        <v>3463</v>
      </c>
    </row>
    <row r="640" spans="1:11">
      <c r="A640" s="3113">
        <v>637</v>
      </c>
      <c r="B640" s="3115" t="s">
        <v>3827</v>
      </c>
      <c r="C640" s="3114">
        <v>57.76</v>
      </c>
      <c r="D640" s="3113" t="s">
        <v>2911</v>
      </c>
      <c r="H640" s="3118">
        <v>637</v>
      </c>
      <c r="I640" s="3115" t="s">
        <v>3826</v>
      </c>
      <c r="J640" s="3114">
        <v>138.16999999999999</v>
      </c>
      <c r="K640" s="3118" t="s">
        <v>3463</v>
      </c>
    </row>
    <row r="641" spans="1:11">
      <c r="A641" s="3113">
        <v>638</v>
      </c>
      <c r="B641" s="3115" t="s">
        <v>3825</v>
      </c>
      <c r="C641" s="3114">
        <v>57.76</v>
      </c>
      <c r="D641" s="3113" t="s">
        <v>2911</v>
      </c>
      <c r="H641" s="3118">
        <v>638</v>
      </c>
      <c r="I641" s="3115" t="s">
        <v>3824</v>
      </c>
      <c r="J641" s="3114">
        <v>138.16999999999999</v>
      </c>
      <c r="K641" s="3118" t="s">
        <v>3463</v>
      </c>
    </row>
    <row r="642" spans="1:11">
      <c r="A642" s="3113">
        <v>639</v>
      </c>
      <c r="B642" s="3115" t="s">
        <v>3823</v>
      </c>
      <c r="C642" s="3114">
        <v>57.76</v>
      </c>
      <c r="D642" s="3113" t="s">
        <v>2911</v>
      </c>
      <c r="H642" s="3118">
        <v>639</v>
      </c>
      <c r="I642" s="3115" t="s">
        <v>3822</v>
      </c>
      <c r="J642" s="3114">
        <v>138.16999999999999</v>
      </c>
      <c r="K642" s="3118" t="s">
        <v>3463</v>
      </c>
    </row>
    <row r="643" spans="1:11">
      <c r="A643" s="3113">
        <v>640</v>
      </c>
      <c r="B643" s="3115" t="s">
        <v>3821</v>
      </c>
      <c r="C643" s="3114">
        <v>57.76</v>
      </c>
      <c r="D643" s="3113" t="s">
        <v>2911</v>
      </c>
      <c r="H643" s="3118">
        <v>640</v>
      </c>
      <c r="I643" s="3115" t="s">
        <v>3820</v>
      </c>
      <c r="J643" s="3114">
        <v>138.16999999999999</v>
      </c>
      <c r="K643" s="3118" t="s">
        <v>3463</v>
      </c>
    </row>
    <row r="644" spans="1:11">
      <c r="A644" s="3113">
        <v>641</v>
      </c>
      <c r="B644" s="3115" t="s">
        <v>3819</v>
      </c>
      <c r="C644" s="3114">
        <v>57.76</v>
      </c>
      <c r="D644" s="3113" t="s">
        <v>2911</v>
      </c>
      <c r="H644" s="3118">
        <v>641</v>
      </c>
      <c r="I644" s="3115" t="s">
        <v>3818</v>
      </c>
      <c r="J644" s="3114">
        <v>138.16999999999999</v>
      </c>
      <c r="K644" s="3118" t="s">
        <v>3463</v>
      </c>
    </row>
    <row r="645" spans="1:11">
      <c r="A645" s="3113">
        <v>642</v>
      </c>
      <c r="B645" s="3115" t="s">
        <v>3817</v>
      </c>
      <c r="C645" s="3114">
        <v>57.76</v>
      </c>
      <c r="D645" s="3113" t="s">
        <v>2911</v>
      </c>
      <c r="H645" s="3118">
        <v>642</v>
      </c>
      <c r="I645" s="3115" t="s">
        <v>3816</v>
      </c>
      <c r="J645" s="3114">
        <v>138.16999999999999</v>
      </c>
      <c r="K645" s="3118" t="s">
        <v>3463</v>
      </c>
    </row>
    <row r="646" spans="1:11">
      <c r="A646" s="3113">
        <v>643</v>
      </c>
      <c r="B646" s="3115" t="s">
        <v>3815</v>
      </c>
      <c r="C646" s="3114">
        <v>57.76</v>
      </c>
      <c r="D646" s="3113" t="s">
        <v>2911</v>
      </c>
      <c r="H646" s="3118">
        <v>643</v>
      </c>
      <c r="I646" s="3115" t="s">
        <v>3814</v>
      </c>
      <c r="J646" s="3114">
        <v>123.9</v>
      </c>
      <c r="K646" s="3118" t="s">
        <v>3463</v>
      </c>
    </row>
    <row r="647" spans="1:11">
      <c r="A647" s="3113">
        <v>644</v>
      </c>
      <c r="B647" s="3115" t="s">
        <v>3813</v>
      </c>
      <c r="C647" s="3114">
        <v>57.76</v>
      </c>
      <c r="D647" s="3113" t="s">
        <v>2911</v>
      </c>
      <c r="H647" s="3118">
        <v>644</v>
      </c>
      <c r="I647" s="3115" t="s">
        <v>3812</v>
      </c>
      <c r="J647" s="3114">
        <v>88.18</v>
      </c>
      <c r="K647" s="3118" t="s">
        <v>3463</v>
      </c>
    </row>
    <row r="648" spans="1:11">
      <c r="A648" s="3113">
        <v>645</v>
      </c>
      <c r="B648" s="3115" t="s">
        <v>3811</v>
      </c>
      <c r="C648" s="3114">
        <v>88.01</v>
      </c>
      <c r="D648" s="3113" t="s">
        <v>2911</v>
      </c>
      <c r="H648" s="3118">
        <v>645</v>
      </c>
      <c r="I648" s="3115" t="s">
        <v>3810</v>
      </c>
      <c r="J648" s="3114">
        <v>88.18</v>
      </c>
      <c r="K648" s="3118" t="s">
        <v>3463</v>
      </c>
    </row>
    <row r="649" spans="1:11">
      <c r="A649" s="3113">
        <v>646</v>
      </c>
      <c r="B649" s="3115" t="s">
        <v>3809</v>
      </c>
      <c r="C649" s="3114">
        <v>88.01</v>
      </c>
      <c r="D649" s="3113" t="s">
        <v>2911</v>
      </c>
      <c r="H649" s="3118">
        <v>646</v>
      </c>
      <c r="I649" s="3115" t="s">
        <v>3808</v>
      </c>
      <c r="J649" s="3114">
        <v>88.18</v>
      </c>
      <c r="K649" s="3118" t="s">
        <v>3463</v>
      </c>
    </row>
    <row r="650" spans="1:11">
      <c r="A650" s="3113">
        <v>647</v>
      </c>
      <c r="B650" s="3115" t="s">
        <v>3807</v>
      </c>
      <c r="C650" s="3114">
        <v>88.01</v>
      </c>
      <c r="D650" s="3113" t="s">
        <v>2911</v>
      </c>
      <c r="H650" s="3118">
        <v>647</v>
      </c>
      <c r="I650" s="3115" t="s">
        <v>3806</v>
      </c>
      <c r="J650" s="3114">
        <v>88.18</v>
      </c>
      <c r="K650" s="3118" t="s">
        <v>3463</v>
      </c>
    </row>
    <row r="651" spans="1:11">
      <c r="A651" s="3113">
        <v>648</v>
      </c>
      <c r="B651" s="3115" t="s">
        <v>3805</v>
      </c>
      <c r="C651" s="3114">
        <v>88.01</v>
      </c>
      <c r="D651" s="3113" t="s">
        <v>2911</v>
      </c>
      <c r="H651" s="3118">
        <v>648</v>
      </c>
      <c r="I651" s="3115" t="s">
        <v>3804</v>
      </c>
      <c r="J651" s="3114">
        <v>88.18</v>
      </c>
      <c r="K651" s="3118" t="s">
        <v>3463</v>
      </c>
    </row>
    <row r="652" spans="1:11">
      <c r="A652" s="3113">
        <v>649</v>
      </c>
      <c r="B652" s="3115" t="s">
        <v>3803</v>
      </c>
      <c r="C652" s="3114">
        <v>88.01</v>
      </c>
      <c r="D652" s="3113" t="s">
        <v>2911</v>
      </c>
      <c r="H652" s="3118">
        <v>649</v>
      </c>
      <c r="I652" s="3115" t="s">
        <v>3802</v>
      </c>
      <c r="J652" s="3114">
        <v>88.18</v>
      </c>
      <c r="K652" s="3118" t="s">
        <v>3463</v>
      </c>
    </row>
    <row r="653" spans="1:11">
      <c r="A653" s="3113">
        <v>650</v>
      </c>
      <c r="B653" s="3115" t="s">
        <v>3801</v>
      </c>
      <c r="C653" s="3114">
        <v>88.01</v>
      </c>
      <c r="D653" s="3113" t="s">
        <v>2911</v>
      </c>
      <c r="H653" s="3118">
        <v>650</v>
      </c>
      <c r="I653" s="3115" t="s">
        <v>3800</v>
      </c>
      <c r="J653" s="3114">
        <v>88.18</v>
      </c>
      <c r="K653" s="3118" t="s">
        <v>3463</v>
      </c>
    </row>
    <row r="654" spans="1:11">
      <c r="A654" s="3113">
        <v>651</v>
      </c>
      <c r="B654" s="3115" t="s">
        <v>3799</v>
      </c>
      <c r="C654" s="3114">
        <v>88.01</v>
      </c>
      <c r="D654" s="3113" t="s">
        <v>2911</v>
      </c>
      <c r="H654" s="3118">
        <v>651</v>
      </c>
      <c r="I654" s="3115" t="s">
        <v>3798</v>
      </c>
      <c r="J654" s="3114">
        <v>88.18</v>
      </c>
      <c r="K654" s="3118" t="s">
        <v>3463</v>
      </c>
    </row>
    <row r="655" spans="1:11">
      <c r="A655" s="3113">
        <v>652</v>
      </c>
      <c r="B655" s="3115" t="s">
        <v>3797</v>
      </c>
      <c r="C655" s="3114">
        <v>88.01</v>
      </c>
      <c r="D655" s="3113" t="s">
        <v>2911</v>
      </c>
      <c r="H655" s="3118">
        <v>652</v>
      </c>
      <c r="I655" s="3115" t="s">
        <v>3796</v>
      </c>
      <c r="J655" s="3114">
        <v>88.18</v>
      </c>
      <c r="K655" s="3118" t="s">
        <v>3463</v>
      </c>
    </row>
    <row r="656" spans="1:11">
      <c r="A656" s="3113">
        <v>653</v>
      </c>
      <c r="B656" s="3115" t="s">
        <v>3795</v>
      </c>
      <c r="C656" s="3114">
        <v>88.01</v>
      </c>
      <c r="D656" s="3113" t="s">
        <v>2911</v>
      </c>
      <c r="H656" s="3118">
        <v>653</v>
      </c>
      <c r="I656" s="3115" t="s">
        <v>3794</v>
      </c>
      <c r="J656" s="3114">
        <v>88.18</v>
      </c>
      <c r="K656" s="3118" t="s">
        <v>3463</v>
      </c>
    </row>
    <row r="657" spans="1:11">
      <c r="A657" s="3113">
        <v>654</v>
      </c>
      <c r="B657" s="3115" t="s">
        <v>3793</v>
      </c>
      <c r="C657" s="3114">
        <v>88.01</v>
      </c>
      <c r="D657" s="3113" t="s">
        <v>2911</v>
      </c>
      <c r="H657" s="3118">
        <v>654</v>
      </c>
      <c r="I657" s="3115" t="s">
        <v>3792</v>
      </c>
      <c r="J657" s="3114">
        <v>88.18</v>
      </c>
      <c r="K657" s="3118" t="s">
        <v>3463</v>
      </c>
    </row>
    <row r="658" spans="1:11">
      <c r="A658" s="3113">
        <v>655</v>
      </c>
      <c r="B658" s="3115" t="s">
        <v>3791</v>
      </c>
      <c r="C658" s="3114">
        <v>88.01</v>
      </c>
      <c r="D658" s="3113" t="s">
        <v>2911</v>
      </c>
      <c r="H658" s="3118">
        <v>655</v>
      </c>
      <c r="I658" s="3115" t="s">
        <v>3790</v>
      </c>
      <c r="J658" s="3114">
        <v>88.18</v>
      </c>
      <c r="K658" s="3118" t="s">
        <v>3463</v>
      </c>
    </row>
    <row r="659" spans="1:11">
      <c r="A659" s="3113">
        <v>656</v>
      </c>
      <c r="B659" s="3115" t="s">
        <v>3789</v>
      </c>
      <c r="C659" s="3114">
        <v>88.01</v>
      </c>
      <c r="D659" s="3113" t="s">
        <v>2911</v>
      </c>
      <c r="H659" s="3118">
        <v>656</v>
      </c>
      <c r="I659" s="3115" t="s">
        <v>3788</v>
      </c>
      <c r="J659" s="3114">
        <v>88.18</v>
      </c>
      <c r="K659" s="3118" t="s">
        <v>3463</v>
      </c>
    </row>
    <row r="660" spans="1:11">
      <c r="A660" s="3113">
        <v>657</v>
      </c>
      <c r="B660" s="3115" t="s">
        <v>3787</v>
      </c>
      <c r="C660" s="3114">
        <v>88.01</v>
      </c>
      <c r="D660" s="3113" t="s">
        <v>2911</v>
      </c>
      <c r="H660" s="3118">
        <v>657</v>
      </c>
      <c r="I660" s="3115" t="s">
        <v>3786</v>
      </c>
      <c r="J660" s="3114">
        <v>88.18</v>
      </c>
      <c r="K660" s="3118" t="s">
        <v>3463</v>
      </c>
    </row>
    <row r="661" spans="1:11">
      <c r="A661" s="3113">
        <v>658</v>
      </c>
      <c r="B661" s="3115" t="s">
        <v>3785</v>
      </c>
      <c r="C661" s="3114">
        <v>88.01</v>
      </c>
      <c r="D661" s="3113" t="s">
        <v>2911</v>
      </c>
      <c r="H661" s="3118">
        <v>658</v>
      </c>
      <c r="I661" s="3115" t="s">
        <v>3784</v>
      </c>
      <c r="J661" s="3114">
        <v>88.18</v>
      </c>
      <c r="K661" s="3118" t="s">
        <v>3463</v>
      </c>
    </row>
    <row r="662" spans="1:11">
      <c r="A662" s="3113">
        <v>659</v>
      </c>
      <c r="B662" s="3115" t="s">
        <v>3783</v>
      </c>
      <c r="C662" s="3114">
        <v>88.01</v>
      </c>
      <c r="D662" s="3113" t="s">
        <v>2911</v>
      </c>
      <c r="H662" s="3118">
        <v>659</v>
      </c>
      <c r="I662" s="3115" t="s">
        <v>3782</v>
      </c>
      <c r="J662" s="3114">
        <v>88.18</v>
      </c>
      <c r="K662" s="3118" t="s">
        <v>3463</v>
      </c>
    </row>
    <row r="663" spans="1:11">
      <c r="A663" s="3113">
        <v>660</v>
      </c>
      <c r="B663" s="3115" t="s">
        <v>3781</v>
      </c>
      <c r="C663" s="3114">
        <v>88.12</v>
      </c>
      <c r="D663" s="3113" t="s">
        <v>2911</v>
      </c>
      <c r="H663" s="3118">
        <v>660</v>
      </c>
      <c r="I663" s="3115" t="s">
        <v>3780</v>
      </c>
      <c r="J663" s="3114">
        <v>88.18</v>
      </c>
      <c r="K663" s="3118" t="s">
        <v>3463</v>
      </c>
    </row>
    <row r="664" spans="1:11">
      <c r="A664" s="3113">
        <v>661</v>
      </c>
      <c r="B664" s="3115" t="s">
        <v>3779</v>
      </c>
      <c r="C664" s="3114">
        <v>108.54</v>
      </c>
      <c r="D664" s="3113" t="s">
        <v>2911</v>
      </c>
      <c r="H664" s="3118">
        <v>661</v>
      </c>
      <c r="I664" s="3115" t="s">
        <v>3778</v>
      </c>
      <c r="J664" s="3114">
        <v>88.18</v>
      </c>
      <c r="K664" s="3118" t="s">
        <v>3463</v>
      </c>
    </row>
    <row r="665" spans="1:11">
      <c r="A665" s="3113">
        <v>662</v>
      </c>
      <c r="B665" s="3115" t="s">
        <v>3777</v>
      </c>
      <c r="C665" s="3114">
        <v>108.54</v>
      </c>
      <c r="D665" s="3113" t="s">
        <v>2911</v>
      </c>
      <c r="H665" s="3118">
        <v>662</v>
      </c>
      <c r="I665" s="3115" t="s">
        <v>3776</v>
      </c>
      <c r="J665" s="3114">
        <v>88.18</v>
      </c>
      <c r="K665" s="3118" t="s">
        <v>3463</v>
      </c>
    </row>
    <row r="666" spans="1:11">
      <c r="A666" s="3113">
        <v>663</v>
      </c>
      <c r="B666" s="3115" t="s">
        <v>3775</v>
      </c>
      <c r="C666" s="3114">
        <v>108.54</v>
      </c>
      <c r="D666" s="3113" t="s">
        <v>2911</v>
      </c>
      <c r="H666" s="3118">
        <v>663</v>
      </c>
      <c r="I666" s="3115" t="s">
        <v>3774</v>
      </c>
      <c r="J666" s="3114">
        <v>88.18</v>
      </c>
      <c r="K666" s="3118" t="s">
        <v>3463</v>
      </c>
    </row>
    <row r="667" spans="1:11">
      <c r="A667" s="3113">
        <v>664</v>
      </c>
      <c r="B667" s="3115" t="s">
        <v>3773</v>
      </c>
      <c r="C667" s="3114">
        <v>108.54</v>
      </c>
      <c r="D667" s="3113" t="s">
        <v>2911</v>
      </c>
      <c r="H667" s="3118">
        <v>664</v>
      </c>
      <c r="I667" s="3115" t="s">
        <v>3772</v>
      </c>
      <c r="J667" s="3114">
        <v>88.18</v>
      </c>
      <c r="K667" s="3118" t="s">
        <v>3463</v>
      </c>
    </row>
    <row r="668" spans="1:11">
      <c r="A668" s="3113">
        <v>665</v>
      </c>
      <c r="B668" s="3115" t="s">
        <v>3771</v>
      </c>
      <c r="C668" s="3114">
        <v>108.54</v>
      </c>
      <c r="D668" s="3113" t="s">
        <v>2911</v>
      </c>
      <c r="H668" s="3118">
        <v>665</v>
      </c>
      <c r="I668" s="3115" t="s">
        <v>3770</v>
      </c>
      <c r="J668" s="3114">
        <v>88.18</v>
      </c>
      <c r="K668" s="3118" t="s">
        <v>3463</v>
      </c>
    </row>
    <row r="669" spans="1:11">
      <c r="A669" s="3113">
        <v>666</v>
      </c>
      <c r="B669" s="3115" t="s">
        <v>3769</v>
      </c>
      <c r="C669" s="3114">
        <v>108.54</v>
      </c>
      <c r="D669" s="3113" t="s">
        <v>2911</v>
      </c>
      <c r="H669" s="3118">
        <v>666</v>
      </c>
      <c r="I669" s="3115" t="s">
        <v>3768</v>
      </c>
      <c r="J669" s="3114">
        <v>88.18</v>
      </c>
      <c r="K669" s="3118" t="s">
        <v>3463</v>
      </c>
    </row>
    <row r="670" spans="1:11">
      <c r="A670" s="3113">
        <v>667</v>
      </c>
      <c r="B670" s="3115" t="s">
        <v>3767</v>
      </c>
      <c r="C670" s="3114">
        <v>108.54</v>
      </c>
      <c r="D670" s="3113" t="s">
        <v>2911</v>
      </c>
      <c r="H670" s="3118">
        <v>667</v>
      </c>
      <c r="I670" s="3115" t="s">
        <v>3766</v>
      </c>
      <c r="J670" s="3114">
        <v>88.18</v>
      </c>
      <c r="K670" s="3118" t="s">
        <v>3463</v>
      </c>
    </row>
    <row r="671" spans="1:11">
      <c r="A671" s="3113">
        <v>668</v>
      </c>
      <c r="B671" s="3115" t="s">
        <v>3765</v>
      </c>
      <c r="C671" s="3114">
        <v>108.54</v>
      </c>
      <c r="D671" s="3113" t="s">
        <v>2911</v>
      </c>
      <c r="H671" s="3118">
        <v>668</v>
      </c>
      <c r="I671" s="3115" t="s">
        <v>3764</v>
      </c>
      <c r="J671" s="3114">
        <v>88.18</v>
      </c>
      <c r="K671" s="3118" t="s">
        <v>3463</v>
      </c>
    </row>
    <row r="672" spans="1:11">
      <c r="A672" s="3113">
        <v>669</v>
      </c>
      <c r="B672" s="3115" t="s">
        <v>3763</v>
      </c>
      <c r="C672" s="3114">
        <v>108.54</v>
      </c>
      <c r="D672" s="3113" t="s">
        <v>2911</v>
      </c>
      <c r="H672" s="3118">
        <v>669</v>
      </c>
      <c r="I672" s="3115" t="s">
        <v>3762</v>
      </c>
      <c r="J672" s="3114">
        <v>88.18</v>
      </c>
      <c r="K672" s="3118" t="s">
        <v>3463</v>
      </c>
    </row>
    <row r="673" spans="1:11">
      <c r="A673" s="3113">
        <v>670</v>
      </c>
      <c r="B673" s="3115" t="s">
        <v>3761</v>
      </c>
      <c r="C673" s="3114">
        <v>108.54</v>
      </c>
      <c r="D673" s="3113" t="s">
        <v>2911</v>
      </c>
      <c r="H673" s="3118">
        <v>670</v>
      </c>
      <c r="I673" s="3115" t="s">
        <v>3760</v>
      </c>
      <c r="J673" s="3114">
        <v>88.18</v>
      </c>
      <c r="K673" s="3118" t="s">
        <v>3463</v>
      </c>
    </row>
    <row r="674" spans="1:11">
      <c r="A674" s="3113">
        <v>671</v>
      </c>
      <c r="B674" s="3115" t="s">
        <v>3759</v>
      </c>
      <c r="C674" s="3114">
        <v>108.54</v>
      </c>
      <c r="D674" s="3113" t="s">
        <v>2911</v>
      </c>
      <c r="H674" s="3118">
        <v>671</v>
      </c>
      <c r="I674" s="3115" t="s">
        <v>3758</v>
      </c>
      <c r="J674" s="3114">
        <v>88.18</v>
      </c>
      <c r="K674" s="3118" t="s">
        <v>3463</v>
      </c>
    </row>
    <row r="675" spans="1:11">
      <c r="A675" s="3113">
        <v>672</v>
      </c>
      <c r="B675" s="3115" t="s">
        <v>3757</v>
      </c>
      <c r="C675" s="3114">
        <v>108.54</v>
      </c>
      <c r="D675" s="3113" t="s">
        <v>2911</v>
      </c>
      <c r="H675" s="3118">
        <v>672</v>
      </c>
      <c r="I675" s="3115" t="s">
        <v>3756</v>
      </c>
      <c r="J675" s="3114">
        <v>88.18</v>
      </c>
      <c r="K675" s="3118" t="s">
        <v>3463</v>
      </c>
    </row>
    <row r="676" spans="1:11">
      <c r="A676" s="3113">
        <v>673</v>
      </c>
      <c r="B676" s="3115" t="s">
        <v>3755</v>
      </c>
      <c r="C676" s="3114">
        <v>108.54</v>
      </c>
      <c r="D676" s="3113" t="s">
        <v>2911</v>
      </c>
      <c r="H676" s="3118">
        <v>673</v>
      </c>
      <c r="I676" s="3115" t="s">
        <v>3754</v>
      </c>
      <c r="J676" s="3114">
        <v>88.31</v>
      </c>
      <c r="K676" s="3118" t="s">
        <v>3463</v>
      </c>
    </row>
    <row r="677" spans="1:11">
      <c r="A677" s="3113">
        <v>674</v>
      </c>
      <c r="B677" s="3115" t="s">
        <v>3753</v>
      </c>
      <c r="C677" s="3114">
        <v>108.54</v>
      </c>
      <c r="D677" s="3113" t="s">
        <v>2911</v>
      </c>
      <c r="H677" s="3118">
        <v>674</v>
      </c>
      <c r="I677" s="3115" t="s">
        <v>3752</v>
      </c>
      <c r="J677" s="3114">
        <v>88.31</v>
      </c>
      <c r="K677" s="3118" t="s">
        <v>3463</v>
      </c>
    </row>
    <row r="678" spans="1:11">
      <c r="A678" s="3113">
        <v>675</v>
      </c>
      <c r="B678" s="3115" t="s">
        <v>3751</v>
      </c>
      <c r="C678" s="3114">
        <v>108.54</v>
      </c>
      <c r="D678" s="3113" t="s">
        <v>2911</v>
      </c>
      <c r="H678" s="3118">
        <v>675</v>
      </c>
      <c r="I678" s="3115" t="s">
        <v>3750</v>
      </c>
      <c r="J678" s="3114">
        <v>88.31</v>
      </c>
      <c r="K678" s="3118" t="s">
        <v>3463</v>
      </c>
    </row>
    <row r="679" spans="1:11">
      <c r="A679" s="3113">
        <v>676</v>
      </c>
      <c r="B679" s="3115" t="s">
        <v>3749</v>
      </c>
      <c r="C679" s="3114">
        <v>108.54</v>
      </c>
      <c r="D679" s="3113" t="s">
        <v>2911</v>
      </c>
      <c r="H679" s="3118">
        <v>676</v>
      </c>
      <c r="I679" s="3115" t="s">
        <v>3748</v>
      </c>
      <c r="J679" s="3114">
        <v>88.31</v>
      </c>
      <c r="K679" s="3118" t="s">
        <v>3463</v>
      </c>
    </row>
    <row r="680" spans="1:11">
      <c r="A680" s="3113">
        <v>677</v>
      </c>
      <c r="B680" s="3115" t="s">
        <v>3747</v>
      </c>
      <c r="C680" s="3114">
        <v>108.54</v>
      </c>
      <c r="D680" s="3113" t="s">
        <v>2911</v>
      </c>
      <c r="H680" s="3118">
        <v>677</v>
      </c>
      <c r="I680" s="3115" t="s">
        <v>3746</v>
      </c>
      <c r="J680" s="3114">
        <v>88.31</v>
      </c>
      <c r="K680" s="3118" t="s">
        <v>3463</v>
      </c>
    </row>
    <row r="681" spans="1:11">
      <c r="A681" s="3113">
        <v>678</v>
      </c>
      <c r="B681" s="3115" t="s">
        <v>3745</v>
      </c>
      <c r="C681" s="3114">
        <v>108.54</v>
      </c>
      <c r="D681" s="3113" t="s">
        <v>2911</v>
      </c>
      <c r="H681" s="3118">
        <v>678</v>
      </c>
      <c r="I681" s="3115" t="s">
        <v>3744</v>
      </c>
      <c r="J681" s="3114">
        <v>88.31</v>
      </c>
      <c r="K681" s="3118" t="s">
        <v>3463</v>
      </c>
    </row>
    <row r="682" spans="1:11">
      <c r="A682" s="3113">
        <v>679</v>
      </c>
      <c r="B682" s="3115" t="s">
        <v>3743</v>
      </c>
      <c r="C682" s="3114">
        <v>108.54</v>
      </c>
      <c r="D682" s="3113" t="s">
        <v>2911</v>
      </c>
      <c r="H682" s="3118">
        <v>679</v>
      </c>
      <c r="I682" s="3115" t="s">
        <v>3742</v>
      </c>
      <c r="J682" s="3114">
        <v>88.31</v>
      </c>
      <c r="K682" s="3118" t="s">
        <v>3463</v>
      </c>
    </row>
    <row r="683" spans="1:11">
      <c r="A683" s="3113">
        <v>680</v>
      </c>
      <c r="B683" s="3115" t="s">
        <v>3741</v>
      </c>
      <c r="C683" s="3114">
        <v>108.54</v>
      </c>
      <c r="D683" s="3113" t="s">
        <v>2911</v>
      </c>
      <c r="H683" s="3118">
        <v>680</v>
      </c>
      <c r="I683" s="3115" t="s">
        <v>3740</v>
      </c>
      <c r="J683" s="3114">
        <v>88.31</v>
      </c>
      <c r="K683" s="3118" t="s">
        <v>3463</v>
      </c>
    </row>
    <row r="684" spans="1:11">
      <c r="A684" s="3113">
        <v>681</v>
      </c>
      <c r="B684" s="3115" t="s">
        <v>3739</v>
      </c>
      <c r="C684" s="3114">
        <v>108.54</v>
      </c>
      <c r="D684" s="3113" t="s">
        <v>2911</v>
      </c>
      <c r="H684" s="3118">
        <v>681</v>
      </c>
      <c r="I684" s="3115" t="s">
        <v>3738</v>
      </c>
      <c r="J684" s="3114">
        <v>88.31</v>
      </c>
      <c r="K684" s="3118" t="s">
        <v>3463</v>
      </c>
    </row>
    <row r="685" spans="1:11">
      <c r="A685" s="3113">
        <v>682</v>
      </c>
      <c r="B685" s="3115" t="s">
        <v>3737</v>
      </c>
      <c r="C685" s="3114">
        <v>108.54</v>
      </c>
      <c r="D685" s="3113" t="s">
        <v>2911</v>
      </c>
      <c r="H685" s="3118">
        <v>682</v>
      </c>
      <c r="I685" s="3115" t="s">
        <v>3736</v>
      </c>
      <c r="J685" s="3114">
        <v>88.31</v>
      </c>
      <c r="K685" s="3118" t="s">
        <v>3463</v>
      </c>
    </row>
    <row r="686" spans="1:11">
      <c r="A686" s="3113">
        <v>683</v>
      </c>
      <c r="B686" s="3115" t="s">
        <v>3735</v>
      </c>
      <c r="C686" s="3114">
        <v>108.54</v>
      </c>
      <c r="D686" s="3113" t="s">
        <v>2911</v>
      </c>
      <c r="H686" s="3118">
        <v>683</v>
      </c>
      <c r="I686" s="3115" t="s">
        <v>3734</v>
      </c>
      <c r="J686" s="3114">
        <v>88.31</v>
      </c>
      <c r="K686" s="3118" t="s">
        <v>3463</v>
      </c>
    </row>
    <row r="687" spans="1:11">
      <c r="A687" s="3113">
        <v>684</v>
      </c>
      <c r="B687" s="3115" t="s">
        <v>3733</v>
      </c>
      <c r="C687" s="3114">
        <v>108.54</v>
      </c>
      <c r="D687" s="3113" t="s">
        <v>2911</v>
      </c>
      <c r="H687" s="3118">
        <v>684</v>
      </c>
      <c r="I687" s="3115" t="s">
        <v>3732</v>
      </c>
      <c r="J687" s="3114">
        <v>88.31</v>
      </c>
      <c r="K687" s="3118" t="s">
        <v>3463</v>
      </c>
    </row>
    <row r="688" spans="1:11">
      <c r="A688" s="3113">
        <v>685</v>
      </c>
      <c r="B688" s="3115" t="s">
        <v>3731</v>
      </c>
      <c r="C688" s="3114">
        <v>108.54</v>
      </c>
      <c r="D688" s="3113" t="s">
        <v>2911</v>
      </c>
      <c r="H688" s="3118">
        <v>685</v>
      </c>
      <c r="I688" s="3115" t="s">
        <v>3730</v>
      </c>
      <c r="J688" s="3114">
        <v>88.31</v>
      </c>
      <c r="K688" s="3118" t="s">
        <v>3463</v>
      </c>
    </row>
    <row r="689" spans="1:11">
      <c r="A689" s="3113">
        <v>686</v>
      </c>
      <c r="B689" s="3115" t="s">
        <v>3729</v>
      </c>
      <c r="C689" s="3114">
        <v>108.54</v>
      </c>
      <c r="D689" s="3113" t="s">
        <v>2911</v>
      </c>
      <c r="H689" s="3118">
        <v>686</v>
      </c>
      <c r="I689" s="3115" t="s">
        <v>3728</v>
      </c>
      <c r="J689" s="3114">
        <v>88.31</v>
      </c>
      <c r="K689" s="3118" t="s">
        <v>3463</v>
      </c>
    </row>
    <row r="690" spans="1:11">
      <c r="A690" s="3113">
        <v>687</v>
      </c>
      <c r="B690" s="3115" t="s">
        <v>3727</v>
      </c>
      <c r="C690" s="3114">
        <v>108.54</v>
      </c>
      <c r="D690" s="3113" t="s">
        <v>2911</v>
      </c>
      <c r="H690" s="3118">
        <v>687</v>
      </c>
      <c r="I690" s="3115" t="s">
        <v>3726</v>
      </c>
      <c r="J690" s="3114">
        <v>88.31</v>
      </c>
      <c r="K690" s="3118" t="s">
        <v>3463</v>
      </c>
    </row>
    <row r="691" spans="1:11">
      <c r="A691" s="3113">
        <v>688</v>
      </c>
      <c r="B691" s="3115" t="s">
        <v>3725</v>
      </c>
      <c r="C691" s="3114">
        <v>108.54</v>
      </c>
      <c r="D691" s="3113" t="s">
        <v>2911</v>
      </c>
      <c r="H691" s="3118">
        <v>688</v>
      </c>
      <c r="I691" s="3115" t="s">
        <v>3724</v>
      </c>
      <c r="J691" s="3114">
        <v>88.31</v>
      </c>
      <c r="K691" s="3118" t="s">
        <v>3463</v>
      </c>
    </row>
    <row r="692" spans="1:11">
      <c r="A692" s="3113">
        <v>689</v>
      </c>
      <c r="B692" s="3115" t="s">
        <v>3723</v>
      </c>
      <c r="C692" s="3114">
        <v>108.54</v>
      </c>
      <c r="D692" s="3113" t="s">
        <v>2911</v>
      </c>
      <c r="H692" s="3118">
        <v>689</v>
      </c>
      <c r="I692" s="3115" t="s">
        <v>3722</v>
      </c>
      <c r="J692" s="3114">
        <v>88.31</v>
      </c>
      <c r="K692" s="3118" t="s">
        <v>3463</v>
      </c>
    </row>
    <row r="693" spans="1:11">
      <c r="A693" s="3113">
        <v>690</v>
      </c>
      <c r="B693" s="3115" t="s">
        <v>3721</v>
      </c>
      <c r="C693" s="3114">
        <v>108.54</v>
      </c>
      <c r="D693" s="3113" t="s">
        <v>2911</v>
      </c>
      <c r="H693" s="3118">
        <v>690</v>
      </c>
      <c r="I693" s="3115" t="s">
        <v>3720</v>
      </c>
      <c r="J693" s="3114">
        <v>88.31</v>
      </c>
      <c r="K693" s="3118" t="s">
        <v>3463</v>
      </c>
    </row>
    <row r="694" spans="1:11">
      <c r="A694" s="3113">
        <v>691</v>
      </c>
      <c r="B694" s="3115" t="s">
        <v>3719</v>
      </c>
      <c r="C694" s="3114">
        <v>108.54</v>
      </c>
      <c r="D694" s="3113" t="s">
        <v>2911</v>
      </c>
      <c r="H694" s="3118">
        <v>691</v>
      </c>
      <c r="I694" s="3115" t="s">
        <v>3718</v>
      </c>
      <c r="J694" s="3114">
        <v>88.31</v>
      </c>
      <c r="K694" s="3118" t="s">
        <v>3463</v>
      </c>
    </row>
    <row r="695" spans="1:11">
      <c r="A695" s="3113">
        <v>692</v>
      </c>
      <c r="B695" s="3115" t="s">
        <v>3717</v>
      </c>
      <c r="C695" s="3114">
        <v>94.39</v>
      </c>
      <c r="D695" s="3113" t="s">
        <v>2911</v>
      </c>
      <c r="H695" s="3118">
        <v>692</v>
      </c>
      <c r="I695" s="3115" t="s">
        <v>3716</v>
      </c>
      <c r="J695" s="3114">
        <v>88.31</v>
      </c>
      <c r="K695" s="3118" t="s">
        <v>3463</v>
      </c>
    </row>
    <row r="696" spans="1:11">
      <c r="A696" s="3113">
        <v>693</v>
      </c>
      <c r="B696" s="3115" t="s">
        <v>3715</v>
      </c>
      <c r="C696" s="3114">
        <v>88.01</v>
      </c>
      <c r="D696" s="3113" t="s">
        <v>2911</v>
      </c>
      <c r="H696" s="3118">
        <v>693</v>
      </c>
      <c r="I696" s="3115" t="s">
        <v>3714</v>
      </c>
      <c r="J696" s="3114">
        <v>88.31</v>
      </c>
      <c r="K696" s="3118" t="s">
        <v>3463</v>
      </c>
    </row>
    <row r="697" spans="1:11">
      <c r="A697" s="3113">
        <v>694</v>
      </c>
      <c r="B697" s="3115" t="s">
        <v>3713</v>
      </c>
      <c r="C697" s="3114">
        <v>88.01</v>
      </c>
      <c r="D697" s="3113" t="s">
        <v>2911</v>
      </c>
      <c r="H697" s="3118">
        <v>694</v>
      </c>
      <c r="I697" s="3115" t="s">
        <v>3712</v>
      </c>
      <c r="J697" s="3114">
        <v>88.31</v>
      </c>
      <c r="K697" s="3118" t="s">
        <v>3463</v>
      </c>
    </row>
    <row r="698" spans="1:11">
      <c r="A698" s="3113">
        <v>695</v>
      </c>
      <c r="B698" s="3115" t="s">
        <v>3711</v>
      </c>
      <c r="C698" s="3114">
        <v>88.01</v>
      </c>
      <c r="D698" s="3113" t="s">
        <v>2911</v>
      </c>
      <c r="H698" s="3118">
        <v>695</v>
      </c>
      <c r="I698" s="3115" t="s">
        <v>3710</v>
      </c>
      <c r="J698" s="3114">
        <v>88.31</v>
      </c>
      <c r="K698" s="3118" t="s">
        <v>3463</v>
      </c>
    </row>
    <row r="699" spans="1:11">
      <c r="A699" s="3113">
        <v>696</v>
      </c>
      <c r="B699" s="3115" t="s">
        <v>3709</v>
      </c>
      <c r="C699" s="3114">
        <v>88.01</v>
      </c>
      <c r="D699" s="3113" t="s">
        <v>2911</v>
      </c>
      <c r="H699" s="3118">
        <v>696</v>
      </c>
      <c r="I699" s="3115" t="s">
        <v>3708</v>
      </c>
      <c r="J699" s="3114">
        <v>88.31</v>
      </c>
      <c r="K699" s="3118" t="s">
        <v>3463</v>
      </c>
    </row>
    <row r="700" spans="1:11">
      <c r="A700" s="3113">
        <v>697</v>
      </c>
      <c r="B700" s="3115" t="s">
        <v>3707</v>
      </c>
      <c r="C700" s="3114">
        <v>88.01</v>
      </c>
      <c r="D700" s="3113" t="s">
        <v>2911</v>
      </c>
      <c r="H700" s="3118">
        <v>697</v>
      </c>
      <c r="I700" s="3115" t="s">
        <v>3706</v>
      </c>
      <c r="J700" s="3114">
        <v>88.31</v>
      </c>
      <c r="K700" s="3118" t="s">
        <v>3463</v>
      </c>
    </row>
    <row r="701" spans="1:11">
      <c r="A701" s="3113">
        <v>698</v>
      </c>
      <c r="B701" s="3115" t="s">
        <v>3705</v>
      </c>
      <c r="C701" s="3114">
        <v>88.01</v>
      </c>
      <c r="D701" s="3113" t="s">
        <v>2911</v>
      </c>
      <c r="H701" s="3118">
        <v>698</v>
      </c>
      <c r="I701" s="3115" t="s">
        <v>3704</v>
      </c>
      <c r="J701" s="3114">
        <v>88.31</v>
      </c>
      <c r="K701" s="3118" t="s">
        <v>3463</v>
      </c>
    </row>
    <row r="702" spans="1:11">
      <c r="A702" s="3113">
        <v>699</v>
      </c>
      <c r="B702" s="3115" t="s">
        <v>3703</v>
      </c>
      <c r="C702" s="3114">
        <v>88.01</v>
      </c>
      <c r="D702" s="3113" t="s">
        <v>2911</v>
      </c>
      <c r="H702" s="3118">
        <v>699</v>
      </c>
      <c r="I702" s="3115" t="s">
        <v>3702</v>
      </c>
      <c r="J702" s="3114">
        <v>88.31</v>
      </c>
      <c r="K702" s="3118" t="s">
        <v>3463</v>
      </c>
    </row>
    <row r="703" spans="1:11">
      <c r="A703" s="3113">
        <v>700</v>
      </c>
      <c r="B703" s="3115" t="s">
        <v>3701</v>
      </c>
      <c r="C703" s="3114">
        <v>88.01</v>
      </c>
      <c r="D703" s="3113" t="s">
        <v>2911</v>
      </c>
      <c r="H703" s="3118">
        <v>700</v>
      </c>
      <c r="I703" s="3115" t="s">
        <v>3700</v>
      </c>
      <c r="J703" s="3114">
        <v>88.31</v>
      </c>
      <c r="K703" s="3118" t="s">
        <v>3463</v>
      </c>
    </row>
    <row r="704" spans="1:11">
      <c r="A704" s="3113">
        <v>701</v>
      </c>
      <c r="B704" s="3115" t="s">
        <v>3699</v>
      </c>
      <c r="C704" s="3114">
        <v>88.01</v>
      </c>
      <c r="D704" s="3113" t="s">
        <v>2911</v>
      </c>
      <c r="H704" s="3118">
        <v>701</v>
      </c>
      <c r="I704" s="3115" t="s">
        <v>3698</v>
      </c>
      <c r="J704" s="3114">
        <v>88.31</v>
      </c>
      <c r="K704" s="3118" t="s">
        <v>3463</v>
      </c>
    </row>
    <row r="705" spans="1:11">
      <c r="A705" s="3113">
        <v>702</v>
      </c>
      <c r="B705" s="3115" t="s">
        <v>3697</v>
      </c>
      <c r="C705" s="3114">
        <v>88.01</v>
      </c>
      <c r="D705" s="3113" t="s">
        <v>2911</v>
      </c>
      <c r="H705" s="3118">
        <v>702</v>
      </c>
      <c r="I705" s="3115" t="s">
        <v>3696</v>
      </c>
      <c r="J705" s="3114">
        <v>136.94999999999999</v>
      </c>
      <c r="K705" s="3118" t="s">
        <v>3463</v>
      </c>
    </row>
    <row r="706" spans="1:11">
      <c r="A706" s="3113">
        <v>703</v>
      </c>
      <c r="B706" s="3115" t="s">
        <v>3695</v>
      </c>
      <c r="C706" s="3114">
        <v>88.01</v>
      </c>
      <c r="D706" s="3113" t="s">
        <v>2911</v>
      </c>
      <c r="H706" s="3118">
        <v>703</v>
      </c>
      <c r="I706" s="3115" t="s">
        <v>3694</v>
      </c>
      <c r="J706" s="3114">
        <v>136.94999999999999</v>
      </c>
      <c r="K706" s="3118" t="s">
        <v>3463</v>
      </c>
    </row>
    <row r="707" spans="1:11">
      <c r="A707" s="3113">
        <v>704</v>
      </c>
      <c r="B707" s="3115" t="s">
        <v>3693</v>
      </c>
      <c r="C707" s="3114">
        <v>88.01</v>
      </c>
      <c r="D707" s="3113" t="s">
        <v>2911</v>
      </c>
      <c r="H707" s="3118">
        <v>704</v>
      </c>
      <c r="I707" s="3115" t="s">
        <v>3692</v>
      </c>
      <c r="J707" s="3114">
        <v>136.94999999999999</v>
      </c>
      <c r="K707" s="3118" t="s">
        <v>3463</v>
      </c>
    </row>
    <row r="708" spans="1:11">
      <c r="A708" s="3113">
        <v>705</v>
      </c>
      <c r="B708" s="3115" t="s">
        <v>3691</v>
      </c>
      <c r="C708" s="3114">
        <v>88.01</v>
      </c>
      <c r="D708" s="3113" t="s">
        <v>2911</v>
      </c>
      <c r="H708" s="3118">
        <v>705</v>
      </c>
      <c r="I708" s="3115" t="s">
        <v>3690</v>
      </c>
      <c r="J708" s="3114">
        <v>136.94999999999999</v>
      </c>
      <c r="K708" s="3118" t="s">
        <v>3463</v>
      </c>
    </row>
    <row r="709" spans="1:11">
      <c r="A709" s="3113">
        <v>706</v>
      </c>
      <c r="B709" s="3115" t="s">
        <v>3689</v>
      </c>
      <c r="C709" s="3114">
        <v>88.01</v>
      </c>
      <c r="D709" s="3113" t="s">
        <v>2911</v>
      </c>
      <c r="H709" s="3118">
        <v>706</v>
      </c>
      <c r="I709" s="3115" t="s">
        <v>3688</v>
      </c>
      <c r="J709" s="3114">
        <v>136.94999999999999</v>
      </c>
      <c r="K709" s="3118" t="s">
        <v>3463</v>
      </c>
    </row>
    <row r="710" spans="1:11">
      <c r="A710" s="3113">
        <v>707</v>
      </c>
      <c r="B710" s="3115" t="s">
        <v>3687</v>
      </c>
      <c r="C710" s="3114">
        <v>88.01</v>
      </c>
      <c r="D710" s="3113" t="s">
        <v>2911</v>
      </c>
      <c r="H710" s="3118">
        <v>707</v>
      </c>
      <c r="I710" s="3115" t="s">
        <v>3686</v>
      </c>
      <c r="J710" s="3114">
        <v>136.94999999999999</v>
      </c>
      <c r="K710" s="3118" t="s">
        <v>3463</v>
      </c>
    </row>
    <row r="711" spans="1:11">
      <c r="A711" s="3113">
        <v>708</v>
      </c>
      <c r="B711" s="3115" t="s">
        <v>3685</v>
      </c>
      <c r="C711" s="3114">
        <v>88.12</v>
      </c>
      <c r="D711" s="3113" t="s">
        <v>2911</v>
      </c>
      <c r="H711" s="3118">
        <v>708</v>
      </c>
      <c r="I711" s="3115" t="s">
        <v>3684</v>
      </c>
      <c r="J711" s="3114">
        <v>136.94999999999999</v>
      </c>
      <c r="K711" s="3118" t="s">
        <v>3463</v>
      </c>
    </row>
    <row r="712" spans="1:11">
      <c r="A712" s="3113">
        <v>709</v>
      </c>
      <c r="B712" s="3115" t="s">
        <v>3683</v>
      </c>
      <c r="C712" s="3114">
        <v>57.76</v>
      </c>
      <c r="D712" s="3113" t="s">
        <v>2911</v>
      </c>
      <c r="H712" s="3118">
        <v>709</v>
      </c>
      <c r="I712" s="3115" t="s">
        <v>3682</v>
      </c>
      <c r="J712" s="3114">
        <v>136.94999999999999</v>
      </c>
      <c r="K712" s="3118" t="s">
        <v>3463</v>
      </c>
    </row>
    <row r="713" spans="1:11">
      <c r="A713" s="3113">
        <v>710</v>
      </c>
      <c r="B713" s="3115" t="s">
        <v>3681</v>
      </c>
      <c r="C713" s="3114">
        <v>57.76</v>
      </c>
      <c r="D713" s="3113" t="s">
        <v>2911</v>
      </c>
      <c r="H713" s="3118">
        <v>710</v>
      </c>
      <c r="I713" s="3115" t="s">
        <v>3680</v>
      </c>
      <c r="J713" s="3114">
        <v>136.94999999999999</v>
      </c>
      <c r="K713" s="3118" t="s">
        <v>3463</v>
      </c>
    </row>
    <row r="714" spans="1:11">
      <c r="A714" s="3113">
        <v>711</v>
      </c>
      <c r="B714" s="3115" t="s">
        <v>3679</v>
      </c>
      <c r="C714" s="3114">
        <v>57.76</v>
      </c>
      <c r="D714" s="3113" t="s">
        <v>2911</v>
      </c>
      <c r="H714" s="3118">
        <v>711</v>
      </c>
      <c r="I714" s="3115" t="s">
        <v>3678</v>
      </c>
      <c r="J714" s="3114">
        <v>136.94999999999999</v>
      </c>
      <c r="K714" s="3118" t="s">
        <v>3463</v>
      </c>
    </row>
    <row r="715" spans="1:11">
      <c r="A715" s="3113">
        <v>712</v>
      </c>
      <c r="B715" s="3115" t="s">
        <v>3677</v>
      </c>
      <c r="C715" s="3114">
        <v>57.76</v>
      </c>
      <c r="D715" s="3113" t="s">
        <v>2911</v>
      </c>
      <c r="H715" s="3118">
        <v>712</v>
      </c>
      <c r="I715" s="3115" t="s">
        <v>3676</v>
      </c>
      <c r="J715" s="3114">
        <v>136.94999999999999</v>
      </c>
      <c r="K715" s="3118" t="s">
        <v>3463</v>
      </c>
    </row>
    <row r="716" spans="1:11">
      <c r="A716" s="3113">
        <v>713</v>
      </c>
      <c r="B716" s="3115" t="s">
        <v>3675</v>
      </c>
      <c r="C716" s="3114">
        <v>57.76</v>
      </c>
      <c r="D716" s="3113" t="s">
        <v>2911</v>
      </c>
      <c r="H716" s="3118">
        <v>713</v>
      </c>
      <c r="I716" s="3115" t="s">
        <v>3674</v>
      </c>
      <c r="J716" s="3114">
        <v>136.94999999999999</v>
      </c>
      <c r="K716" s="3118" t="s">
        <v>3463</v>
      </c>
    </row>
    <row r="717" spans="1:11">
      <c r="A717" s="3113">
        <v>714</v>
      </c>
      <c r="B717" s="3115" t="s">
        <v>3673</v>
      </c>
      <c r="C717" s="3114">
        <v>57.76</v>
      </c>
      <c r="D717" s="3113" t="s">
        <v>2911</v>
      </c>
      <c r="H717" s="3118">
        <v>714</v>
      </c>
      <c r="I717" s="3115" t="s">
        <v>3672</v>
      </c>
      <c r="J717" s="3114">
        <v>136.94999999999999</v>
      </c>
      <c r="K717" s="3118" t="s">
        <v>3463</v>
      </c>
    </row>
    <row r="718" spans="1:11">
      <c r="A718" s="3113">
        <v>715</v>
      </c>
      <c r="B718" s="3115" t="s">
        <v>3671</v>
      </c>
      <c r="C718" s="3114">
        <v>57.76</v>
      </c>
      <c r="D718" s="3113" t="s">
        <v>2911</v>
      </c>
      <c r="H718" s="3118">
        <v>715</v>
      </c>
      <c r="I718" s="3115" t="s">
        <v>3670</v>
      </c>
      <c r="J718" s="3114">
        <v>136.94999999999999</v>
      </c>
      <c r="K718" s="3118" t="s">
        <v>3463</v>
      </c>
    </row>
    <row r="719" spans="1:11">
      <c r="A719" s="3113">
        <v>716</v>
      </c>
      <c r="B719" s="3115" t="s">
        <v>3669</v>
      </c>
      <c r="C719" s="3114">
        <v>57.76</v>
      </c>
      <c r="D719" s="3113" t="s">
        <v>2911</v>
      </c>
      <c r="H719" s="3118">
        <v>716</v>
      </c>
      <c r="I719" s="3115" t="s">
        <v>3668</v>
      </c>
      <c r="J719" s="3114">
        <v>68.84</v>
      </c>
      <c r="K719" s="3118" t="s">
        <v>3463</v>
      </c>
    </row>
    <row r="720" spans="1:11">
      <c r="A720" s="3113">
        <v>717</v>
      </c>
      <c r="B720" s="3115" t="s">
        <v>3667</v>
      </c>
      <c r="C720" s="3114">
        <v>57.76</v>
      </c>
      <c r="D720" s="3113" t="s">
        <v>2911</v>
      </c>
      <c r="H720" s="3118">
        <v>717</v>
      </c>
      <c r="I720" s="3115" t="s">
        <v>3666</v>
      </c>
      <c r="J720" s="3114">
        <v>136.94999999999999</v>
      </c>
      <c r="K720" s="3118" t="s">
        <v>3463</v>
      </c>
    </row>
    <row r="721" spans="1:11">
      <c r="A721" s="3113">
        <v>718</v>
      </c>
      <c r="B721" s="3115" t="s">
        <v>3665</v>
      </c>
      <c r="C721" s="3114">
        <v>57.76</v>
      </c>
      <c r="D721" s="3113" t="s">
        <v>2911</v>
      </c>
      <c r="H721" s="3118">
        <v>718</v>
      </c>
      <c r="I721" s="3115" t="s">
        <v>3664</v>
      </c>
      <c r="J721" s="3114">
        <v>136.94999999999999</v>
      </c>
      <c r="K721" s="3118" t="s">
        <v>3463</v>
      </c>
    </row>
    <row r="722" spans="1:11">
      <c r="A722" s="3113">
        <v>719</v>
      </c>
      <c r="B722" s="3115" t="s">
        <v>3663</v>
      </c>
      <c r="C722" s="3114">
        <v>57.76</v>
      </c>
      <c r="D722" s="3113" t="s">
        <v>2911</v>
      </c>
      <c r="H722" s="3118">
        <v>719</v>
      </c>
      <c r="I722" s="3115" t="s">
        <v>3662</v>
      </c>
      <c r="J722" s="3114">
        <v>136.94999999999999</v>
      </c>
      <c r="K722" s="3118" t="s">
        <v>3463</v>
      </c>
    </row>
    <row r="723" spans="1:11">
      <c r="A723" s="3113">
        <v>720</v>
      </c>
      <c r="B723" s="3115" t="s">
        <v>3661</v>
      </c>
      <c r="C723" s="3114">
        <v>57.76</v>
      </c>
      <c r="D723" s="3113" t="s">
        <v>2911</v>
      </c>
      <c r="H723" s="3118">
        <v>720</v>
      </c>
      <c r="I723" s="3115" t="s">
        <v>3660</v>
      </c>
      <c r="J723" s="3114">
        <v>136.94999999999999</v>
      </c>
      <c r="K723" s="3118" t="s">
        <v>3463</v>
      </c>
    </row>
    <row r="724" spans="1:11">
      <c r="A724" s="3113">
        <v>721</v>
      </c>
      <c r="B724" s="3115" t="s">
        <v>3659</v>
      </c>
      <c r="C724" s="3114">
        <v>57.76</v>
      </c>
      <c r="D724" s="3113" t="s">
        <v>2911</v>
      </c>
      <c r="H724" s="3118">
        <v>721</v>
      </c>
      <c r="I724" s="3115" t="s">
        <v>3658</v>
      </c>
      <c r="J724" s="3114">
        <v>136.94999999999999</v>
      </c>
      <c r="K724" s="3118" t="s">
        <v>3463</v>
      </c>
    </row>
    <row r="725" spans="1:11">
      <c r="A725" s="3113">
        <v>722</v>
      </c>
      <c r="B725" s="3115" t="s">
        <v>3657</v>
      </c>
      <c r="C725" s="3114">
        <v>57.76</v>
      </c>
      <c r="D725" s="3113" t="s">
        <v>2911</v>
      </c>
      <c r="H725" s="3118">
        <v>722</v>
      </c>
      <c r="I725" s="3115" t="s">
        <v>3656</v>
      </c>
      <c r="J725" s="3114">
        <v>136.94999999999999</v>
      </c>
      <c r="K725" s="3118" t="s">
        <v>3463</v>
      </c>
    </row>
    <row r="726" spans="1:11">
      <c r="A726" s="3113">
        <v>723</v>
      </c>
      <c r="B726" s="3115" t="s">
        <v>3655</v>
      </c>
      <c r="C726" s="3114">
        <v>57.76</v>
      </c>
      <c r="D726" s="3113" t="s">
        <v>2911</v>
      </c>
      <c r="H726" s="3118">
        <v>723</v>
      </c>
      <c r="I726" s="3115" t="s">
        <v>3654</v>
      </c>
      <c r="J726" s="3114">
        <v>136.94999999999999</v>
      </c>
      <c r="K726" s="3118" t="s">
        <v>3463</v>
      </c>
    </row>
    <row r="727" spans="1:11">
      <c r="A727" s="3113">
        <v>724</v>
      </c>
      <c r="B727" s="3115" t="s">
        <v>3653</v>
      </c>
      <c r="C727" s="3114">
        <v>57.76</v>
      </c>
      <c r="D727" s="3113" t="s">
        <v>2911</v>
      </c>
      <c r="H727" s="3118">
        <v>724</v>
      </c>
      <c r="I727" s="3115" t="s">
        <v>3652</v>
      </c>
      <c r="J727" s="3114">
        <v>136.94999999999999</v>
      </c>
      <c r="K727" s="3118" t="s">
        <v>3463</v>
      </c>
    </row>
    <row r="728" spans="1:11">
      <c r="A728" s="3113">
        <v>725</v>
      </c>
      <c r="B728" s="3115" t="s">
        <v>3651</v>
      </c>
      <c r="C728" s="3114">
        <v>58.34</v>
      </c>
      <c r="D728" s="3113" t="s">
        <v>2911</v>
      </c>
      <c r="H728" s="3118">
        <v>725</v>
      </c>
      <c r="I728" s="3115" t="s">
        <v>3650</v>
      </c>
      <c r="J728" s="3114">
        <v>136.94999999999999</v>
      </c>
      <c r="K728" s="3118" t="s">
        <v>3463</v>
      </c>
    </row>
    <row r="729" spans="1:11">
      <c r="A729" s="3113">
        <v>726</v>
      </c>
      <c r="B729" s="3115" t="s">
        <v>3649</v>
      </c>
      <c r="C729" s="3114">
        <v>58.34</v>
      </c>
      <c r="D729" s="3113" t="s">
        <v>2911</v>
      </c>
      <c r="H729" s="3118">
        <v>726</v>
      </c>
      <c r="I729" s="3115" t="s">
        <v>3648</v>
      </c>
      <c r="J729" s="3114">
        <v>136.94999999999999</v>
      </c>
      <c r="K729" s="3118" t="s">
        <v>3463</v>
      </c>
    </row>
    <row r="730" spans="1:11">
      <c r="A730" s="3113">
        <v>727</v>
      </c>
      <c r="B730" s="3115" t="s">
        <v>3647</v>
      </c>
      <c r="C730" s="3114">
        <v>58.34</v>
      </c>
      <c r="D730" s="3113" t="s">
        <v>2911</v>
      </c>
      <c r="H730" s="3118">
        <v>727</v>
      </c>
      <c r="I730" s="3115" t="s">
        <v>3646</v>
      </c>
      <c r="J730" s="3114">
        <v>136.94999999999999</v>
      </c>
      <c r="K730" s="3118" t="s">
        <v>3463</v>
      </c>
    </row>
    <row r="731" spans="1:11">
      <c r="A731" s="3113">
        <v>728</v>
      </c>
      <c r="B731" s="3115" t="s">
        <v>3645</v>
      </c>
      <c r="C731" s="3114">
        <v>58.34</v>
      </c>
      <c r="D731" s="3113" t="s">
        <v>2911</v>
      </c>
      <c r="H731" s="3118">
        <v>728</v>
      </c>
      <c r="I731" s="3115" t="s">
        <v>3644</v>
      </c>
      <c r="J731" s="3114">
        <v>136.94999999999999</v>
      </c>
      <c r="K731" s="3118" t="s">
        <v>3463</v>
      </c>
    </row>
    <row r="732" spans="1:11">
      <c r="A732" s="3113">
        <v>729</v>
      </c>
      <c r="B732" s="3115" t="s">
        <v>3643</v>
      </c>
      <c r="C732" s="3114">
        <v>58.34</v>
      </c>
      <c r="D732" s="3113" t="s">
        <v>2911</v>
      </c>
      <c r="H732" s="3118">
        <v>729</v>
      </c>
      <c r="I732" s="3115" t="s">
        <v>3642</v>
      </c>
      <c r="J732" s="3114">
        <v>136.94999999999999</v>
      </c>
      <c r="K732" s="3118" t="s">
        <v>3463</v>
      </c>
    </row>
    <row r="733" spans="1:11">
      <c r="A733" s="3113">
        <v>730</v>
      </c>
      <c r="B733" s="3115" t="s">
        <v>3641</v>
      </c>
      <c r="C733" s="3114">
        <v>58.34</v>
      </c>
      <c r="D733" s="3113" t="s">
        <v>2911</v>
      </c>
      <c r="H733" s="3118">
        <v>730</v>
      </c>
      <c r="I733" s="3115" t="s">
        <v>3640</v>
      </c>
      <c r="J733" s="3114">
        <v>136.94999999999999</v>
      </c>
      <c r="K733" s="3118" t="s">
        <v>3463</v>
      </c>
    </row>
    <row r="734" spans="1:11">
      <c r="A734" s="3113">
        <v>731</v>
      </c>
      <c r="B734" s="3115" t="s">
        <v>3639</v>
      </c>
      <c r="C734" s="3114">
        <v>58.34</v>
      </c>
      <c r="D734" s="3113" t="s">
        <v>2911</v>
      </c>
      <c r="H734" s="3118">
        <v>731</v>
      </c>
      <c r="I734" s="3115" t="s">
        <v>3638</v>
      </c>
      <c r="J734" s="3114">
        <v>68.84</v>
      </c>
      <c r="K734" s="3118" t="s">
        <v>3463</v>
      </c>
    </row>
    <row r="735" spans="1:11">
      <c r="A735" s="3113">
        <v>732</v>
      </c>
      <c r="B735" s="3115" t="s">
        <v>3637</v>
      </c>
      <c r="C735" s="3114">
        <v>58.34</v>
      </c>
      <c r="D735" s="3113" t="s">
        <v>2911</v>
      </c>
      <c r="H735" s="3118">
        <v>732</v>
      </c>
      <c r="I735" s="3115" t="s">
        <v>3636</v>
      </c>
      <c r="J735" s="3116">
        <v>88.31</v>
      </c>
      <c r="K735" s="3118" t="s">
        <v>3463</v>
      </c>
    </row>
    <row r="736" spans="1:11">
      <c r="A736" s="3113">
        <v>733</v>
      </c>
      <c r="B736" s="3115" t="s">
        <v>3635</v>
      </c>
      <c r="C736" s="3114">
        <v>58.34</v>
      </c>
      <c r="D736" s="3113" t="s">
        <v>2911</v>
      </c>
      <c r="H736" s="3118">
        <v>733</v>
      </c>
      <c r="I736" s="3115" t="s">
        <v>3634</v>
      </c>
      <c r="J736" s="3116">
        <v>88.31</v>
      </c>
      <c r="K736" s="3118" t="s">
        <v>3463</v>
      </c>
    </row>
    <row r="737" spans="1:11">
      <c r="A737" s="3113">
        <v>734</v>
      </c>
      <c r="B737" s="3115" t="s">
        <v>3633</v>
      </c>
      <c r="C737" s="3114">
        <v>58.34</v>
      </c>
      <c r="D737" s="3113" t="s">
        <v>2911</v>
      </c>
      <c r="H737" s="3118">
        <v>734</v>
      </c>
      <c r="I737" s="3115" t="s">
        <v>3632</v>
      </c>
      <c r="J737" s="3116">
        <v>88.31</v>
      </c>
      <c r="K737" s="3118" t="s">
        <v>3463</v>
      </c>
    </row>
    <row r="738" spans="1:11">
      <c r="A738" s="3113">
        <v>735</v>
      </c>
      <c r="B738" s="3115" t="s">
        <v>3631</v>
      </c>
      <c r="C738" s="3114">
        <v>58.34</v>
      </c>
      <c r="D738" s="3113" t="s">
        <v>2911</v>
      </c>
      <c r="H738" s="3118">
        <v>735</v>
      </c>
      <c r="I738" s="3115" t="s">
        <v>3630</v>
      </c>
      <c r="J738" s="3116">
        <v>88.31</v>
      </c>
      <c r="K738" s="3118" t="s">
        <v>3463</v>
      </c>
    </row>
    <row r="739" spans="1:11">
      <c r="A739" s="3113">
        <v>736</v>
      </c>
      <c r="B739" s="3115" t="s">
        <v>3629</v>
      </c>
      <c r="C739" s="3114">
        <v>58.34</v>
      </c>
      <c r="D739" s="3113" t="s">
        <v>2911</v>
      </c>
      <c r="H739" s="3118">
        <v>736</v>
      </c>
      <c r="I739" s="3115" t="s">
        <v>3628</v>
      </c>
      <c r="J739" s="3116">
        <v>88.31</v>
      </c>
      <c r="K739" s="3118" t="s">
        <v>3463</v>
      </c>
    </row>
    <row r="740" spans="1:11">
      <c r="A740" s="3113">
        <v>737</v>
      </c>
      <c r="B740" s="3115" t="s">
        <v>3627</v>
      </c>
      <c r="C740" s="3114">
        <v>58.34</v>
      </c>
      <c r="D740" s="3113" t="s">
        <v>2911</v>
      </c>
      <c r="H740" s="3118">
        <v>737</v>
      </c>
      <c r="I740" s="3115" t="s">
        <v>3626</v>
      </c>
      <c r="J740" s="3116">
        <v>88.31</v>
      </c>
      <c r="K740" s="3118" t="s">
        <v>3463</v>
      </c>
    </row>
    <row r="741" spans="1:11">
      <c r="A741" s="3113">
        <v>738</v>
      </c>
      <c r="B741" s="3115" t="s">
        <v>3625</v>
      </c>
      <c r="C741" s="3114">
        <v>58.34</v>
      </c>
      <c r="D741" s="3113" t="s">
        <v>2911</v>
      </c>
      <c r="H741" s="3118">
        <v>738</v>
      </c>
      <c r="I741" s="3115" t="s">
        <v>3624</v>
      </c>
      <c r="J741" s="3114">
        <v>88.31</v>
      </c>
      <c r="K741" s="3118" t="s">
        <v>3463</v>
      </c>
    </row>
    <row r="742" spans="1:11">
      <c r="A742" s="3113">
        <v>739</v>
      </c>
      <c r="B742" s="3115" t="s">
        <v>3623</v>
      </c>
      <c r="C742" s="3114">
        <v>58.34</v>
      </c>
      <c r="D742" s="3113" t="s">
        <v>2911</v>
      </c>
      <c r="H742" s="3118">
        <v>739</v>
      </c>
      <c r="I742" s="3115" t="s">
        <v>3622</v>
      </c>
      <c r="J742" s="3114">
        <v>88.31</v>
      </c>
      <c r="K742" s="3118" t="s">
        <v>3463</v>
      </c>
    </row>
    <row r="743" spans="1:11">
      <c r="A743" s="3113">
        <v>740</v>
      </c>
      <c r="B743" s="3115" t="s">
        <v>3621</v>
      </c>
      <c r="C743" s="3114">
        <v>58.34</v>
      </c>
      <c r="D743" s="3113" t="s">
        <v>2911</v>
      </c>
      <c r="H743" s="3118">
        <v>740</v>
      </c>
      <c r="I743" s="3115" t="s">
        <v>3620</v>
      </c>
      <c r="J743" s="3114">
        <v>88.31</v>
      </c>
      <c r="K743" s="3118" t="s">
        <v>3463</v>
      </c>
    </row>
    <row r="744" spans="1:11">
      <c r="A744" s="3113">
        <v>741</v>
      </c>
      <c r="B744" s="3115" t="s">
        <v>3619</v>
      </c>
      <c r="C744" s="3114">
        <v>112.23</v>
      </c>
      <c r="D744" s="3113" t="s">
        <v>2911</v>
      </c>
      <c r="H744" s="3118">
        <v>741</v>
      </c>
      <c r="I744" s="3115" t="s">
        <v>3618</v>
      </c>
      <c r="J744" s="3114">
        <v>88.31</v>
      </c>
      <c r="K744" s="3118" t="s">
        <v>3463</v>
      </c>
    </row>
    <row r="745" spans="1:11">
      <c r="A745" s="3113">
        <v>742</v>
      </c>
      <c r="B745" s="3115" t="s">
        <v>3617</v>
      </c>
      <c r="C745" s="3114">
        <v>112.23</v>
      </c>
      <c r="D745" s="3113" t="s">
        <v>2911</v>
      </c>
      <c r="H745" s="3118">
        <v>742</v>
      </c>
      <c r="I745" s="3115" t="s">
        <v>3616</v>
      </c>
      <c r="J745" s="3114">
        <v>88.31</v>
      </c>
      <c r="K745" s="3118" t="s">
        <v>3463</v>
      </c>
    </row>
    <row r="746" spans="1:11">
      <c r="A746" s="3113">
        <v>743</v>
      </c>
      <c r="B746" s="3115" t="s">
        <v>3615</v>
      </c>
      <c r="C746" s="3114">
        <v>112.23</v>
      </c>
      <c r="D746" s="3113" t="s">
        <v>2911</v>
      </c>
      <c r="H746" s="3118">
        <v>743</v>
      </c>
      <c r="I746" s="3115" t="s">
        <v>3614</v>
      </c>
      <c r="J746" s="3114">
        <v>88.31</v>
      </c>
      <c r="K746" s="3118" t="s">
        <v>3463</v>
      </c>
    </row>
    <row r="747" spans="1:11">
      <c r="A747" s="3113">
        <v>744</v>
      </c>
      <c r="B747" s="3115" t="s">
        <v>3613</v>
      </c>
      <c r="C747" s="3114">
        <v>112.23</v>
      </c>
      <c r="D747" s="3113" t="s">
        <v>2911</v>
      </c>
      <c r="H747" s="3118">
        <v>744</v>
      </c>
      <c r="I747" s="3115" t="s">
        <v>3612</v>
      </c>
      <c r="J747" s="3114">
        <v>88.31</v>
      </c>
      <c r="K747" s="3118" t="s">
        <v>3463</v>
      </c>
    </row>
    <row r="748" spans="1:11">
      <c r="A748" s="3113">
        <v>745</v>
      </c>
      <c r="B748" s="3115" t="s">
        <v>3611</v>
      </c>
      <c r="C748" s="3114">
        <v>112.23</v>
      </c>
      <c r="D748" s="3113" t="s">
        <v>2911</v>
      </c>
      <c r="H748" s="3118">
        <v>745</v>
      </c>
      <c r="I748" s="3115" t="s">
        <v>3610</v>
      </c>
      <c r="J748" s="3114">
        <v>88.31</v>
      </c>
      <c r="K748" s="3118" t="s">
        <v>3463</v>
      </c>
    </row>
    <row r="749" spans="1:11">
      <c r="A749" s="3113">
        <v>746</v>
      </c>
      <c r="B749" s="3115" t="s">
        <v>3609</v>
      </c>
      <c r="C749" s="3114">
        <v>112.23</v>
      </c>
      <c r="D749" s="3113" t="s">
        <v>2911</v>
      </c>
      <c r="H749" s="3118">
        <v>746</v>
      </c>
      <c r="I749" s="3115" t="s">
        <v>3608</v>
      </c>
      <c r="J749" s="3114">
        <v>88.31</v>
      </c>
      <c r="K749" s="3118" t="s">
        <v>3463</v>
      </c>
    </row>
    <row r="750" spans="1:11">
      <c r="A750" s="3113">
        <v>747</v>
      </c>
      <c r="B750" s="3115" t="s">
        <v>3607</v>
      </c>
      <c r="C750" s="3114">
        <v>112.23</v>
      </c>
      <c r="D750" s="3113" t="s">
        <v>2911</v>
      </c>
      <c r="H750" s="3118">
        <v>747</v>
      </c>
      <c r="I750" s="3115" t="s">
        <v>3606</v>
      </c>
      <c r="J750" s="3114">
        <v>88.31</v>
      </c>
      <c r="K750" s="3118" t="s">
        <v>3463</v>
      </c>
    </row>
    <row r="751" spans="1:11">
      <c r="A751" s="3113">
        <v>748</v>
      </c>
      <c r="B751" s="3115" t="s">
        <v>3605</v>
      </c>
      <c r="C751" s="3114">
        <v>112.23</v>
      </c>
      <c r="D751" s="3113" t="s">
        <v>2911</v>
      </c>
      <c r="H751" s="3118">
        <v>748</v>
      </c>
      <c r="I751" s="3115" t="s">
        <v>3604</v>
      </c>
      <c r="J751" s="3114">
        <v>88.31</v>
      </c>
      <c r="K751" s="3118" t="s">
        <v>3463</v>
      </c>
    </row>
    <row r="752" spans="1:11">
      <c r="A752" s="3113">
        <v>749</v>
      </c>
      <c r="B752" s="3115" t="s">
        <v>3603</v>
      </c>
      <c r="C752" s="3114">
        <v>112.23</v>
      </c>
      <c r="D752" s="3113" t="s">
        <v>2911</v>
      </c>
      <c r="H752" s="3118">
        <v>749</v>
      </c>
      <c r="I752" s="3115" t="s">
        <v>3602</v>
      </c>
      <c r="J752" s="3114">
        <v>88.31</v>
      </c>
      <c r="K752" s="3118" t="s">
        <v>3463</v>
      </c>
    </row>
    <row r="753" spans="1:11">
      <c r="A753" s="3113">
        <v>750</v>
      </c>
      <c r="B753" s="3115" t="s">
        <v>3601</v>
      </c>
      <c r="C753" s="3114">
        <v>112.23</v>
      </c>
      <c r="D753" s="3113" t="s">
        <v>2911</v>
      </c>
      <c r="H753" s="3118">
        <v>750</v>
      </c>
      <c r="I753" s="3115" t="s">
        <v>3600</v>
      </c>
      <c r="J753" s="3114">
        <v>88.31</v>
      </c>
      <c r="K753" s="3118" t="s">
        <v>3463</v>
      </c>
    </row>
    <row r="754" spans="1:11">
      <c r="A754" s="3113">
        <v>751</v>
      </c>
      <c r="B754" s="3115" t="s">
        <v>3599</v>
      </c>
      <c r="C754" s="3114">
        <v>112.23</v>
      </c>
      <c r="D754" s="3113" t="s">
        <v>2911</v>
      </c>
      <c r="H754" s="3118">
        <v>751</v>
      </c>
      <c r="I754" s="3115" t="s">
        <v>3598</v>
      </c>
      <c r="J754" s="3114">
        <v>88.31</v>
      </c>
      <c r="K754" s="3118" t="s">
        <v>3463</v>
      </c>
    </row>
    <row r="755" spans="1:11">
      <c r="A755" s="3113">
        <v>752</v>
      </c>
      <c r="B755" s="3115" t="s">
        <v>3597</v>
      </c>
      <c r="C755" s="3114">
        <v>112.23</v>
      </c>
      <c r="D755" s="3113" t="s">
        <v>2911</v>
      </c>
      <c r="H755" s="3118">
        <v>752</v>
      </c>
      <c r="I755" s="3115" t="s">
        <v>3596</v>
      </c>
      <c r="J755" s="3114">
        <v>88.31</v>
      </c>
      <c r="K755" s="3118" t="s">
        <v>3463</v>
      </c>
    </row>
    <row r="756" spans="1:11">
      <c r="A756" s="3113">
        <v>753</v>
      </c>
      <c r="B756" s="3115" t="s">
        <v>3595</v>
      </c>
      <c r="C756" s="3114">
        <v>112.23</v>
      </c>
      <c r="D756" s="3113" t="s">
        <v>2911</v>
      </c>
      <c r="H756" s="3118">
        <v>753</v>
      </c>
      <c r="I756" s="3115" t="s">
        <v>3594</v>
      </c>
      <c r="J756" s="3114">
        <v>88.31</v>
      </c>
      <c r="K756" s="3118" t="s">
        <v>3463</v>
      </c>
    </row>
    <row r="757" spans="1:11">
      <c r="A757" s="3113">
        <v>754</v>
      </c>
      <c r="B757" s="3115" t="s">
        <v>3593</v>
      </c>
      <c r="C757" s="3114">
        <v>112.23</v>
      </c>
      <c r="D757" s="3113" t="s">
        <v>2911</v>
      </c>
      <c r="H757" s="3118">
        <v>754</v>
      </c>
      <c r="I757" s="3115" t="s">
        <v>3592</v>
      </c>
      <c r="J757" s="3114">
        <v>88.31</v>
      </c>
      <c r="K757" s="3118" t="s">
        <v>3463</v>
      </c>
    </row>
    <row r="758" spans="1:11">
      <c r="A758" s="3113">
        <v>755</v>
      </c>
      <c r="B758" s="3115" t="s">
        <v>3591</v>
      </c>
      <c r="C758" s="3114">
        <v>112.23</v>
      </c>
      <c r="D758" s="3113" t="s">
        <v>2911</v>
      </c>
      <c r="H758" s="3118">
        <v>755</v>
      </c>
      <c r="I758" s="3115" t="s">
        <v>3590</v>
      </c>
      <c r="J758" s="3114">
        <v>88.31</v>
      </c>
      <c r="K758" s="3118" t="s">
        <v>3463</v>
      </c>
    </row>
    <row r="759" spans="1:11">
      <c r="A759" s="3113">
        <v>756</v>
      </c>
      <c r="B759" s="3115" t="s">
        <v>3589</v>
      </c>
      <c r="C759" s="3114">
        <v>107.81</v>
      </c>
      <c r="D759" s="3113" t="s">
        <v>2911</v>
      </c>
      <c r="H759" s="3118">
        <v>756</v>
      </c>
      <c r="I759" s="3115" t="s">
        <v>3588</v>
      </c>
      <c r="J759" s="3114">
        <v>88.31</v>
      </c>
      <c r="K759" s="3118" t="s">
        <v>3463</v>
      </c>
    </row>
    <row r="760" spans="1:11">
      <c r="A760" s="3113">
        <v>757</v>
      </c>
      <c r="B760" s="3115" t="s">
        <v>3587</v>
      </c>
      <c r="C760" s="3114">
        <v>127.04</v>
      </c>
      <c r="D760" s="3113" t="s">
        <v>2911</v>
      </c>
      <c r="H760" s="3118">
        <v>757</v>
      </c>
      <c r="I760" s="3115" t="s">
        <v>3586</v>
      </c>
      <c r="J760" s="3114">
        <v>88.31</v>
      </c>
      <c r="K760" s="3118" t="s">
        <v>3463</v>
      </c>
    </row>
    <row r="761" spans="1:11">
      <c r="A761" s="3113">
        <v>758</v>
      </c>
      <c r="B761" s="3115" t="s">
        <v>3585</v>
      </c>
      <c r="C761" s="3114">
        <v>127.04</v>
      </c>
      <c r="D761" s="3113" t="s">
        <v>2911</v>
      </c>
      <c r="H761" s="3118">
        <v>758</v>
      </c>
      <c r="I761" s="3115" t="s">
        <v>3584</v>
      </c>
      <c r="J761" s="3114">
        <v>88.31</v>
      </c>
      <c r="K761" s="3118" t="s">
        <v>3463</v>
      </c>
    </row>
    <row r="762" spans="1:11">
      <c r="A762" s="3113">
        <v>759</v>
      </c>
      <c r="B762" s="3115" t="s">
        <v>3583</v>
      </c>
      <c r="C762" s="3114">
        <v>127.04</v>
      </c>
      <c r="D762" s="3113" t="s">
        <v>2911</v>
      </c>
      <c r="H762" s="3118">
        <v>759</v>
      </c>
      <c r="I762" s="3115" t="s">
        <v>3582</v>
      </c>
      <c r="J762" s="3114">
        <v>88.31</v>
      </c>
      <c r="K762" s="3118" t="s">
        <v>3463</v>
      </c>
    </row>
    <row r="763" spans="1:11">
      <c r="A763" s="3113">
        <v>760</v>
      </c>
      <c r="B763" s="3115" t="s">
        <v>3581</v>
      </c>
      <c r="C763" s="3114">
        <v>127.04</v>
      </c>
      <c r="D763" s="3113" t="s">
        <v>2911</v>
      </c>
      <c r="H763" s="3118">
        <v>760</v>
      </c>
      <c r="I763" s="3115" t="s">
        <v>3580</v>
      </c>
      <c r="J763" s="3114">
        <v>88.31</v>
      </c>
      <c r="K763" s="3118" t="s">
        <v>3463</v>
      </c>
    </row>
    <row r="764" spans="1:11">
      <c r="A764" s="3113">
        <v>761</v>
      </c>
      <c r="B764" s="3115" t="s">
        <v>3579</v>
      </c>
      <c r="C764" s="3114">
        <v>127.04</v>
      </c>
      <c r="D764" s="3113" t="s">
        <v>2911</v>
      </c>
      <c r="H764" s="3118">
        <v>761</v>
      </c>
      <c r="I764" s="3115" t="s">
        <v>3578</v>
      </c>
      <c r="J764" s="3114">
        <v>88.18</v>
      </c>
      <c r="K764" s="3118" t="s">
        <v>3463</v>
      </c>
    </row>
    <row r="765" spans="1:11">
      <c r="A765" s="3113">
        <v>762</v>
      </c>
      <c r="B765" s="3115" t="s">
        <v>3577</v>
      </c>
      <c r="C765" s="3114">
        <v>127.04</v>
      </c>
      <c r="D765" s="3113" t="s">
        <v>2911</v>
      </c>
      <c r="H765" s="3118">
        <v>762</v>
      </c>
      <c r="I765" s="3115" t="s">
        <v>3576</v>
      </c>
      <c r="J765" s="3114">
        <v>88.18</v>
      </c>
      <c r="K765" s="3118" t="s">
        <v>3463</v>
      </c>
    </row>
    <row r="766" spans="1:11">
      <c r="A766" s="3113">
        <v>763</v>
      </c>
      <c r="B766" s="3115" t="s">
        <v>3575</v>
      </c>
      <c r="C766" s="3114">
        <v>127.04</v>
      </c>
      <c r="D766" s="3113" t="s">
        <v>2911</v>
      </c>
      <c r="H766" s="3118">
        <v>763</v>
      </c>
      <c r="I766" s="3115" t="s">
        <v>3574</v>
      </c>
      <c r="J766" s="3114">
        <v>88.18</v>
      </c>
      <c r="K766" s="3118" t="s">
        <v>3463</v>
      </c>
    </row>
    <row r="767" spans="1:11">
      <c r="A767" s="3113">
        <v>764</v>
      </c>
      <c r="B767" s="3115" t="s">
        <v>3573</v>
      </c>
      <c r="C767" s="3114">
        <v>127.04</v>
      </c>
      <c r="D767" s="3113" t="s">
        <v>2911</v>
      </c>
      <c r="H767" s="3118">
        <v>764</v>
      </c>
      <c r="I767" s="3115" t="s">
        <v>3572</v>
      </c>
      <c r="J767" s="3114">
        <v>88.18</v>
      </c>
      <c r="K767" s="3118" t="s">
        <v>3463</v>
      </c>
    </row>
    <row r="768" spans="1:11">
      <c r="A768" s="3113">
        <v>765</v>
      </c>
      <c r="B768" s="3115" t="s">
        <v>3571</v>
      </c>
      <c r="C768" s="3114">
        <v>127.04</v>
      </c>
      <c r="D768" s="3113" t="s">
        <v>2911</v>
      </c>
      <c r="H768" s="3118">
        <v>765</v>
      </c>
      <c r="I768" s="3115" t="s">
        <v>3570</v>
      </c>
      <c r="J768" s="3114">
        <v>88.18</v>
      </c>
      <c r="K768" s="3118" t="s">
        <v>3463</v>
      </c>
    </row>
    <row r="769" spans="1:11">
      <c r="A769" s="3113">
        <v>766</v>
      </c>
      <c r="B769" s="3115" t="s">
        <v>3569</v>
      </c>
      <c r="C769" s="3114">
        <v>127.04</v>
      </c>
      <c r="D769" s="3113" t="s">
        <v>2911</v>
      </c>
      <c r="H769" s="3118">
        <v>766</v>
      </c>
      <c r="I769" s="3115" t="s">
        <v>3568</v>
      </c>
      <c r="J769" s="3114">
        <v>88.18</v>
      </c>
      <c r="K769" s="3118" t="s">
        <v>3463</v>
      </c>
    </row>
    <row r="770" spans="1:11">
      <c r="A770" s="3113">
        <v>767</v>
      </c>
      <c r="B770" s="3115" t="s">
        <v>3567</v>
      </c>
      <c r="C770" s="3114">
        <v>127.04</v>
      </c>
      <c r="D770" s="3113" t="s">
        <v>2911</v>
      </c>
      <c r="H770" s="3118">
        <v>767</v>
      </c>
      <c r="I770" s="3115" t="s">
        <v>3566</v>
      </c>
      <c r="J770" s="3114">
        <v>88.18</v>
      </c>
      <c r="K770" s="3118" t="s">
        <v>3463</v>
      </c>
    </row>
    <row r="771" spans="1:11">
      <c r="A771" s="3113">
        <v>768</v>
      </c>
      <c r="B771" s="3115" t="s">
        <v>3565</v>
      </c>
      <c r="C771" s="3114">
        <v>127.04</v>
      </c>
      <c r="D771" s="3113" t="s">
        <v>2911</v>
      </c>
      <c r="H771" s="3118">
        <v>768</v>
      </c>
      <c r="I771" s="3115" t="s">
        <v>3564</v>
      </c>
      <c r="J771" s="3114">
        <v>88.18</v>
      </c>
      <c r="K771" s="3118" t="s">
        <v>3463</v>
      </c>
    </row>
    <row r="772" spans="1:11">
      <c r="A772" s="3113">
        <v>769</v>
      </c>
      <c r="B772" s="3115" t="s">
        <v>3563</v>
      </c>
      <c r="C772" s="3114">
        <v>127.04</v>
      </c>
      <c r="D772" s="3113" t="s">
        <v>2911</v>
      </c>
      <c r="H772" s="3118">
        <v>769</v>
      </c>
      <c r="I772" s="3115" t="s">
        <v>3562</v>
      </c>
      <c r="J772" s="3114">
        <v>88.18</v>
      </c>
      <c r="K772" s="3118" t="s">
        <v>3463</v>
      </c>
    </row>
    <row r="773" spans="1:11">
      <c r="A773" s="3113">
        <v>770</v>
      </c>
      <c r="B773" s="3115" t="s">
        <v>3561</v>
      </c>
      <c r="C773" s="3114">
        <v>127.04</v>
      </c>
      <c r="D773" s="3113" t="s">
        <v>2911</v>
      </c>
      <c r="H773" s="3118">
        <v>770</v>
      </c>
      <c r="I773" s="3115" t="s">
        <v>3560</v>
      </c>
      <c r="J773" s="3114">
        <v>88.18</v>
      </c>
      <c r="K773" s="3118" t="s">
        <v>3463</v>
      </c>
    </row>
    <row r="774" spans="1:11">
      <c r="A774" s="3113">
        <v>771</v>
      </c>
      <c r="B774" s="3115" t="s">
        <v>3559</v>
      </c>
      <c r="C774" s="3114">
        <v>127.04</v>
      </c>
      <c r="D774" s="3113" t="s">
        <v>2911</v>
      </c>
      <c r="H774" s="3118">
        <v>771</v>
      </c>
      <c r="I774" s="3115" t="s">
        <v>3558</v>
      </c>
      <c r="J774" s="3114">
        <v>88.18</v>
      </c>
      <c r="K774" s="3118" t="s">
        <v>3463</v>
      </c>
    </row>
    <row r="775" spans="1:11">
      <c r="A775" s="3113">
        <v>772</v>
      </c>
      <c r="B775" s="3115" t="s">
        <v>3557</v>
      </c>
      <c r="C775" s="3114">
        <v>127.04</v>
      </c>
      <c r="D775" s="3113" t="s">
        <v>2911</v>
      </c>
      <c r="H775" s="3118">
        <v>772</v>
      </c>
      <c r="I775" s="3115" t="s">
        <v>3556</v>
      </c>
      <c r="J775" s="3114">
        <v>88.18</v>
      </c>
      <c r="K775" s="3118" t="s">
        <v>3463</v>
      </c>
    </row>
    <row r="776" spans="1:11">
      <c r="A776" s="3113">
        <v>773</v>
      </c>
      <c r="B776" s="3115" t="s">
        <v>3555</v>
      </c>
      <c r="C776" s="3114">
        <v>127.04</v>
      </c>
      <c r="D776" s="3113" t="s">
        <v>2911</v>
      </c>
      <c r="H776" s="3118">
        <v>773</v>
      </c>
      <c r="I776" s="3115" t="s">
        <v>3554</v>
      </c>
      <c r="J776" s="3114">
        <v>88.18</v>
      </c>
      <c r="K776" s="3118" t="s">
        <v>3463</v>
      </c>
    </row>
    <row r="777" spans="1:11">
      <c r="A777" s="3113">
        <v>774</v>
      </c>
      <c r="B777" s="3115" t="s">
        <v>3553</v>
      </c>
      <c r="C777" s="3114">
        <v>127.04</v>
      </c>
      <c r="D777" s="3113" t="s">
        <v>2911</v>
      </c>
      <c r="H777" s="3118">
        <v>774</v>
      </c>
      <c r="I777" s="3115" t="s">
        <v>3552</v>
      </c>
      <c r="J777" s="3114">
        <v>88.18</v>
      </c>
      <c r="K777" s="3118" t="s">
        <v>3463</v>
      </c>
    </row>
    <row r="778" spans="1:11">
      <c r="A778" s="3113">
        <v>775</v>
      </c>
      <c r="B778" s="3115" t="s">
        <v>3551</v>
      </c>
      <c r="C778" s="3114">
        <v>127.04</v>
      </c>
      <c r="D778" s="3113" t="s">
        <v>2911</v>
      </c>
      <c r="H778" s="3118">
        <v>775</v>
      </c>
      <c r="I778" s="3115" t="s">
        <v>3550</v>
      </c>
      <c r="J778" s="3114">
        <v>88.18</v>
      </c>
      <c r="K778" s="3118" t="s">
        <v>3463</v>
      </c>
    </row>
    <row r="779" spans="1:11">
      <c r="A779" s="3113">
        <v>776</v>
      </c>
      <c r="B779" s="3115" t="s">
        <v>3549</v>
      </c>
      <c r="C779" s="3114">
        <v>127.04</v>
      </c>
      <c r="D779" s="3113" t="s">
        <v>2911</v>
      </c>
      <c r="H779" s="3118">
        <v>776</v>
      </c>
      <c r="I779" s="3115" t="s">
        <v>3548</v>
      </c>
      <c r="J779" s="3114">
        <v>88.18</v>
      </c>
      <c r="K779" s="3118" t="s">
        <v>3463</v>
      </c>
    </row>
    <row r="780" spans="1:11">
      <c r="A780" s="3113">
        <v>777</v>
      </c>
      <c r="B780" s="3115" t="s">
        <v>3547</v>
      </c>
      <c r="C780" s="3114">
        <v>127.04</v>
      </c>
      <c r="D780" s="3113" t="s">
        <v>2911</v>
      </c>
      <c r="H780" s="3118">
        <v>777</v>
      </c>
      <c r="I780" s="3115" t="s">
        <v>3546</v>
      </c>
      <c r="J780" s="3114">
        <v>88.18</v>
      </c>
      <c r="K780" s="3118" t="s">
        <v>3463</v>
      </c>
    </row>
    <row r="781" spans="1:11">
      <c r="A781" s="3113">
        <v>778</v>
      </c>
      <c r="B781" s="3115" t="s">
        <v>3545</v>
      </c>
      <c r="C781" s="3114">
        <v>127.04</v>
      </c>
      <c r="D781" s="3113" t="s">
        <v>2911</v>
      </c>
      <c r="H781" s="3118">
        <v>778</v>
      </c>
      <c r="I781" s="3115" t="s">
        <v>3544</v>
      </c>
      <c r="J781" s="3114">
        <v>88.18</v>
      </c>
      <c r="K781" s="3118" t="s">
        <v>3463</v>
      </c>
    </row>
    <row r="782" spans="1:11">
      <c r="A782" s="3113">
        <v>779</v>
      </c>
      <c r="B782" s="3115" t="s">
        <v>3543</v>
      </c>
      <c r="C782" s="3114">
        <v>127.04</v>
      </c>
      <c r="D782" s="3113" t="s">
        <v>2911</v>
      </c>
      <c r="H782" s="3118">
        <v>779</v>
      </c>
      <c r="I782" s="3115" t="s">
        <v>3542</v>
      </c>
      <c r="J782" s="3114">
        <v>88.18</v>
      </c>
      <c r="K782" s="3118" t="s">
        <v>3463</v>
      </c>
    </row>
    <row r="783" spans="1:11">
      <c r="A783" s="3113">
        <v>780</v>
      </c>
      <c r="B783" s="3115" t="s">
        <v>3541</v>
      </c>
      <c r="C783" s="3114">
        <v>127.04</v>
      </c>
      <c r="D783" s="3113" t="s">
        <v>2911</v>
      </c>
      <c r="H783" s="3118">
        <v>780</v>
      </c>
      <c r="I783" s="3115" t="s">
        <v>3540</v>
      </c>
      <c r="J783" s="3114">
        <v>88.18</v>
      </c>
      <c r="K783" s="3118" t="s">
        <v>3463</v>
      </c>
    </row>
    <row r="784" spans="1:11">
      <c r="A784" s="3113">
        <v>781</v>
      </c>
      <c r="B784" s="3115" t="s">
        <v>3539</v>
      </c>
      <c r="C784" s="3114">
        <v>127.04</v>
      </c>
      <c r="D784" s="3113" t="s">
        <v>2911</v>
      </c>
      <c r="H784" s="3118">
        <v>781</v>
      </c>
      <c r="I784" s="3115" t="s">
        <v>3538</v>
      </c>
      <c r="J784" s="3114">
        <v>88.18</v>
      </c>
      <c r="K784" s="3118" t="s">
        <v>3463</v>
      </c>
    </row>
    <row r="785" spans="1:11">
      <c r="A785" s="3113">
        <v>782</v>
      </c>
      <c r="B785" s="3115" t="s">
        <v>3537</v>
      </c>
      <c r="C785" s="3114">
        <v>127.04</v>
      </c>
      <c r="D785" s="3113" t="s">
        <v>2911</v>
      </c>
      <c r="H785" s="3118">
        <v>782</v>
      </c>
      <c r="I785" s="3115" t="s">
        <v>3536</v>
      </c>
      <c r="J785" s="3114">
        <v>88.18</v>
      </c>
      <c r="K785" s="3118" t="s">
        <v>3463</v>
      </c>
    </row>
    <row r="786" spans="1:11">
      <c r="A786" s="3113">
        <v>783</v>
      </c>
      <c r="B786" s="3115" t="s">
        <v>3535</v>
      </c>
      <c r="C786" s="3114">
        <v>127.04</v>
      </c>
      <c r="D786" s="3113" t="s">
        <v>2911</v>
      </c>
      <c r="H786" s="3118">
        <v>783</v>
      </c>
      <c r="I786" s="3115" t="s">
        <v>3534</v>
      </c>
      <c r="J786" s="3114">
        <v>88.18</v>
      </c>
      <c r="K786" s="3118" t="s">
        <v>3463</v>
      </c>
    </row>
    <row r="787" spans="1:11">
      <c r="A787" s="3113">
        <v>784</v>
      </c>
      <c r="B787" s="3115" t="s">
        <v>3533</v>
      </c>
      <c r="C787" s="3114">
        <v>127.04</v>
      </c>
      <c r="D787" s="3113" t="s">
        <v>2911</v>
      </c>
      <c r="H787" s="3118">
        <v>784</v>
      </c>
      <c r="I787" s="3115" t="s">
        <v>3532</v>
      </c>
      <c r="J787" s="3114">
        <v>88.18</v>
      </c>
      <c r="K787" s="3118" t="s">
        <v>3463</v>
      </c>
    </row>
    <row r="788" spans="1:11">
      <c r="A788" s="3113">
        <v>785</v>
      </c>
      <c r="B788" s="3115" t="s">
        <v>3531</v>
      </c>
      <c r="C788" s="3114">
        <v>104.77</v>
      </c>
      <c r="D788" s="3113" t="s">
        <v>2911</v>
      </c>
      <c r="H788" s="3118">
        <v>785</v>
      </c>
      <c r="I788" s="3115" t="s">
        <v>3530</v>
      </c>
      <c r="J788" s="3114">
        <v>88.18</v>
      </c>
      <c r="K788" s="3118" t="s">
        <v>3463</v>
      </c>
    </row>
    <row r="789" spans="1:11">
      <c r="A789" s="3113">
        <v>786</v>
      </c>
      <c r="B789" s="3115" t="s">
        <v>3529</v>
      </c>
      <c r="C789" s="3114">
        <v>87.87</v>
      </c>
      <c r="D789" s="3113" t="s">
        <v>2911</v>
      </c>
      <c r="H789" s="3118">
        <v>786</v>
      </c>
      <c r="I789" s="3115" t="s">
        <v>3528</v>
      </c>
      <c r="J789" s="3114">
        <v>88.18</v>
      </c>
      <c r="K789" s="3118" t="s">
        <v>3463</v>
      </c>
    </row>
    <row r="790" spans="1:11">
      <c r="A790" s="3113">
        <v>787</v>
      </c>
      <c r="B790" s="3115" t="s">
        <v>3527</v>
      </c>
      <c r="C790" s="3114">
        <v>87.87</v>
      </c>
      <c r="D790" s="3113" t="s">
        <v>2911</v>
      </c>
      <c r="H790" s="3118">
        <v>787</v>
      </c>
      <c r="I790" s="3115" t="s">
        <v>3526</v>
      </c>
      <c r="J790" s="3114">
        <v>88.18</v>
      </c>
      <c r="K790" s="3118" t="s">
        <v>3463</v>
      </c>
    </row>
    <row r="791" spans="1:11">
      <c r="A791" s="3113">
        <v>788</v>
      </c>
      <c r="B791" s="3115" t="s">
        <v>3525</v>
      </c>
      <c r="C791" s="3114">
        <v>87.87</v>
      </c>
      <c r="D791" s="3113" t="s">
        <v>2911</v>
      </c>
      <c r="H791" s="3118">
        <v>788</v>
      </c>
      <c r="I791" s="3115" t="s">
        <v>3524</v>
      </c>
      <c r="J791" s="3114">
        <v>88.18</v>
      </c>
      <c r="K791" s="3118" t="s">
        <v>3463</v>
      </c>
    </row>
    <row r="792" spans="1:11">
      <c r="A792" s="3113">
        <v>789</v>
      </c>
      <c r="B792" s="3115" t="s">
        <v>3523</v>
      </c>
      <c r="C792" s="3114">
        <v>87.87</v>
      </c>
      <c r="D792" s="3113" t="s">
        <v>2911</v>
      </c>
      <c r="H792" s="3118">
        <v>789</v>
      </c>
      <c r="I792" s="3115" t="s">
        <v>3522</v>
      </c>
      <c r="J792" s="3114">
        <v>88.18</v>
      </c>
      <c r="K792" s="3118" t="s">
        <v>3463</v>
      </c>
    </row>
    <row r="793" spans="1:11">
      <c r="A793" s="3113">
        <v>790</v>
      </c>
      <c r="B793" s="3115" t="s">
        <v>3521</v>
      </c>
      <c r="C793" s="3114">
        <v>87.87</v>
      </c>
      <c r="D793" s="3113" t="s">
        <v>2911</v>
      </c>
      <c r="H793" s="3118">
        <v>790</v>
      </c>
      <c r="I793" s="3115" t="s">
        <v>3520</v>
      </c>
      <c r="J793" s="3114">
        <v>138.16999999999999</v>
      </c>
      <c r="K793" s="3118" t="s">
        <v>3463</v>
      </c>
    </row>
    <row r="794" spans="1:11">
      <c r="A794" s="3113">
        <v>791</v>
      </c>
      <c r="B794" s="3115" t="s">
        <v>3519</v>
      </c>
      <c r="C794" s="3114">
        <v>87.87</v>
      </c>
      <c r="D794" s="3113" t="s">
        <v>2911</v>
      </c>
      <c r="H794" s="3118">
        <v>791</v>
      </c>
      <c r="I794" s="3115" t="s">
        <v>3518</v>
      </c>
      <c r="J794" s="3114">
        <v>138.16999999999999</v>
      </c>
      <c r="K794" s="3118" t="s">
        <v>3463</v>
      </c>
    </row>
    <row r="795" spans="1:11">
      <c r="A795" s="3113">
        <v>792</v>
      </c>
      <c r="B795" s="3115" t="s">
        <v>3517</v>
      </c>
      <c r="C795" s="3114">
        <v>87.87</v>
      </c>
      <c r="D795" s="3113" t="s">
        <v>2911</v>
      </c>
      <c r="H795" s="3118">
        <v>792</v>
      </c>
      <c r="I795" s="3115" t="s">
        <v>3516</v>
      </c>
      <c r="J795" s="3114">
        <v>138.16999999999999</v>
      </c>
      <c r="K795" s="3118" t="s">
        <v>3463</v>
      </c>
    </row>
    <row r="796" spans="1:11">
      <c r="A796" s="3113">
        <v>793</v>
      </c>
      <c r="B796" s="3115" t="s">
        <v>3515</v>
      </c>
      <c r="C796" s="3114">
        <v>87.87</v>
      </c>
      <c r="D796" s="3113" t="s">
        <v>2911</v>
      </c>
      <c r="H796" s="3118">
        <v>793</v>
      </c>
      <c r="I796" s="3115" t="s">
        <v>3514</v>
      </c>
      <c r="J796" s="3114">
        <v>138.16999999999999</v>
      </c>
      <c r="K796" s="3118" t="s">
        <v>3463</v>
      </c>
    </row>
    <row r="797" spans="1:11">
      <c r="A797" s="3113">
        <v>794</v>
      </c>
      <c r="B797" s="3115" t="s">
        <v>3513</v>
      </c>
      <c r="C797" s="3114">
        <v>87.87</v>
      </c>
      <c r="D797" s="3113" t="s">
        <v>2911</v>
      </c>
      <c r="H797" s="3118">
        <v>794</v>
      </c>
      <c r="I797" s="3115" t="s">
        <v>3512</v>
      </c>
      <c r="J797" s="3114">
        <v>138.16999999999999</v>
      </c>
      <c r="K797" s="3118" t="s">
        <v>3463</v>
      </c>
    </row>
    <row r="798" spans="1:11">
      <c r="A798" s="3113">
        <v>795</v>
      </c>
      <c r="B798" s="3115" t="s">
        <v>3511</v>
      </c>
      <c r="C798" s="3114">
        <v>87.87</v>
      </c>
      <c r="D798" s="3113" t="s">
        <v>2911</v>
      </c>
      <c r="H798" s="3118">
        <v>795</v>
      </c>
      <c r="I798" s="3115" t="s">
        <v>3510</v>
      </c>
      <c r="J798" s="3114">
        <v>138.16999999999999</v>
      </c>
      <c r="K798" s="3118" t="s">
        <v>3463</v>
      </c>
    </row>
    <row r="799" spans="1:11">
      <c r="A799" s="3113">
        <v>796</v>
      </c>
      <c r="B799" s="3115" t="s">
        <v>3509</v>
      </c>
      <c r="C799" s="3114">
        <v>87.87</v>
      </c>
      <c r="D799" s="3113" t="s">
        <v>2911</v>
      </c>
      <c r="H799" s="3118">
        <v>796</v>
      </c>
      <c r="I799" s="3115" t="s">
        <v>3508</v>
      </c>
      <c r="J799" s="3114">
        <v>138.16999999999999</v>
      </c>
      <c r="K799" s="3118" t="s">
        <v>3463</v>
      </c>
    </row>
    <row r="800" spans="1:11">
      <c r="A800" s="3113">
        <v>797</v>
      </c>
      <c r="B800" s="3115" t="s">
        <v>3507</v>
      </c>
      <c r="C800" s="3114">
        <v>87.87</v>
      </c>
      <c r="D800" s="3113" t="s">
        <v>2911</v>
      </c>
      <c r="H800" s="3118">
        <v>797</v>
      </c>
      <c r="I800" s="3115" t="s">
        <v>3506</v>
      </c>
      <c r="J800" s="3114">
        <v>138.16999999999999</v>
      </c>
      <c r="K800" s="3118" t="s">
        <v>3463</v>
      </c>
    </row>
    <row r="801" spans="1:11">
      <c r="A801" s="3113">
        <v>798</v>
      </c>
      <c r="B801" s="3115" t="s">
        <v>3505</v>
      </c>
      <c r="C801" s="3114">
        <v>87.87</v>
      </c>
      <c r="D801" s="3113" t="s">
        <v>2911</v>
      </c>
      <c r="H801" s="3118">
        <v>798</v>
      </c>
      <c r="I801" s="3115" t="s">
        <v>3504</v>
      </c>
      <c r="J801" s="3114">
        <v>138.16999999999999</v>
      </c>
      <c r="K801" s="3118" t="s">
        <v>3463</v>
      </c>
    </row>
    <row r="802" spans="1:11">
      <c r="A802" s="3113">
        <v>799</v>
      </c>
      <c r="B802" s="3115" t="s">
        <v>3503</v>
      </c>
      <c r="C802" s="3114">
        <v>87.87</v>
      </c>
      <c r="D802" s="3113" t="s">
        <v>2911</v>
      </c>
      <c r="H802" s="3118">
        <v>799</v>
      </c>
      <c r="I802" s="3115" t="s">
        <v>3502</v>
      </c>
      <c r="J802" s="3114">
        <v>138.16999999999999</v>
      </c>
      <c r="K802" s="3118" t="s">
        <v>3463</v>
      </c>
    </row>
    <row r="803" spans="1:11">
      <c r="A803" s="3113">
        <v>800</v>
      </c>
      <c r="B803" s="3115" t="s">
        <v>3501</v>
      </c>
      <c r="C803" s="3114">
        <v>87.87</v>
      </c>
      <c r="D803" s="3113" t="s">
        <v>2911</v>
      </c>
      <c r="H803" s="3118">
        <v>800</v>
      </c>
      <c r="I803" s="3115" t="s">
        <v>3500</v>
      </c>
      <c r="J803" s="3114">
        <v>138.16999999999999</v>
      </c>
      <c r="K803" s="3118" t="s">
        <v>3463</v>
      </c>
    </row>
    <row r="804" spans="1:11">
      <c r="A804" s="3113">
        <v>801</v>
      </c>
      <c r="B804" s="3115" t="s">
        <v>3499</v>
      </c>
      <c r="C804" s="3114">
        <v>87.87</v>
      </c>
      <c r="D804" s="3113" t="s">
        <v>2911</v>
      </c>
      <c r="H804" s="3118">
        <v>801</v>
      </c>
      <c r="I804" s="3115" t="s">
        <v>3498</v>
      </c>
      <c r="J804" s="3114">
        <v>138.16999999999999</v>
      </c>
      <c r="K804" s="3118" t="s">
        <v>3463</v>
      </c>
    </row>
    <row r="805" spans="1:11">
      <c r="A805" s="3113">
        <v>802</v>
      </c>
      <c r="B805" s="3115" t="s">
        <v>3497</v>
      </c>
      <c r="C805" s="3114">
        <v>87.87</v>
      </c>
      <c r="D805" s="3113" t="s">
        <v>2911</v>
      </c>
      <c r="H805" s="3118">
        <v>802</v>
      </c>
      <c r="I805" s="3115" t="s">
        <v>3496</v>
      </c>
      <c r="J805" s="3114">
        <v>138.16999999999999</v>
      </c>
      <c r="K805" s="3118" t="s">
        <v>3463</v>
      </c>
    </row>
    <row r="806" spans="1:11">
      <c r="A806" s="3113">
        <v>803</v>
      </c>
      <c r="B806" s="3115" t="s">
        <v>3495</v>
      </c>
      <c r="C806" s="3114">
        <v>87.87</v>
      </c>
      <c r="D806" s="3113" t="s">
        <v>2911</v>
      </c>
      <c r="H806" s="3118">
        <v>803</v>
      </c>
      <c r="I806" s="3115" t="s">
        <v>3494</v>
      </c>
      <c r="J806" s="3114">
        <v>138.16999999999999</v>
      </c>
      <c r="K806" s="3118" t="s">
        <v>3463</v>
      </c>
    </row>
    <row r="807" spans="1:11">
      <c r="A807" s="3113">
        <v>804</v>
      </c>
      <c r="B807" s="3115" t="s">
        <v>3493</v>
      </c>
      <c r="C807" s="3114">
        <v>87.87</v>
      </c>
      <c r="D807" s="3113" t="s">
        <v>2911</v>
      </c>
      <c r="H807" s="3118">
        <v>804</v>
      </c>
      <c r="I807" s="3115" t="s">
        <v>3492</v>
      </c>
      <c r="J807" s="3114">
        <v>138.16999999999999</v>
      </c>
      <c r="K807" s="3118" t="s">
        <v>3463</v>
      </c>
    </row>
    <row r="808" spans="1:11">
      <c r="A808" s="3113">
        <v>805</v>
      </c>
      <c r="B808" s="3115" t="s">
        <v>3491</v>
      </c>
      <c r="C808" s="3114">
        <v>87.87</v>
      </c>
      <c r="D808" s="3113" t="s">
        <v>2911</v>
      </c>
      <c r="H808" s="3118">
        <v>805</v>
      </c>
      <c r="I808" s="3115" t="s">
        <v>3490</v>
      </c>
      <c r="J808" s="3114">
        <v>138.16999999999999</v>
      </c>
      <c r="K808" s="3118" t="s">
        <v>3463</v>
      </c>
    </row>
    <row r="809" spans="1:11">
      <c r="A809" s="3113">
        <v>806</v>
      </c>
      <c r="B809" s="3115" t="s">
        <v>3489</v>
      </c>
      <c r="C809" s="3114">
        <v>87.87</v>
      </c>
      <c r="D809" s="3113" t="s">
        <v>2911</v>
      </c>
      <c r="H809" s="3118">
        <v>806</v>
      </c>
      <c r="I809" s="3115" t="s">
        <v>3488</v>
      </c>
      <c r="J809" s="3114">
        <v>138.16999999999999</v>
      </c>
      <c r="K809" s="3118" t="s">
        <v>3463</v>
      </c>
    </row>
    <row r="810" spans="1:11">
      <c r="A810" s="3113">
        <v>807</v>
      </c>
      <c r="B810" s="3115" t="s">
        <v>3487</v>
      </c>
      <c r="C810" s="3114">
        <v>87.87</v>
      </c>
      <c r="D810" s="3113" t="s">
        <v>2911</v>
      </c>
      <c r="H810" s="3118">
        <v>807</v>
      </c>
      <c r="I810" s="3115" t="s">
        <v>3486</v>
      </c>
      <c r="J810" s="3114">
        <v>138.16999999999999</v>
      </c>
      <c r="K810" s="3118" t="s">
        <v>3463</v>
      </c>
    </row>
    <row r="811" spans="1:11">
      <c r="A811" s="3113">
        <v>808</v>
      </c>
      <c r="B811" s="3115" t="s">
        <v>3485</v>
      </c>
      <c r="C811" s="3114">
        <v>87.87</v>
      </c>
      <c r="D811" s="3113" t="s">
        <v>2911</v>
      </c>
      <c r="H811" s="3118">
        <v>808</v>
      </c>
      <c r="I811" s="3115" t="s">
        <v>3484</v>
      </c>
      <c r="J811" s="3114">
        <v>138.16999999999999</v>
      </c>
      <c r="K811" s="3118" t="s">
        <v>3463</v>
      </c>
    </row>
    <row r="812" spans="1:11">
      <c r="A812" s="3113">
        <v>809</v>
      </c>
      <c r="B812" s="3115" t="s">
        <v>3483</v>
      </c>
      <c r="C812" s="3114">
        <v>87.87</v>
      </c>
      <c r="D812" s="3113" t="s">
        <v>2911</v>
      </c>
      <c r="H812" s="3118">
        <v>809</v>
      </c>
      <c r="I812" s="3115" t="s">
        <v>3482</v>
      </c>
      <c r="J812" s="3114">
        <v>138.16999999999999</v>
      </c>
      <c r="K812" s="3118" t="s">
        <v>3463</v>
      </c>
    </row>
    <row r="813" spans="1:11">
      <c r="A813" s="3113">
        <v>810</v>
      </c>
      <c r="B813" s="3115" t="s">
        <v>3481</v>
      </c>
      <c r="C813" s="3114">
        <v>87.87</v>
      </c>
      <c r="D813" s="3113" t="s">
        <v>2911</v>
      </c>
      <c r="H813" s="3118">
        <v>810</v>
      </c>
      <c r="I813" s="3115" t="s">
        <v>3480</v>
      </c>
      <c r="J813" s="3114">
        <v>138.16999999999999</v>
      </c>
      <c r="K813" s="3118" t="s">
        <v>3463</v>
      </c>
    </row>
    <row r="814" spans="1:11">
      <c r="A814" s="3113">
        <v>811</v>
      </c>
      <c r="B814" s="3115" t="s">
        <v>3479</v>
      </c>
      <c r="C814" s="3114">
        <v>87.87</v>
      </c>
      <c r="D814" s="3113" t="s">
        <v>2911</v>
      </c>
      <c r="H814" s="3118">
        <v>811</v>
      </c>
      <c r="I814" s="3115" t="s">
        <v>3478</v>
      </c>
      <c r="J814" s="3114">
        <v>138.16999999999999</v>
      </c>
      <c r="K814" s="3118" t="s">
        <v>3463</v>
      </c>
    </row>
    <row r="815" spans="1:11">
      <c r="A815" s="3113">
        <v>812</v>
      </c>
      <c r="B815" s="3115" t="s">
        <v>3477</v>
      </c>
      <c r="C815" s="3114">
        <v>87.87</v>
      </c>
      <c r="D815" s="3113" t="s">
        <v>2911</v>
      </c>
      <c r="H815" s="3118">
        <v>812</v>
      </c>
      <c r="I815" s="3115" t="s">
        <v>3476</v>
      </c>
      <c r="J815" s="3114">
        <v>138.16999999999999</v>
      </c>
      <c r="K815" s="3118" t="s">
        <v>3463</v>
      </c>
    </row>
    <row r="816" spans="1:11">
      <c r="A816" s="3113">
        <v>813</v>
      </c>
      <c r="B816" s="3115" t="s">
        <v>3475</v>
      </c>
      <c r="C816" s="3114">
        <v>87.87</v>
      </c>
      <c r="D816" s="3113" t="s">
        <v>2911</v>
      </c>
      <c r="H816" s="3118">
        <v>813</v>
      </c>
      <c r="I816" s="3115" t="s">
        <v>3474</v>
      </c>
      <c r="J816" s="3114">
        <v>138.16999999999999</v>
      </c>
      <c r="K816" s="3118" t="s">
        <v>3463</v>
      </c>
    </row>
    <row r="817" spans="1:11">
      <c r="A817" s="3113">
        <v>814</v>
      </c>
      <c r="B817" s="3115" t="s">
        <v>3473</v>
      </c>
      <c r="C817" s="3114">
        <v>88.11</v>
      </c>
      <c r="D817" s="3113" t="s">
        <v>2911</v>
      </c>
      <c r="H817" s="3118">
        <v>814</v>
      </c>
      <c r="I817" s="3115" t="s">
        <v>3472</v>
      </c>
      <c r="J817" s="3114">
        <v>138.16999999999999</v>
      </c>
      <c r="K817" s="3118" t="s">
        <v>3463</v>
      </c>
    </row>
    <row r="818" spans="1:11">
      <c r="A818" s="3113">
        <v>815</v>
      </c>
      <c r="B818" s="3115" t="s">
        <v>3471</v>
      </c>
      <c r="C818" s="3114">
        <v>107.91</v>
      </c>
      <c r="D818" s="3113" t="s">
        <v>2911</v>
      </c>
      <c r="H818" s="3118">
        <v>815</v>
      </c>
      <c r="I818" s="3115" t="s">
        <v>3470</v>
      </c>
      <c r="J818" s="3114">
        <v>138.16999999999999</v>
      </c>
      <c r="K818" s="3118" t="s">
        <v>3463</v>
      </c>
    </row>
    <row r="819" spans="1:11">
      <c r="A819" s="3113">
        <v>816</v>
      </c>
      <c r="B819" s="3115" t="s">
        <v>3469</v>
      </c>
      <c r="C819" s="3114">
        <v>107.91</v>
      </c>
      <c r="D819" s="3113" t="s">
        <v>2911</v>
      </c>
      <c r="H819" s="3118">
        <v>816</v>
      </c>
      <c r="I819" s="3115" t="s">
        <v>3468</v>
      </c>
      <c r="J819" s="3114">
        <v>138.16999999999999</v>
      </c>
      <c r="K819" s="3118" t="s">
        <v>3463</v>
      </c>
    </row>
    <row r="820" spans="1:11">
      <c r="A820" s="3113">
        <v>817</v>
      </c>
      <c r="B820" s="3115" t="s">
        <v>3467</v>
      </c>
      <c r="C820" s="3114">
        <v>107.91</v>
      </c>
      <c r="D820" s="3113" t="s">
        <v>2911</v>
      </c>
      <c r="H820" s="3118">
        <v>817</v>
      </c>
      <c r="I820" s="3115" t="s">
        <v>3466</v>
      </c>
      <c r="J820" s="3114">
        <v>138.16999999999999</v>
      </c>
      <c r="K820" s="3118" t="s">
        <v>3463</v>
      </c>
    </row>
    <row r="821" spans="1:11">
      <c r="A821" s="3113">
        <v>818</v>
      </c>
      <c r="B821" s="3115" t="s">
        <v>3465</v>
      </c>
      <c r="C821" s="3114">
        <v>107.91</v>
      </c>
      <c r="D821" s="3113" t="s">
        <v>2911</v>
      </c>
      <c r="H821" s="3118">
        <v>818</v>
      </c>
      <c r="I821" s="3115" t="s">
        <v>3464</v>
      </c>
      <c r="J821" s="3114">
        <v>123.9</v>
      </c>
      <c r="K821" s="3118" t="s">
        <v>3463</v>
      </c>
    </row>
    <row r="822" spans="1:11">
      <c r="A822" s="3113">
        <v>819</v>
      </c>
      <c r="B822" s="3115" t="s">
        <v>3462</v>
      </c>
      <c r="C822" s="3114">
        <v>107.91</v>
      </c>
      <c r="D822" s="3113" t="s">
        <v>2911</v>
      </c>
      <c r="H822" s="3118"/>
      <c r="I822" s="3118" t="s">
        <v>3461</v>
      </c>
      <c r="J822" s="3118" t="s">
        <v>3460</v>
      </c>
      <c r="K822" s="3118" t="s">
        <v>3459</v>
      </c>
    </row>
    <row r="823" spans="1:11">
      <c r="A823" s="3113">
        <v>820</v>
      </c>
      <c r="B823" s="3115" t="s">
        <v>3458</v>
      </c>
      <c r="C823" s="3114">
        <v>107.91</v>
      </c>
      <c r="D823" s="3113" t="s">
        <v>2911</v>
      </c>
      <c r="H823" s="3118" t="s">
        <v>189</v>
      </c>
      <c r="I823" s="3118">
        <v>16500</v>
      </c>
      <c r="J823" s="3118">
        <f>SUM(J4:J821)</f>
        <v>88039.929999999338</v>
      </c>
      <c r="K823" s="3117">
        <f>I823*J823</f>
        <v>1452658844.999989</v>
      </c>
    </row>
    <row r="824" spans="1:11">
      <c r="A824" s="3113">
        <v>821</v>
      </c>
      <c r="B824" s="3115" t="s">
        <v>3457</v>
      </c>
      <c r="C824" s="3114">
        <v>107.91</v>
      </c>
      <c r="D824" s="3113" t="s">
        <v>2911</v>
      </c>
      <c r="H824" s="3109"/>
      <c r="I824" s="3109"/>
      <c r="J824" s="3109"/>
      <c r="K824" s="3109"/>
    </row>
    <row r="825" spans="1:11">
      <c r="A825" s="3113">
        <v>822</v>
      </c>
      <c r="B825" s="3115" t="s">
        <v>3456</v>
      </c>
      <c r="C825" s="3114">
        <v>107.91</v>
      </c>
      <c r="D825" s="3113" t="s">
        <v>2911</v>
      </c>
      <c r="H825" s="3109"/>
      <c r="I825" s="3109"/>
      <c r="J825" s="3109"/>
      <c r="K825" s="3109"/>
    </row>
    <row r="826" spans="1:11">
      <c r="A826" s="3113">
        <v>823</v>
      </c>
      <c r="B826" s="3115" t="s">
        <v>3455</v>
      </c>
      <c r="C826" s="3114">
        <v>107.91</v>
      </c>
      <c r="D826" s="3113" t="s">
        <v>2911</v>
      </c>
    </row>
    <row r="827" spans="1:11">
      <c r="A827" s="3113">
        <v>824</v>
      </c>
      <c r="B827" s="3115" t="s">
        <v>3454</v>
      </c>
      <c r="C827" s="3114">
        <v>107.91</v>
      </c>
      <c r="D827" s="3113" t="s">
        <v>2911</v>
      </c>
    </row>
    <row r="828" spans="1:11">
      <c r="A828" s="3113">
        <v>825</v>
      </c>
      <c r="B828" s="3115" t="s">
        <v>3453</v>
      </c>
      <c r="C828" s="3114">
        <v>107.91</v>
      </c>
      <c r="D828" s="3113" t="s">
        <v>2911</v>
      </c>
    </row>
    <row r="829" spans="1:11">
      <c r="A829" s="3113">
        <v>826</v>
      </c>
      <c r="B829" s="3115" t="s">
        <v>3452</v>
      </c>
      <c r="C829" s="3114">
        <v>107.91</v>
      </c>
      <c r="D829" s="3113" t="s">
        <v>2911</v>
      </c>
    </row>
    <row r="830" spans="1:11">
      <c r="A830" s="3113">
        <v>827</v>
      </c>
      <c r="B830" s="3115" t="s">
        <v>3451</v>
      </c>
      <c r="C830" s="3114">
        <v>107.91</v>
      </c>
      <c r="D830" s="3113" t="s">
        <v>2911</v>
      </c>
    </row>
    <row r="831" spans="1:11">
      <c r="A831" s="3113">
        <v>828</v>
      </c>
      <c r="B831" s="3115" t="s">
        <v>3450</v>
      </c>
      <c r="C831" s="3114">
        <v>107.91</v>
      </c>
      <c r="D831" s="3113" t="s">
        <v>2911</v>
      </c>
    </row>
    <row r="832" spans="1:11">
      <c r="A832" s="3113">
        <v>829</v>
      </c>
      <c r="B832" s="3115" t="s">
        <v>3449</v>
      </c>
      <c r="C832" s="3114">
        <v>107.91</v>
      </c>
      <c r="D832" s="3113" t="s">
        <v>2911</v>
      </c>
    </row>
    <row r="833" spans="1:4">
      <c r="A833" s="3113">
        <v>830</v>
      </c>
      <c r="B833" s="3115" t="s">
        <v>3448</v>
      </c>
      <c r="C833" s="3114">
        <v>107.91</v>
      </c>
      <c r="D833" s="3113" t="s">
        <v>2911</v>
      </c>
    </row>
    <row r="834" spans="1:4">
      <c r="A834" s="3113">
        <v>831</v>
      </c>
      <c r="B834" s="3115" t="s">
        <v>3447</v>
      </c>
      <c r="C834" s="3114">
        <v>107.91</v>
      </c>
      <c r="D834" s="3113" t="s">
        <v>2911</v>
      </c>
    </row>
    <row r="835" spans="1:4">
      <c r="A835" s="3113">
        <v>832</v>
      </c>
      <c r="B835" s="3115" t="s">
        <v>3446</v>
      </c>
      <c r="C835" s="3114">
        <v>107.91</v>
      </c>
      <c r="D835" s="3113" t="s">
        <v>2911</v>
      </c>
    </row>
    <row r="836" spans="1:4">
      <c r="A836" s="3113">
        <v>833</v>
      </c>
      <c r="B836" s="3115" t="s">
        <v>3445</v>
      </c>
      <c r="C836" s="3114">
        <v>107.91</v>
      </c>
      <c r="D836" s="3113" t="s">
        <v>2911</v>
      </c>
    </row>
    <row r="837" spans="1:4">
      <c r="A837" s="3113">
        <v>834</v>
      </c>
      <c r="B837" s="3115" t="s">
        <v>3444</v>
      </c>
      <c r="C837" s="3114">
        <v>107.91</v>
      </c>
      <c r="D837" s="3113" t="s">
        <v>2911</v>
      </c>
    </row>
    <row r="838" spans="1:4">
      <c r="A838" s="3113">
        <v>835</v>
      </c>
      <c r="B838" s="3115" t="s">
        <v>3443</v>
      </c>
      <c r="C838" s="3114">
        <v>107.91</v>
      </c>
      <c r="D838" s="3113" t="s">
        <v>2911</v>
      </c>
    </row>
    <row r="839" spans="1:4">
      <c r="A839" s="3113">
        <v>836</v>
      </c>
      <c r="B839" s="3115" t="s">
        <v>3442</v>
      </c>
      <c r="C839" s="3114">
        <v>107.91</v>
      </c>
      <c r="D839" s="3113" t="s">
        <v>2911</v>
      </c>
    </row>
    <row r="840" spans="1:4">
      <c r="A840" s="3113">
        <v>837</v>
      </c>
      <c r="B840" s="3115" t="s">
        <v>3441</v>
      </c>
      <c r="C840" s="3114">
        <v>107.91</v>
      </c>
      <c r="D840" s="3113" t="s">
        <v>2911</v>
      </c>
    </row>
    <row r="841" spans="1:4">
      <c r="A841" s="3113">
        <v>838</v>
      </c>
      <c r="B841" s="3115" t="s">
        <v>3440</v>
      </c>
      <c r="C841" s="3114">
        <v>107.91</v>
      </c>
      <c r="D841" s="3113" t="s">
        <v>2911</v>
      </c>
    </row>
    <row r="842" spans="1:4">
      <c r="A842" s="3113">
        <v>839</v>
      </c>
      <c r="B842" s="3115" t="s">
        <v>3439</v>
      </c>
      <c r="C842" s="3114">
        <v>107.91</v>
      </c>
      <c r="D842" s="3113" t="s">
        <v>2911</v>
      </c>
    </row>
    <row r="843" spans="1:4">
      <c r="A843" s="3113">
        <v>840</v>
      </c>
      <c r="B843" s="3115" t="s">
        <v>3438</v>
      </c>
      <c r="C843" s="3114">
        <v>107.91</v>
      </c>
      <c r="D843" s="3113" t="s">
        <v>2911</v>
      </c>
    </row>
    <row r="844" spans="1:4">
      <c r="A844" s="3113">
        <v>841</v>
      </c>
      <c r="B844" s="3115" t="s">
        <v>3437</v>
      </c>
      <c r="C844" s="3114">
        <v>107.91</v>
      </c>
      <c r="D844" s="3113" t="s">
        <v>2911</v>
      </c>
    </row>
    <row r="845" spans="1:4">
      <c r="A845" s="3113">
        <v>842</v>
      </c>
      <c r="B845" s="3115" t="s">
        <v>3436</v>
      </c>
      <c r="C845" s="3114">
        <v>93.87</v>
      </c>
      <c r="D845" s="3113" t="s">
        <v>2911</v>
      </c>
    </row>
    <row r="846" spans="1:4">
      <c r="A846" s="3113">
        <v>843</v>
      </c>
      <c r="B846" s="3115" t="s">
        <v>3435</v>
      </c>
      <c r="C846" s="3114">
        <v>107.91</v>
      </c>
      <c r="D846" s="3113" t="s">
        <v>2911</v>
      </c>
    </row>
    <row r="847" spans="1:4">
      <c r="A847" s="3113">
        <v>844</v>
      </c>
      <c r="B847" s="3115" t="s">
        <v>3434</v>
      </c>
      <c r="C847" s="3114">
        <v>107.91</v>
      </c>
      <c r="D847" s="3113" t="s">
        <v>2911</v>
      </c>
    </row>
    <row r="848" spans="1:4">
      <c r="A848" s="3113">
        <v>845</v>
      </c>
      <c r="B848" s="3115" t="s">
        <v>3433</v>
      </c>
      <c r="C848" s="3114">
        <v>107.91</v>
      </c>
      <c r="D848" s="3113" t="s">
        <v>2911</v>
      </c>
    </row>
    <row r="849" spans="1:4">
      <c r="A849" s="3113">
        <v>846</v>
      </c>
      <c r="B849" s="3115" t="s">
        <v>3432</v>
      </c>
      <c r="C849" s="3114">
        <v>107.91</v>
      </c>
      <c r="D849" s="3113" t="s">
        <v>2911</v>
      </c>
    </row>
    <row r="850" spans="1:4">
      <c r="A850" s="3113">
        <v>847</v>
      </c>
      <c r="B850" s="3115" t="s">
        <v>3431</v>
      </c>
      <c r="C850" s="3114">
        <v>107.91</v>
      </c>
      <c r="D850" s="3113" t="s">
        <v>2911</v>
      </c>
    </row>
    <row r="851" spans="1:4">
      <c r="A851" s="3113">
        <v>848</v>
      </c>
      <c r="B851" s="3115" t="s">
        <v>3430</v>
      </c>
      <c r="C851" s="3114">
        <v>107.91</v>
      </c>
      <c r="D851" s="3113" t="s">
        <v>2911</v>
      </c>
    </row>
    <row r="852" spans="1:4">
      <c r="A852" s="3113">
        <v>849</v>
      </c>
      <c r="B852" s="3115" t="s">
        <v>3429</v>
      </c>
      <c r="C852" s="3114">
        <v>107.91</v>
      </c>
      <c r="D852" s="3113" t="s">
        <v>2911</v>
      </c>
    </row>
    <row r="853" spans="1:4">
      <c r="A853" s="3113">
        <v>850</v>
      </c>
      <c r="B853" s="3115" t="s">
        <v>3428</v>
      </c>
      <c r="C853" s="3114">
        <v>107.91</v>
      </c>
      <c r="D853" s="3113" t="s">
        <v>2911</v>
      </c>
    </row>
    <row r="854" spans="1:4">
      <c r="A854" s="3113">
        <v>851</v>
      </c>
      <c r="B854" s="3115" t="s">
        <v>3427</v>
      </c>
      <c r="C854" s="3114">
        <v>107.91</v>
      </c>
      <c r="D854" s="3113" t="s">
        <v>2911</v>
      </c>
    </row>
    <row r="855" spans="1:4">
      <c r="A855" s="3113">
        <v>852</v>
      </c>
      <c r="B855" s="3115" t="s">
        <v>3426</v>
      </c>
      <c r="C855" s="3114">
        <v>107.91</v>
      </c>
      <c r="D855" s="3113" t="s">
        <v>2911</v>
      </c>
    </row>
    <row r="856" spans="1:4">
      <c r="A856" s="3113">
        <v>853</v>
      </c>
      <c r="B856" s="3115" t="s">
        <v>3425</v>
      </c>
      <c r="C856" s="3114">
        <v>107.91</v>
      </c>
      <c r="D856" s="3113" t="s">
        <v>2911</v>
      </c>
    </row>
    <row r="857" spans="1:4">
      <c r="A857" s="3113">
        <v>854</v>
      </c>
      <c r="B857" s="3115" t="s">
        <v>3424</v>
      </c>
      <c r="C857" s="3114">
        <v>107.91</v>
      </c>
      <c r="D857" s="3113" t="s">
        <v>2911</v>
      </c>
    </row>
    <row r="858" spans="1:4">
      <c r="A858" s="3113">
        <v>855</v>
      </c>
      <c r="B858" s="3115" t="s">
        <v>3423</v>
      </c>
      <c r="C858" s="3114">
        <v>107.91</v>
      </c>
      <c r="D858" s="3113" t="s">
        <v>2911</v>
      </c>
    </row>
    <row r="859" spans="1:4">
      <c r="A859" s="3113">
        <v>856</v>
      </c>
      <c r="B859" s="3115" t="s">
        <v>3422</v>
      </c>
      <c r="C859" s="3114">
        <v>107.91</v>
      </c>
      <c r="D859" s="3113" t="s">
        <v>2911</v>
      </c>
    </row>
    <row r="860" spans="1:4">
      <c r="A860" s="3113">
        <v>857</v>
      </c>
      <c r="B860" s="3115" t="s">
        <v>3421</v>
      </c>
      <c r="C860" s="3114">
        <v>107.91</v>
      </c>
      <c r="D860" s="3113" t="s">
        <v>2911</v>
      </c>
    </row>
    <row r="861" spans="1:4">
      <c r="A861" s="3113">
        <v>858</v>
      </c>
      <c r="B861" s="3115" t="s">
        <v>3420</v>
      </c>
      <c r="C861" s="3114">
        <v>107.91</v>
      </c>
      <c r="D861" s="3113" t="s">
        <v>2911</v>
      </c>
    </row>
    <row r="862" spans="1:4">
      <c r="A862" s="3113">
        <v>859</v>
      </c>
      <c r="B862" s="3115" t="s">
        <v>3419</v>
      </c>
      <c r="C862" s="3114">
        <v>107.91</v>
      </c>
      <c r="D862" s="3113" t="s">
        <v>2911</v>
      </c>
    </row>
    <row r="863" spans="1:4">
      <c r="A863" s="3113">
        <v>860</v>
      </c>
      <c r="B863" s="3115" t="s">
        <v>3418</v>
      </c>
      <c r="C863" s="3114">
        <v>107.91</v>
      </c>
      <c r="D863" s="3113" t="s">
        <v>2911</v>
      </c>
    </row>
    <row r="864" spans="1:4">
      <c r="A864" s="3113">
        <v>861</v>
      </c>
      <c r="B864" s="3115" t="s">
        <v>3417</v>
      </c>
      <c r="C864" s="3114">
        <v>107.91</v>
      </c>
      <c r="D864" s="3113" t="s">
        <v>2911</v>
      </c>
    </row>
    <row r="865" spans="1:4">
      <c r="A865" s="3113">
        <v>862</v>
      </c>
      <c r="B865" s="3115" t="s">
        <v>3416</v>
      </c>
      <c r="C865" s="3114">
        <v>107.91</v>
      </c>
      <c r="D865" s="3113" t="s">
        <v>2911</v>
      </c>
    </row>
    <row r="866" spans="1:4">
      <c r="A866" s="3113">
        <v>863</v>
      </c>
      <c r="B866" s="3115" t="s">
        <v>3415</v>
      </c>
      <c r="C866" s="3114">
        <v>107.91</v>
      </c>
      <c r="D866" s="3113" t="s">
        <v>2911</v>
      </c>
    </row>
    <row r="867" spans="1:4">
      <c r="A867" s="3113">
        <v>864</v>
      </c>
      <c r="B867" s="3115" t="s">
        <v>3414</v>
      </c>
      <c r="C867" s="3114">
        <v>107.91</v>
      </c>
      <c r="D867" s="3113" t="s">
        <v>2911</v>
      </c>
    </row>
    <row r="868" spans="1:4">
      <c r="A868" s="3113">
        <v>865</v>
      </c>
      <c r="B868" s="3115" t="s">
        <v>3413</v>
      </c>
      <c r="C868" s="3114">
        <v>107.91</v>
      </c>
      <c r="D868" s="3113" t="s">
        <v>2911</v>
      </c>
    </row>
    <row r="869" spans="1:4">
      <c r="A869" s="3113">
        <v>866</v>
      </c>
      <c r="B869" s="3115" t="s">
        <v>3412</v>
      </c>
      <c r="C869" s="3114">
        <v>107.91</v>
      </c>
      <c r="D869" s="3113" t="s">
        <v>2911</v>
      </c>
    </row>
    <row r="870" spans="1:4">
      <c r="A870" s="3113">
        <v>867</v>
      </c>
      <c r="B870" s="3115" t="s">
        <v>3411</v>
      </c>
      <c r="C870" s="3114">
        <v>107.91</v>
      </c>
      <c r="D870" s="3113" t="s">
        <v>2911</v>
      </c>
    </row>
    <row r="871" spans="1:4">
      <c r="A871" s="3113">
        <v>868</v>
      </c>
      <c r="B871" s="3115" t="s">
        <v>3410</v>
      </c>
      <c r="C871" s="3114">
        <v>107.91</v>
      </c>
      <c r="D871" s="3113" t="s">
        <v>2911</v>
      </c>
    </row>
    <row r="872" spans="1:4">
      <c r="A872" s="3113">
        <v>869</v>
      </c>
      <c r="B872" s="3115" t="s">
        <v>3409</v>
      </c>
      <c r="C872" s="3114">
        <v>107.91</v>
      </c>
      <c r="D872" s="3113" t="s">
        <v>2911</v>
      </c>
    </row>
    <row r="873" spans="1:4">
      <c r="A873" s="3113">
        <v>870</v>
      </c>
      <c r="B873" s="3115" t="s">
        <v>3408</v>
      </c>
      <c r="C873" s="3114">
        <v>107.91</v>
      </c>
      <c r="D873" s="3113" t="s">
        <v>2911</v>
      </c>
    </row>
    <row r="874" spans="1:4">
      <c r="A874" s="3113">
        <v>871</v>
      </c>
      <c r="B874" s="3115" t="s">
        <v>3407</v>
      </c>
      <c r="C874" s="3114">
        <v>93.87</v>
      </c>
      <c r="D874" s="3113" t="s">
        <v>2911</v>
      </c>
    </row>
    <row r="875" spans="1:4">
      <c r="A875" s="3113">
        <v>872</v>
      </c>
      <c r="B875" s="3115" t="s">
        <v>3406</v>
      </c>
      <c r="C875" s="3114">
        <v>88</v>
      </c>
      <c r="D875" s="3113" t="s">
        <v>2911</v>
      </c>
    </row>
    <row r="876" spans="1:4">
      <c r="A876" s="3113">
        <v>873</v>
      </c>
      <c r="B876" s="3115" t="s">
        <v>3405</v>
      </c>
      <c r="C876" s="3114">
        <v>88</v>
      </c>
      <c r="D876" s="3113" t="s">
        <v>2911</v>
      </c>
    </row>
    <row r="877" spans="1:4">
      <c r="A877" s="3113">
        <v>874</v>
      </c>
      <c r="B877" s="3115" t="s">
        <v>3404</v>
      </c>
      <c r="C877" s="3114">
        <v>88</v>
      </c>
      <c r="D877" s="3113" t="s">
        <v>2911</v>
      </c>
    </row>
    <row r="878" spans="1:4">
      <c r="A878" s="3113">
        <v>875</v>
      </c>
      <c r="B878" s="3115" t="s">
        <v>3403</v>
      </c>
      <c r="C878" s="3114">
        <v>88</v>
      </c>
      <c r="D878" s="3113" t="s">
        <v>2911</v>
      </c>
    </row>
    <row r="879" spans="1:4">
      <c r="A879" s="3113">
        <v>876</v>
      </c>
      <c r="B879" s="3115" t="s">
        <v>3402</v>
      </c>
      <c r="C879" s="3114">
        <v>88</v>
      </c>
      <c r="D879" s="3113" t="s">
        <v>2911</v>
      </c>
    </row>
    <row r="880" spans="1:4">
      <c r="A880" s="3113">
        <v>877</v>
      </c>
      <c r="B880" s="3115" t="s">
        <v>3401</v>
      </c>
      <c r="C880" s="3114">
        <v>88</v>
      </c>
      <c r="D880" s="3113" t="s">
        <v>2911</v>
      </c>
    </row>
    <row r="881" spans="1:4">
      <c r="A881" s="3113">
        <v>878</v>
      </c>
      <c r="B881" s="3115" t="s">
        <v>3400</v>
      </c>
      <c r="C881" s="3114">
        <v>88</v>
      </c>
      <c r="D881" s="3113" t="s">
        <v>2911</v>
      </c>
    </row>
    <row r="882" spans="1:4">
      <c r="A882" s="3113">
        <v>879</v>
      </c>
      <c r="B882" s="3115" t="s">
        <v>3399</v>
      </c>
      <c r="C882" s="3114">
        <v>88</v>
      </c>
      <c r="D882" s="3113" t="s">
        <v>2911</v>
      </c>
    </row>
    <row r="883" spans="1:4">
      <c r="A883" s="3113">
        <v>880</v>
      </c>
      <c r="B883" s="3115" t="s">
        <v>3398</v>
      </c>
      <c r="C883" s="3114">
        <v>88</v>
      </c>
      <c r="D883" s="3113" t="s">
        <v>2911</v>
      </c>
    </row>
    <row r="884" spans="1:4">
      <c r="A884" s="3113">
        <v>881</v>
      </c>
      <c r="B884" s="3115" t="s">
        <v>3397</v>
      </c>
      <c r="C884" s="3114">
        <v>88</v>
      </c>
      <c r="D884" s="3113" t="s">
        <v>2911</v>
      </c>
    </row>
    <row r="885" spans="1:4">
      <c r="A885" s="3113">
        <v>882</v>
      </c>
      <c r="B885" s="3115" t="s">
        <v>3396</v>
      </c>
      <c r="C885" s="3114">
        <v>88</v>
      </c>
      <c r="D885" s="3113" t="s">
        <v>2911</v>
      </c>
    </row>
    <row r="886" spans="1:4">
      <c r="A886" s="3113">
        <v>883</v>
      </c>
      <c r="B886" s="3115" t="s">
        <v>3395</v>
      </c>
      <c r="C886" s="3114">
        <v>88</v>
      </c>
      <c r="D886" s="3113" t="s">
        <v>2911</v>
      </c>
    </row>
    <row r="887" spans="1:4">
      <c r="A887" s="3113">
        <v>884</v>
      </c>
      <c r="B887" s="3115" t="s">
        <v>3394</v>
      </c>
      <c r="C887" s="3114">
        <v>88</v>
      </c>
      <c r="D887" s="3113" t="s">
        <v>2911</v>
      </c>
    </row>
    <row r="888" spans="1:4">
      <c r="A888" s="3113">
        <v>885</v>
      </c>
      <c r="B888" s="3115" t="s">
        <v>3393</v>
      </c>
      <c r="C888" s="3114">
        <v>88</v>
      </c>
      <c r="D888" s="3113" t="s">
        <v>2911</v>
      </c>
    </row>
    <row r="889" spans="1:4">
      <c r="A889" s="3113">
        <v>886</v>
      </c>
      <c r="B889" s="3115" t="s">
        <v>3392</v>
      </c>
      <c r="C889" s="3114">
        <v>88</v>
      </c>
      <c r="D889" s="3113" t="s">
        <v>2911</v>
      </c>
    </row>
    <row r="890" spans="1:4">
      <c r="A890" s="3113">
        <v>887</v>
      </c>
      <c r="B890" s="3115" t="s">
        <v>3391</v>
      </c>
      <c r="C890" s="3114">
        <v>88</v>
      </c>
      <c r="D890" s="3113" t="s">
        <v>2911</v>
      </c>
    </row>
    <row r="891" spans="1:4">
      <c r="A891" s="3113">
        <v>888</v>
      </c>
      <c r="B891" s="3115" t="s">
        <v>3390</v>
      </c>
      <c r="C891" s="3114">
        <v>88</v>
      </c>
      <c r="D891" s="3113" t="s">
        <v>2911</v>
      </c>
    </row>
    <row r="892" spans="1:4">
      <c r="A892" s="3113">
        <v>889</v>
      </c>
      <c r="B892" s="3115" t="s">
        <v>3389</v>
      </c>
      <c r="C892" s="3114">
        <v>88</v>
      </c>
      <c r="D892" s="3113" t="s">
        <v>2911</v>
      </c>
    </row>
    <row r="893" spans="1:4">
      <c r="A893" s="3113">
        <v>890</v>
      </c>
      <c r="B893" s="3115" t="s">
        <v>3388</v>
      </c>
      <c r="C893" s="3114">
        <v>88</v>
      </c>
      <c r="D893" s="3113" t="s">
        <v>2911</v>
      </c>
    </row>
    <row r="894" spans="1:4">
      <c r="A894" s="3113">
        <v>891</v>
      </c>
      <c r="B894" s="3115" t="s">
        <v>3387</v>
      </c>
      <c r="C894" s="3114">
        <v>88</v>
      </c>
      <c r="D894" s="3113" t="s">
        <v>2911</v>
      </c>
    </row>
    <row r="895" spans="1:4">
      <c r="A895" s="3113">
        <v>892</v>
      </c>
      <c r="B895" s="3115" t="s">
        <v>3386</v>
      </c>
      <c r="C895" s="3114">
        <v>88</v>
      </c>
      <c r="D895" s="3113" t="s">
        <v>2911</v>
      </c>
    </row>
    <row r="896" spans="1:4">
      <c r="A896" s="3113">
        <v>893</v>
      </c>
      <c r="B896" s="3115" t="s">
        <v>3385</v>
      </c>
      <c r="C896" s="3114">
        <v>88</v>
      </c>
      <c r="D896" s="3113" t="s">
        <v>2911</v>
      </c>
    </row>
    <row r="897" spans="1:4">
      <c r="A897" s="3113">
        <v>894</v>
      </c>
      <c r="B897" s="3115" t="s">
        <v>3384</v>
      </c>
      <c r="C897" s="3114">
        <v>88</v>
      </c>
      <c r="D897" s="3113" t="s">
        <v>2911</v>
      </c>
    </row>
    <row r="898" spans="1:4">
      <c r="A898" s="3113">
        <v>895</v>
      </c>
      <c r="B898" s="3115" t="s">
        <v>3383</v>
      </c>
      <c r="C898" s="3114">
        <v>88</v>
      </c>
      <c r="D898" s="3113" t="s">
        <v>2911</v>
      </c>
    </row>
    <row r="899" spans="1:4">
      <c r="A899" s="3113">
        <v>896</v>
      </c>
      <c r="B899" s="3115" t="s">
        <v>3382</v>
      </c>
      <c r="C899" s="3114">
        <v>88</v>
      </c>
      <c r="D899" s="3113" t="s">
        <v>2911</v>
      </c>
    </row>
    <row r="900" spans="1:4">
      <c r="A900" s="3113">
        <v>897</v>
      </c>
      <c r="B900" s="3115" t="s">
        <v>3381</v>
      </c>
      <c r="C900" s="3114">
        <v>88</v>
      </c>
      <c r="D900" s="3113" t="s">
        <v>2911</v>
      </c>
    </row>
    <row r="901" spans="1:4">
      <c r="A901" s="3113">
        <v>898</v>
      </c>
      <c r="B901" s="3115" t="s">
        <v>3380</v>
      </c>
      <c r="C901" s="3114">
        <v>88</v>
      </c>
      <c r="D901" s="3113" t="s">
        <v>2911</v>
      </c>
    </row>
    <row r="902" spans="1:4">
      <c r="A902" s="3113">
        <v>899</v>
      </c>
      <c r="B902" s="3115" t="s">
        <v>3379</v>
      </c>
      <c r="C902" s="3114">
        <v>88</v>
      </c>
      <c r="D902" s="3113" t="s">
        <v>2911</v>
      </c>
    </row>
    <row r="903" spans="1:4">
      <c r="A903" s="3113">
        <v>900</v>
      </c>
      <c r="B903" s="3115" t="s">
        <v>3378</v>
      </c>
      <c r="C903" s="3114">
        <v>88.11</v>
      </c>
      <c r="D903" s="3113" t="s">
        <v>2911</v>
      </c>
    </row>
    <row r="904" spans="1:4">
      <c r="A904" s="3113">
        <v>901</v>
      </c>
      <c r="B904" s="3115" t="s">
        <v>3377</v>
      </c>
      <c r="C904" s="3114">
        <v>87.98</v>
      </c>
      <c r="D904" s="3113" t="s">
        <v>2911</v>
      </c>
    </row>
    <row r="905" spans="1:4">
      <c r="A905" s="3113">
        <v>902</v>
      </c>
      <c r="B905" s="3115" t="s">
        <v>3376</v>
      </c>
      <c r="C905" s="3114">
        <v>87.98</v>
      </c>
      <c r="D905" s="3113" t="s">
        <v>2911</v>
      </c>
    </row>
    <row r="906" spans="1:4">
      <c r="A906" s="3113">
        <v>903</v>
      </c>
      <c r="B906" s="3115" t="s">
        <v>3375</v>
      </c>
      <c r="C906" s="3114">
        <v>87.98</v>
      </c>
      <c r="D906" s="3113" t="s">
        <v>2911</v>
      </c>
    </row>
    <row r="907" spans="1:4">
      <c r="A907" s="3113">
        <v>904</v>
      </c>
      <c r="B907" s="3115" t="s">
        <v>3374</v>
      </c>
      <c r="C907" s="3114">
        <v>87.98</v>
      </c>
      <c r="D907" s="3113" t="s">
        <v>2911</v>
      </c>
    </row>
    <row r="908" spans="1:4">
      <c r="A908" s="3113">
        <v>905</v>
      </c>
      <c r="B908" s="3115" t="s">
        <v>3373</v>
      </c>
      <c r="C908" s="3114">
        <v>87.98</v>
      </c>
      <c r="D908" s="3113" t="s">
        <v>2911</v>
      </c>
    </row>
    <row r="909" spans="1:4">
      <c r="A909" s="3113">
        <v>906</v>
      </c>
      <c r="B909" s="3115" t="s">
        <v>3372</v>
      </c>
      <c r="C909" s="3114">
        <v>87.98</v>
      </c>
      <c r="D909" s="3113" t="s">
        <v>2911</v>
      </c>
    </row>
    <row r="910" spans="1:4">
      <c r="A910" s="3113">
        <v>907</v>
      </c>
      <c r="B910" s="3115" t="s">
        <v>3371</v>
      </c>
      <c r="C910" s="3114">
        <v>87.98</v>
      </c>
      <c r="D910" s="3113" t="s">
        <v>2911</v>
      </c>
    </row>
    <row r="911" spans="1:4">
      <c r="A911" s="3113">
        <v>908</v>
      </c>
      <c r="B911" s="3115" t="s">
        <v>3370</v>
      </c>
      <c r="C911" s="3114">
        <v>87.98</v>
      </c>
      <c r="D911" s="3113" t="s">
        <v>2911</v>
      </c>
    </row>
    <row r="912" spans="1:4">
      <c r="A912" s="3113">
        <v>909</v>
      </c>
      <c r="B912" s="3115" t="s">
        <v>3369</v>
      </c>
      <c r="C912" s="3114">
        <v>87.98</v>
      </c>
      <c r="D912" s="3113" t="s">
        <v>2911</v>
      </c>
    </row>
    <row r="913" spans="1:4">
      <c r="A913" s="3113">
        <v>910</v>
      </c>
      <c r="B913" s="3115" t="s">
        <v>3368</v>
      </c>
      <c r="C913" s="3114">
        <v>87.98</v>
      </c>
      <c r="D913" s="3113" t="s">
        <v>2911</v>
      </c>
    </row>
    <row r="914" spans="1:4">
      <c r="A914" s="3113">
        <v>911</v>
      </c>
      <c r="B914" s="3115" t="s">
        <v>3367</v>
      </c>
      <c r="C914" s="3114">
        <v>87.98</v>
      </c>
      <c r="D914" s="3113" t="s">
        <v>2911</v>
      </c>
    </row>
    <row r="915" spans="1:4">
      <c r="A915" s="3113">
        <v>912</v>
      </c>
      <c r="B915" s="3115" t="s">
        <v>3366</v>
      </c>
      <c r="C915" s="3114">
        <v>87.98</v>
      </c>
      <c r="D915" s="3113" t="s">
        <v>2911</v>
      </c>
    </row>
    <row r="916" spans="1:4">
      <c r="A916" s="3113">
        <v>913</v>
      </c>
      <c r="B916" s="3115" t="s">
        <v>3365</v>
      </c>
      <c r="C916" s="3114">
        <v>87.98</v>
      </c>
      <c r="D916" s="3113" t="s">
        <v>2911</v>
      </c>
    </row>
    <row r="917" spans="1:4">
      <c r="A917" s="3113">
        <v>914</v>
      </c>
      <c r="B917" s="3115" t="s">
        <v>3364</v>
      </c>
      <c r="C917" s="3114">
        <v>87.98</v>
      </c>
      <c r="D917" s="3113" t="s">
        <v>2911</v>
      </c>
    </row>
    <row r="918" spans="1:4">
      <c r="A918" s="3113">
        <v>915</v>
      </c>
      <c r="B918" s="3115" t="s">
        <v>3363</v>
      </c>
      <c r="C918" s="3114">
        <v>87.98</v>
      </c>
      <c r="D918" s="3113" t="s">
        <v>2911</v>
      </c>
    </row>
    <row r="919" spans="1:4">
      <c r="A919" s="3113">
        <v>916</v>
      </c>
      <c r="B919" s="3115" t="s">
        <v>3362</v>
      </c>
      <c r="C919" s="3114">
        <v>87.98</v>
      </c>
      <c r="D919" s="3113" t="s">
        <v>2911</v>
      </c>
    </row>
    <row r="920" spans="1:4">
      <c r="A920" s="3113">
        <v>917</v>
      </c>
      <c r="B920" s="3115" t="s">
        <v>3361</v>
      </c>
      <c r="C920" s="3114">
        <v>87.98</v>
      </c>
      <c r="D920" s="3113" t="s">
        <v>2911</v>
      </c>
    </row>
    <row r="921" spans="1:4">
      <c r="A921" s="3113">
        <v>918</v>
      </c>
      <c r="B921" s="3115" t="s">
        <v>3360</v>
      </c>
      <c r="C921" s="3114">
        <v>87.98</v>
      </c>
      <c r="D921" s="3113" t="s">
        <v>2911</v>
      </c>
    </row>
    <row r="922" spans="1:4">
      <c r="A922" s="3113">
        <v>919</v>
      </c>
      <c r="B922" s="3115" t="s">
        <v>3359</v>
      </c>
      <c r="C922" s="3114">
        <v>87.98</v>
      </c>
      <c r="D922" s="3113" t="s">
        <v>2911</v>
      </c>
    </row>
    <row r="923" spans="1:4">
      <c r="A923" s="3113">
        <v>920</v>
      </c>
      <c r="B923" s="3115" t="s">
        <v>3358</v>
      </c>
      <c r="C923" s="3114">
        <v>87.98</v>
      </c>
      <c r="D923" s="3113" t="s">
        <v>2911</v>
      </c>
    </row>
    <row r="924" spans="1:4">
      <c r="A924" s="3113">
        <v>921</v>
      </c>
      <c r="B924" s="3115" t="s">
        <v>3357</v>
      </c>
      <c r="C924" s="3114">
        <v>87.98</v>
      </c>
      <c r="D924" s="3113" t="s">
        <v>2911</v>
      </c>
    </row>
    <row r="925" spans="1:4">
      <c r="A925" s="3113">
        <v>922</v>
      </c>
      <c r="B925" s="3115" t="s">
        <v>3356</v>
      </c>
      <c r="C925" s="3114">
        <v>87.98</v>
      </c>
      <c r="D925" s="3113" t="s">
        <v>2911</v>
      </c>
    </row>
    <row r="926" spans="1:4">
      <c r="A926" s="3113">
        <v>923</v>
      </c>
      <c r="B926" s="3115" t="s">
        <v>3355</v>
      </c>
      <c r="C926" s="3114">
        <v>87.98</v>
      </c>
      <c r="D926" s="3113" t="s">
        <v>2911</v>
      </c>
    </row>
    <row r="927" spans="1:4">
      <c r="A927" s="3113">
        <v>924</v>
      </c>
      <c r="B927" s="3115" t="s">
        <v>3354</v>
      </c>
      <c r="C927" s="3114">
        <v>87.98</v>
      </c>
      <c r="D927" s="3113" t="s">
        <v>2911</v>
      </c>
    </row>
    <row r="928" spans="1:4">
      <c r="A928" s="3113">
        <v>925</v>
      </c>
      <c r="B928" s="3115" t="s">
        <v>3353</v>
      </c>
      <c r="C928" s="3114">
        <v>87.98</v>
      </c>
      <c r="D928" s="3113" t="s">
        <v>2911</v>
      </c>
    </row>
    <row r="929" spans="1:4">
      <c r="A929" s="3113">
        <v>926</v>
      </c>
      <c r="B929" s="3115" t="s">
        <v>3352</v>
      </c>
      <c r="C929" s="3114">
        <v>87.98</v>
      </c>
      <c r="D929" s="3113" t="s">
        <v>2911</v>
      </c>
    </row>
    <row r="930" spans="1:4">
      <c r="A930" s="3113">
        <v>927</v>
      </c>
      <c r="B930" s="3115" t="s">
        <v>3351</v>
      </c>
      <c r="C930" s="3114">
        <v>87.98</v>
      </c>
      <c r="D930" s="3113" t="s">
        <v>2911</v>
      </c>
    </row>
    <row r="931" spans="1:4">
      <c r="A931" s="3113">
        <v>928</v>
      </c>
      <c r="B931" s="3115" t="s">
        <v>3350</v>
      </c>
      <c r="C931" s="3114">
        <v>87.98</v>
      </c>
      <c r="D931" s="3113" t="s">
        <v>2911</v>
      </c>
    </row>
    <row r="932" spans="1:4">
      <c r="A932" s="3113">
        <v>929</v>
      </c>
      <c r="B932" s="3115" t="s">
        <v>3349</v>
      </c>
      <c r="C932" s="3114">
        <v>87.98</v>
      </c>
      <c r="D932" s="3113" t="s">
        <v>2911</v>
      </c>
    </row>
    <row r="933" spans="1:4">
      <c r="A933" s="3113">
        <v>930</v>
      </c>
      <c r="B933" s="3115" t="s">
        <v>3348</v>
      </c>
      <c r="C933" s="3114">
        <v>127.19</v>
      </c>
      <c r="D933" s="3113" t="s">
        <v>2911</v>
      </c>
    </row>
    <row r="934" spans="1:4">
      <c r="A934" s="3113">
        <v>931</v>
      </c>
      <c r="B934" s="3115" t="s">
        <v>3347</v>
      </c>
      <c r="C934" s="3114">
        <v>127.19</v>
      </c>
      <c r="D934" s="3113" t="s">
        <v>2911</v>
      </c>
    </row>
    <row r="935" spans="1:4">
      <c r="A935" s="3113">
        <v>932</v>
      </c>
      <c r="B935" s="3115" t="s">
        <v>3346</v>
      </c>
      <c r="C935" s="3114">
        <v>127.19</v>
      </c>
      <c r="D935" s="3113" t="s">
        <v>2911</v>
      </c>
    </row>
    <row r="936" spans="1:4">
      <c r="A936" s="3113">
        <v>933</v>
      </c>
      <c r="B936" s="3115" t="s">
        <v>3345</v>
      </c>
      <c r="C936" s="3114">
        <v>127.19</v>
      </c>
      <c r="D936" s="3113" t="s">
        <v>2911</v>
      </c>
    </row>
    <row r="937" spans="1:4">
      <c r="A937" s="3113">
        <v>934</v>
      </c>
      <c r="B937" s="3115" t="s">
        <v>3344</v>
      </c>
      <c r="C937" s="3114">
        <v>127.19</v>
      </c>
      <c r="D937" s="3113" t="s">
        <v>2911</v>
      </c>
    </row>
    <row r="938" spans="1:4">
      <c r="A938" s="3113">
        <v>935</v>
      </c>
      <c r="B938" s="3115" t="s">
        <v>3343</v>
      </c>
      <c r="C938" s="3114">
        <v>127.19</v>
      </c>
      <c r="D938" s="3113" t="s">
        <v>2911</v>
      </c>
    </row>
    <row r="939" spans="1:4">
      <c r="A939" s="3113">
        <v>936</v>
      </c>
      <c r="B939" s="3115" t="s">
        <v>3342</v>
      </c>
      <c r="C939" s="3114">
        <v>127.19</v>
      </c>
      <c r="D939" s="3113" t="s">
        <v>2911</v>
      </c>
    </row>
    <row r="940" spans="1:4">
      <c r="A940" s="3113">
        <v>937</v>
      </c>
      <c r="B940" s="3115" t="s">
        <v>3341</v>
      </c>
      <c r="C940" s="3114">
        <v>127.19</v>
      </c>
      <c r="D940" s="3113" t="s">
        <v>2911</v>
      </c>
    </row>
    <row r="941" spans="1:4">
      <c r="A941" s="3113">
        <v>938</v>
      </c>
      <c r="B941" s="3115" t="s">
        <v>3340</v>
      </c>
      <c r="C941" s="3114">
        <v>127.19</v>
      </c>
      <c r="D941" s="3113" t="s">
        <v>2911</v>
      </c>
    </row>
    <row r="942" spans="1:4">
      <c r="A942" s="3113">
        <v>939</v>
      </c>
      <c r="B942" s="3115" t="s">
        <v>3339</v>
      </c>
      <c r="C942" s="3114">
        <v>127.19</v>
      </c>
      <c r="D942" s="3113" t="s">
        <v>2911</v>
      </c>
    </row>
    <row r="943" spans="1:4">
      <c r="A943" s="3113">
        <v>940</v>
      </c>
      <c r="B943" s="3115" t="s">
        <v>3338</v>
      </c>
      <c r="C943" s="3114">
        <v>127.19</v>
      </c>
      <c r="D943" s="3113" t="s">
        <v>2911</v>
      </c>
    </row>
    <row r="944" spans="1:4">
      <c r="A944" s="3113">
        <v>941</v>
      </c>
      <c r="B944" s="3115" t="s">
        <v>3337</v>
      </c>
      <c r="C944" s="3114">
        <v>127.19</v>
      </c>
      <c r="D944" s="3113" t="s">
        <v>2911</v>
      </c>
    </row>
    <row r="945" spans="1:4">
      <c r="A945" s="3113">
        <v>942</v>
      </c>
      <c r="B945" s="3115" t="s">
        <v>3336</v>
      </c>
      <c r="C945" s="3114">
        <v>127.19</v>
      </c>
      <c r="D945" s="3113" t="s">
        <v>2911</v>
      </c>
    </row>
    <row r="946" spans="1:4">
      <c r="A946" s="3113">
        <v>943</v>
      </c>
      <c r="B946" s="3115" t="s">
        <v>3335</v>
      </c>
      <c r="C946" s="3114">
        <v>127.19</v>
      </c>
      <c r="D946" s="3113" t="s">
        <v>2911</v>
      </c>
    </row>
    <row r="947" spans="1:4">
      <c r="A947" s="3113">
        <v>944</v>
      </c>
      <c r="B947" s="3115" t="s">
        <v>3334</v>
      </c>
      <c r="C947" s="3114">
        <v>127.19</v>
      </c>
      <c r="D947" s="3113" t="s">
        <v>2911</v>
      </c>
    </row>
    <row r="948" spans="1:4">
      <c r="A948" s="3113">
        <v>945</v>
      </c>
      <c r="B948" s="3115" t="s">
        <v>3333</v>
      </c>
      <c r="C948" s="3114">
        <v>127.19</v>
      </c>
      <c r="D948" s="3113" t="s">
        <v>2911</v>
      </c>
    </row>
    <row r="949" spans="1:4">
      <c r="A949" s="3113">
        <v>946</v>
      </c>
      <c r="B949" s="3115" t="s">
        <v>3332</v>
      </c>
      <c r="C949" s="3114">
        <v>127.19</v>
      </c>
      <c r="D949" s="3113" t="s">
        <v>2911</v>
      </c>
    </row>
    <row r="950" spans="1:4">
      <c r="A950" s="3113">
        <v>947</v>
      </c>
      <c r="B950" s="3115" t="s">
        <v>3331</v>
      </c>
      <c r="C950" s="3114">
        <v>127.19</v>
      </c>
      <c r="D950" s="3113" t="s">
        <v>2911</v>
      </c>
    </row>
    <row r="951" spans="1:4">
      <c r="A951" s="3113">
        <v>948</v>
      </c>
      <c r="B951" s="3115" t="s">
        <v>3330</v>
      </c>
      <c r="C951" s="3114">
        <v>127.19</v>
      </c>
      <c r="D951" s="3113" t="s">
        <v>2911</v>
      </c>
    </row>
    <row r="952" spans="1:4">
      <c r="A952" s="3113">
        <v>949</v>
      </c>
      <c r="B952" s="3115" t="s">
        <v>3329</v>
      </c>
      <c r="C952" s="3114">
        <v>127.19</v>
      </c>
      <c r="D952" s="3113" t="s">
        <v>2911</v>
      </c>
    </row>
    <row r="953" spans="1:4">
      <c r="A953" s="3113">
        <v>950</v>
      </c>
      <c r="B953" s="3115" t="s">
        <v>3328</v>
      </c>
      <c r="C953" s="3114">
        <v>127.19</v>
      </c>
      <c r="D953" s="3113" t="s">
        <v>2911</v>
      </c>
    </row>
    <row r="954" spans="1:4">
      <c r="A954" s="3113">
        <v>951</v>
      </c>
      <c r="B954" s="3115" t="s">
        <v>3327</v>
      </c>
      <c r="C954" s="3114">
        <v>127.19</v>
      </c>
      <c r="D954" s="3113" t="s">
        <v>2911</v>
      </c>
    </row>
    <row r="955" spans="1:4">
      <c r="A955" s="3113">
        <v>952</v>
      </c>
      <c r="B955" s="3115" t="s">
        <v>3326</v>
      </c>
      <c r="C955" s="3114">
        <v>127.19</v>
      </c>
      <c r="D955" s="3113" t="s">
        <v>2911</v>
      </c>
    </row>
    <row r="956" spans="1:4">
      <c r="A956" s="3113">
        <v>953</v>
      </c>
      <c r="B956" s="3115" t="s">
        <v>3325</v>
      </c>
      <c r="C956" s="3114">
        <v>127.19</v>
      </c>
      <c r="D956" s="3113" t="s">
        <v>2911</v>
      </c>
    </row>
    <row r="957" spans="1:4">
      <c r="A957" s="3113">
        <v>954</v>
      </c>
      <c r="B957" s="3115" t="s">
        <v>3324</v>
      </c>
      <c r="C957" s="3114">
        <v>127.19</v>
      </c>
      <c r="D957" s="3113" t="s">
        <v>2911</v>
      </c>
    </row>
    <row r="958" spans="1:4">
      <c r="A958" s="3113">
        <v>955</v>
      </c>
      <c r="B958" s="3115" t="s">
        <v>3323</v>
      </c>
      <c r="C958" s="3114">
        <v>127.19</v>
      </c>
      <c r="D958" s="3113" t="s">
        <v>2911</v>
      </c>
    </row>
    <row r="959" spans="1:4">
      <c r="A959" s="3113">
        <v>956</v>
      </c>
      <c r="B959" s="3115" t="s">
        <v>3322</v>
      </c>
      <c r="C959" s="3114">
        <v>127.19</v>
      </c>
      <c r="D959" s="3113" t="s">
        <v>2911</v>
      </c>
    </row>
    <row r="960" spans="1:4">
      <c r="A960" s="3113">
        <v>957</v>
      </c>
      <c r="B960" s="3115" t="s">
        <v>3321</v>
      </c>
      <c r="C960" s="3114">
        <v>127.19</v>
      </c>
      <c r="D960" s="3113" t="s">
        <v>2911</v>
      </c>
    </row>
    <row r="961" spans="1:4">
      <c r="A961" s="3113">
        <v>958</v>
      </c>
      <c r="B961" s="3115" t="s">
        <v>3320</v>
      </c>
      <c r="C961" s="3114">
        <v>114.04</v>
      </c>
      <c r="D961" s="3113" t="s">
        <v>2911</v>
      </c>
    </row>
    <row r="962" spans="1:4">
      <c r="A962" s="3113">
        <v>959</v>
      </c>
      <c r="B962" s="3115" t="s">
        <v>3319</v>
      </c>
      <c r="C962" s="3114">
        <v>160.75</v>
      </c>
      <c r="D962" s="3113" t="s">
        <v>2911</v>
      </c>
    </row>
    <row r="963" spans="1:4">
      <c r="A963" s="3113">
        <v>960</v>
      </c>
      <c r="B963" s="3115" t="s">
        <v>3318</v>
      </c>
      <c r="C963" s="3114">
        <v>160.75</v>
      </c>
      <c r="D963" s="3113" t="s">
        <v>2911</v>
      </c>
    </row>
    <row r="964" spans="1:4">
      <c r="A964" s="3113">
        <v>961</v>
      </c>
      <c r="B964" s="3115" t="s">
        <v>3317</v>
      </c>
      <c r="C964" s="3114">
        <v>160.75</v>
      </c>
      <c r="D964" s="3113" t="s">
        <v>2911</v>
      </c>
    </row>
    <row r="965" spans="1:4">
      <c r="A965" s="3113">
        <v>962</v>
      </c>
      <c r="B965" s="3115" t="s">
        <v>3316</v>
      </c>
      <c r="C965" s="3114">
        <v>160.75</v>
      </c>
      <c r="D965" s="3113" t="s">
        <v>2911</v>
      </c>
    </row>
    <row r="966" spans="1:4">
      <c r="A966" s="3113">
        <v>963</v>
      </c>
      <c r="B966" s="3115" t="s">
        <v>3315</v>
      </c>
      <c r="C966" s="3114">
        <v>160.75</v>
      </c>
      <c r="D966" s="3113" t="s">
        <v>2911</v>
      </c>
    </row>
    <row r="967" spans="1:4">
      <c r="A967" s="3113">
        <v>964</v>
      </c>
      <c r="B967" s="3115" t="s">
        <v>3314</v>
      </c>
      <c r="C967" s="3114">
        <v>160.75</v>
      </c>
      <c r="D967" s="3113" t="s">
        <v>2911</v>
      </c>
    </row>
    <row r="968" spans="1:4">
      <c r="A968" s="3113">
        <v>965</v>
      </c>
      <c r="B968" s="3115" t="s">
        <v>3313</v>
      </c>
      <c r="C968" s="3114">
        <v>160.75</v>
      </c>
      <c r="D968" s="3113" t="s">
        <v>2911</v>
      </c>
    </row>
    <row r="969" spans="1:4">
      <c r="A969" s="3113">
        <v>966</v>
      </c>
      <c r="B969" s="3115" t="s">
        <v>3312</v>
      </c>
      <c r="C969" s="3114">
        <v>160.75</v>
      </c>
      <c r="D969" s="3113" t="s">
        <v>2911</v>
      </c>
    </row>
    <row r="970" spans="1:4">
      <c r="A970" s="3113">
        <v>967</v>
      </c>
      <c r="B970" s="3115" t="s">
        <v>3311</v>
      </c>
      <c r="C970" s="3114">
        <v>160.75</v>
      </c>
      <c r="D970" s="3113" t="s">
        <v>2911</v>
      </c>
    </row>
    <row r="971" spans="1:4">
      <c r="A971" s="3113">
        <v>968</v>
      </c>
      <c r="B971" s="3115" t="s">
        <v>3310</v>
      </c>
      <c r="C971" s="3114">
        <v>160.75</v>
      </c>
      <c r="D971" s="3113" t="s">
        <v>2911</v>
      </c>
    </row>
    <row r="972" spans="1:4">
      <c r="A972" s="3113">
        <v>969</v>
      </c>
      <c r="B972" s="3115" t="s">
        <v>3309</v>
      </c>
      <c r="C972" s="3114">
        <v>160.75</v>
      </c>
      <c r="D972" s="3113" t="s">
        <v>2911</v>
      </c>
    </row>
    <row r="973" spans="1:4">
      <c r="A973" s="3113">
        <v>970</v>
      </c>
      <c r="B973" s="3115" t="s">
        <v>3308</v>
      </c>
      <c r="C973" s="3114">
        <v>160.75</v>
      </c>
      <c r="D973" s="3113" t="s">
        <v>2911</v>
      </c>
    </row>
    <row r="974" spans="1:4">
      <c r="A974" s="3113">
        <v>971</v>
      </c>
      <c r="B974" s="3115" t="s">
        <v>3307</v>
      </c>
      <c r="C974" s="3114">
        <v>160.75</v>
      </c>
      <c r="D974" s="3113" t="s">
        <v>2911</v>
      </c>
    </row>
    <row r="975" spans="1:4">
      <c r="A975" s="3113">
        <v>972</v>
      </c>
      <c r="B975" s="3115" t="s">
        <v>3306</v>
      </c>
      <c r="C975" s="3114">
        <v>160.75</v>
      </c>
      <c r="D975" s="3113" t="s">
        <v>2911</v>
      </c>
    </row>
    <row r="976" spans="1:4">
      <c r="A976" s="3113">
        <v>973</v>
      </c>
      <c r="B976" s="3115" t="s">
        <v>3305</v>
      </c>
      <c r="C976" s="3114">
        <v>160.75</v>
      </c>
      <c r="D976" s="3113" t="s">
        <v>2911</v>
      </c>
    </row>
    <row r="977" spans="1:4">
      <c r="A977" s="3113">
        <v>974</v>
      </c>
      <c r="B977" s="3115" t="s">
        <v>3304</v>
      </c>
      <c r="C977" s="3114">
        <v>160.75</v>
      </c>
      <c r="D977" s="3113" t="s">
        <v>2911</v>
      </c>
    </row>
    <row r="978" spans="1:4">
      <c r="A978" s="3113">
        <v>975</v>
      </c>
      <c r="B978" s="3115" t="s">
        <v>3303</v>
      </c>
      <c r="C978" s="3114">
        <v>160.75</v>
      </c>
      <c r="D978" s="3113" t="s">
        <v>2911</v>
      </c>
    </row>
    <row r="979" spans="1:4">
      <c r="A979" s="3113">
        <v>976</v>
      </c>
      <c r="B979" s="3115" t="s">
        <v>3302</v>
      </c>
      <c r="C979" s="3114">
        <v>160.75</v>
      </c>
      <c r="D979" s="3113" t="s">
        <v>2911</v>
      </c>
    </row>
    <row r="980" spans="1:4">
      <c r="A980" s="3113">
        <v>977</v>
      </c>
      <c r="B980" s="3115" t="s">
        <v>3301</v>
      </c>
      <c r="C980" s="3114">
        <v>160.75</v>
      </c>
      <c r="D980" s="3113" t="s">
        <v>2911</v>
      </c>
    </row>
    <row r="981" spans="1:4">
      <c r="A981" s="3113">
        <v>978</v>
      </c>
      <c r="B981" s="3115" t="s">
        <v>3300</v>
      </c>
      <c r="C981" s="3114">
        <v>160.75</v>
      </c>
      <c r="D981" s="3113" t="s">
        <v>2911</v>
      </c>
    </row>
    <row r="982" spans="1:4">
      <c r="A982" s="3113">
        <v>979</v>
      </c>
      <c r="B982" s="3115" t="s">
        <v>3299</v>
      </c>
      <c r="C982" s="3114">
        <v>160.75</v>
      </c>
      <c r="D982" s="3113" t="s">
        <v>2911</v>
      </c>
    </row>
    <row r="983" spans="1:4">
      <c r="A983" s="3113">
        <v>980</v>
      </c>
      <c r="B983" s="3115" t="s">
        <v>3298</v>
      </c>
      <c r="C983" s="3114">
        <v>160.75</v>
      </c>
      <c r="D983" s="3113" t="s">
        <v>2911</v>
      </c>
    </row>
    <row r="984" spans="1:4">
      <c r="A984" s="3113">
        <v>981</v>
      </c>
      <c r="B984" s="3115" t="s">
        <v>3297</v>
      </c>
      <c r="C984" s="3114">
        <v>160.75</v>
      </c>
      <c r="D984" s="3113" t="s">
        <v>2911</v>
      </c>
    </row>
    <row r="985" spans="1:4">
      <c r="A985" s="3113">
        <v>982</v>
      </c>
      <c r="B985" s="3115" t="s">
        <v>3296</v>
      </c>
      <c r="C985" s="3114">
        <v>160.75</v>
      </c>
      <c r="D985" s="3113" t="s">
        <v>2911</v>
      </c>
    </row>
    <row r="986" spans="1:4">
      <c r="A986" s="3113">
        <v>983</v>
      </c>
      <c r="B986" s="3115" t="s">
        <v>3295</v>
      </c>
      <c r="C986" s="3114">
        <v>160.75</v>
      </c>
      <c r="D986" s="3113" t="s">
        <v>2911</v>
      </c>
    </row>
    <row r="987" spans="1:4">
      <c r="A987" s="3113">
        <v>984</v>
      </c>
      <c r="B987" s="3115" t="s">
        <v>3294</v>
      </c>
      <c r="C987" s="3114">
        <v>160.75</v>
      </c>
      <c r="D987" s="3113" t="s">
        <v>2911</v>
      </c>
    </row>
    <row r="988" spans="1:4">
      <c r="A988" s="3113">
        <v>985</v>
      </c>
      <c r="B988" s="3115" t="s">
        <v>3293</v>
      </c>
      <c r="C988" s="3114">
        <v>160.75</v>
      </c>
      <c r="D988" s="3113" t="s">
        <v>2911</v>
      </c>
    </row>
    <row r="989" spans="1:4">
      <c r="A989" s="3113">
        <v>986</v>
      </c>
      <c r="B989" s="3115" t="s">
        <v>3292</v>
      </c>
      <c r="C989" s="3114">
        <v>138.51</v>
      </c>
      <c r="D989" s="3113" t="s">
        <v>2911</v>
      </c>
    </row>
    <row r="990" spans="1:4">
      <c r="A990" s="3113">
        <v>987</v>
      </c>
      <c r="B990" s="3115" t="s">
        <v>3291</v>
      </c>
      <c r="C990" s="3114">
        <v>88.16</v>
      </c>
      <c r="D990" s="3113" t="s">
        <v>2911</v>
      </c>
    </row>
    <row r="991" spans="1:4">
      <c r="A991" s="3113">
        <v>988</v>
      </c>
      <c r="B991" s="3115" t="s">
        <v>3290</v>
      </c>
      <c r="C991" s="3114">
        <v>88.16</v>
      </c>
      <c r="D991" s="3113" t="s">
        <v>2911</v>
      </c>
    </row>
    <row r="992" spans="1:4">
      <c r="A992" s="3113">
        <v>989</v>
      </c>
      <c r="B992" s="3115" t="s">
        <v>3289</v>
      </c>
      <c r="C992" s="3114">
        <v>88.16</v>
      </c>
      <c r="D992" s="3113" t="s">
        <v>2911</v>
      </c>
    </row>
    <row r="993" spans="1:4">
      <c r="A993" s="3113">
        <v>990</v>
      </c>
      <c r="B993" s="3115" t="s">
        <v>3288</v>
      </c>
      <c r="C993" s="3114">
        <v>88.16</v>
      </c>
      <c r="D993" s="3113" t="s">
        <v>2911</v>
      </c>
    </row>
    <row r="994" spans="1:4">
      <c r="A994" s="3113">
        <v>991</v>
      </c>
      <c r="B994" s="3115" t="s">
        <v>3287</v>
      </c>
      <c r="C994" s="3114">
        <v>88.16</v>
      </c>
      <c r="D994" s="3113" t="s">
        <v>2911</v>
      </c>
    </row>
    <row r="995" spans="1:4">
      <c r="A995" s="3113">
        <v>992</v>
      </c>
      <c r="B995" s="3115" t="s">
        <v>3286</v>
      </c>
      <c r="C995" s="3114">
        <v>88.16</v>
      </c>
      <c r="D995" s="3113" t="s">
        <v>2911</v>
      </c>
    </row>
    <row r="996" spans="1:4">
      <c r="A996" s="3113">
        <v>993</v>
      </c>
      <c r="B996" s="3115" t="s">
        <v>3285</v>
      </c>
      <c r="C996" s="3114">
        <v>88.16</v>
      </c>
      <c r="D996" s="3113" t="s">
        <v>2911</v>
      </c>
    </row>
    <row r="997" spans="1:4">
      <c r="A997" s="3113">
        <v>994</v>
      </c>
      <c r="B997" s="3115" t="s">
        <v>3284</v>
      </c>
      <c r="C997" s="3114">
        <v>88.16</v>
      </c>
      <c r="D997" s="3113" t="s">
        <v>2911</v>
      </c>
    </row>
    <row r="998" spans="1:4">
      <c r="A998" s="3113">
        <v>995</v>
      </c>
      <c r="B998" s="3115" t="s">
        <v>3283</v>
      </c>
      <c r="C998" s="3114">
        <v>88.16</v>
      </c>
      <c r="D998" s="3113" t="s">
        <v>2911</v>
      </c>
    </row>
    <row r="999" spans="1:4">
      <c r="A999" s="3113">
        <v>996</v>
      </c>
      <c r="B999" s="3115" t="s">
        <v>3282</v>
      </c>
      <c r="C999" s="3114">
        <v>88.16</v>
      </c>
      <c r="D999" s="3113" t="s">
        <v>2911</v>
      </c>
    </row>
    <row r="1000" spans="1:4">
      <c r="A1000" s="3113">
        <v>997</v>
      </c>
      <c r="B1000" s="3115" t="s">
        <v>3281</v>
      </c>
      <c r="C1000" s="3114">
        <v>88.16</v>
      </c>
      <c r="D1000" s="3113" t="s">
        <v>2911</v>
      </c>
    </row>
    <row r="1001" spans="1:4">
      <c r="A1001" s="3113">
        <v>998</v>
      </c>
      <c r="B1001" s="3115" t="s">
        <v>3280</v>
      </c>
      <c r="C1001" s="3114">
        <v>88.16</v>
      </c>
      <c r="D1001" s="3113" t="s">
        <v>2911</v>
      </c>
    </row>
    <row r="1002" spans="1:4">
      <c r="A1002" s="3113">
        <v>999</v>
      </c>
      <c r="B1002" s="3115" t="s">
        <v>3279</v>
      </c>
      <c r="C1002" s="3114">
        <v>88.16</v>
      </c>
      <c r="D1002" s="3113" t="s">
        <v>2911</v>
      </c>
    </row>
    <row r="1003" spans="1:4">
      <c r="A1003" s="3113">
        <v>1000</v>
      </c>
      <c r="B1003" s="3115" t="s">
        <v>3278</v>
      </c>
      <c r="C1003" s="3114">
        <v>88.16</v>
      </c>
      <c r="D1003" s="3113" t="s">
        <v>2911</v>
      </c>
    </row>
    <row r="1004" spans="1:4">
      <c r="A1004" s="3113">
        <v>1001</v>
      </c>
      <c r="B1004" s="3115" t="s">
        <v>3277</v>
      </c>
      <c r="C1004" s="3114">
        <v>88.16</v>
      </c>
      <c r="D1004" s="3113" t="s">
        <v>2911</v>
      </c>
    </row>
    <row r="1005" spans="1:4">
      <c r="A1005" s="3113">
        <v>1002</v>
      </c>
      <c r="B1005" s="3115" t="s">
        <v>3276</v>
      </c>
      <c r="C1005" s="3114">
        <v>88.16</v>
      </c>
      <c r="D1005" s="3113" t="s">
        <v>2911</v>
      </c>
    </row>
    <row r="1006" spans="1:4">
      <c r="A1006" s="3113">
        <v>1003</v>
      </c>
      <c r="B1006" s="3115" t="s">
        <v>3275</v>
      </c>
      <c r="C1006" s="3114">
        <v>88.16</v>
      </c>
      <c r="D1006" s="3113" t="s">
        <v>2911</v>
      </c>
    </row>
    <row r="1007" spans="1:4">
      <c r="A1007" s="3113">
        <v>1004</v>
      </c>
      <c r="B1007" s="3115" t="s">
        <v>3274</v>
      </c>
      <c r="C1007" s="3114">
        <v>88.16</v>
      </c>
      <c r="D1007" s="3113" t="s">
        <v>2911</v>
      </c>
    </row>
    <row r="1008" spans="1:4">
      <c r="A1008" s="3113">
        <v>1005</v>
      </c>
      <c r="B1008" s="3115" t="s">
        <v>3273</v>
      </c>
      <c r="C1008" s="3114">
        <v>88.16</v>
      </c>
      <c r="D1008" s="3113" t="s">
        <v>2911</v>
      </c>
    </row>
    <row r="1009" spans="1:4">
      <c r="A1009" s="3113">
        <v>1006</v>
      </c>
      <c r="B1009" s="3115" t="s">
        <v>3272</v>
      </c>
      <c r="C1009" s="3114">
        <v>88.16</v>
      </c>
      <c r="D1009" s="3113" t="s">
        <v>2911</v>
      </c>
    </row>
    <row r="1010" spans="1:4">
      <c r="A1010" s="3113">
        <v>1007</v>
      </c>
      <c r="B1010" s="3115" t="s">
        <v>3271</v>
      </c>
      <c r="C1010" s="3114">
        <v>88.16</v>
      </c>
      <c r="D1010" s="3113" t="s">
        <v>2911</v>
      </c>
    </row>
    <row r="1011" spans="1:4">
      <c r="A1011" s="3113">
        <v>1008</v>
      </c>
      <c r="B1011" s="3115" t="s">
        <v>3270</v>
      </c>
      <c r="C1011" s="3114">
        <v>88.16</v>
      </c>
      <c r="D1011" s="3113" t="s">
        <v>2911</v>
      </c>
    </row>
    <row r="1012" spans="1:4">
      <c r="A1012" s="3113">
        <v>1009</v>
      </c>
      <c r="B1012" s="3115" t="s">
        <v>3269</v>
      </c>
      <c r="C1012" s="3114">
        <v>88.16</v>
      </c>
      <c r="D1012" s="3113" t="s">
        <v>2911</v>
      </c>
    </row>
    <row r="1013" spans="1:4">
      <c r="A1013" s="3113">
        <v>1010</v>
      </c>
      <c r="B1013" s="3115" t="s">
        <v>3268</v>
      </c>
      <c r="C1013" s="3114">
        <v>88.16</v>
      </c>
      <c r="D1013" s="3113" t="s">
        <v>2911</v>
      </c>
    </row>
    <row r="1014" spans="1:4">
      <c r="A1014" s="3113">
        <v>1011</v>
      </c>
      <c r="B1014" s="3115" t="s">
        <v>3267</v>
      </c>
      <c r="C1014" s="3114">
        <v>88.16</v>
      </c>
      <c r="D1014" s="3113" t="s">
        <v>2911</v>
      </c>
    </row>
    <row r="1015" spans="1:4">
      <c r="A1015" s="3113">
        <v>1012</v>
      </c>
      <c r="B1015" s="3115" t="s">
        <v>3266</v>
      </c>
      <c r="C1015" s="3114">
        <v>88.16</v>
      </c>
      <c r="D1015" s="3113" t="s">
        <v>2911</v>
      </c>
    </row>
    <row r="1016" spans="1:4">
      <c r="A1016" s="3113">
        <v>1013</v>
      </c>
      <c r="B1016" s="3115" t="s">
        <v>3265</v>
      </c>
      <c r="C1016" s="3114">
        <v>88.16</v>
      </c>
      <c r="D1016" s="3113" t="s">
        <v>2911</v>
      </c>
    </row>
    <row r="1017" spans="1:4">
      <c r="A1017" s="3113">
        <v>1014</v>
      </c>
      <c r="B1017" s="3115" t="s">
        <v>3264</v>
      </c>
      <c r="C1017" s="3114">
        <v>88.16</v>
      </c>
      <c r="D1017" s="3113" t="s">
        <v>2911</v>
      </c>
    </row>
    <row r="1018" spans="1:4">
      <c r="A1018" s="3113">
        <v>1015</v>
      </c>
      <c r="B1018" s="3115" t="s">
        <v>3263</v>
      </c>
      <c r="C1018" s="3114">
        <v>136.66999999999999</v>
      </c>
      <c r="D1018" s="3113" t="s">
        <v>2911</v>
      </c>
    </row>
    <row r="1019" spans="1:4">
      <c r="A1019" s="3113">
        <v>1016</v>
      </c>
      <c r="B1019" s="3115" t="s">
        <v>3262</v>
      </c>
      <c r="C1019" s="3114">
        <v>136.66999999999999</v>
      </c>
      <c r="D1019" s="3113" t="s">
        <v>2911</v>
      </c>
    </row>
    <row r="1020" spans="1:4">
      <c r="A1020" s="3113">
        <v>1017</v>
      </c>
      <c r="B1020" s="3115" t="s">
        <v>3261</v>
      </c>
      <c r="C1020" s="3114">
        <v>136.66999999999999</v>
      </c>
      <c r="D1020" s="3113" t="s">
        <v>2911</v>
      </c>
    </row>
    <row r="1021" spans="1:4">
      <c r="A1021" s="3113">
        <v>1018</v>
      </c>
      <c r="B1021" s="3115" t="s">
        <v>3260</v>
      </c>
      <c r="C1021" s="3114">
        <v>136.66999999999999</v>
      </c>
      <c r="D1021" s="3113" t="s">
        <v>2911</v>
      </c>
    </row>
    <row r="1022" spans="1:4">
      <c r="A1022" s="3113">
        <v>1019</v>
      </c>
      <c r="B1022" s="3115" t="s">
        <v>3259</v>
      </c>
      <c r="C1022" s="3114">
        <v>136.66999999999999</v>
      </c>
      <c r="D1022" s="3113" t="s">
        <v>2911</v>
      </c>
    </row>
    <row r="1023" spans="1:4">
      <c r="A1023" s="3113">
        <v>1020</v>
      </c>
      <c r="B1023" s="3115" t="s">
        <v>3258</v>
      </c>
      <c r="C1023" s="3114">
        <v>136.66999999999999</v>
      </c>
      <c r="D1023" s="3113" t="s">
        <v>2911</v>
      </c>
    </row>
    <row r="1024" spans="1:4">
      <c r="A1024" s="3113">
        <v>1021</v>
      </c>
      <c r="B1024" s="3115" t="s">
        <v>3257</v>
      </c>
      <c r="C1024" s="3114">
        <v>136.66999999999999</v>
      </c>
      <c r="D1024" s="3113" t="s">
        <v>2911</v>
      </c>
    </row>
    <row r="1025" spans="1:4">
      <c r="A1025" s="3113">
        <v>1022</v>
      </c>
      <c r="B1025" s="3115" t="s">
        <v>3256</v>
      </c>
      <c r="C1025" s="3114">
        <v>136.66999999999999</v>
      </c>
      <c r="D1025" s="3113" t="s">
        <v>2911</v>
      </c>
    </row>
    <row r="1026" spans="1:4">
      <c r="A1026" s="3113">
        <v>1023</v>
      </c>
      <c r="B1026" s="3115" t="s">
        <v>3255</v>
      </c>
      <c r="C1026" s="3114">
        <v>136.66999999999999</v>
      </c>
      <c r="D1026" s="3113" t="s">
        <v>2911</v>
      </c>
    </row>
    <row r="1027" spans="1:4">
      <c r="A1027" s="3113">
        <v>1024</v>
      </c>
      <c r="B1027" s="3115" t="s">
        <v>3254</v>
      </c>
      <c r="C1027" s="3114">
        <v>136.66999999999999</v>
      </c>
      <c r="D1027" s="3113" t="s">
        <v>2911</v>
      </c>
    </row>
    <row r="1028" spans="1:4">
      <c r="A1028" s="3113">
        <v>1025</v>
      </c>
      <c r="B1028" s="3115" t="s">
        <v>3253</v>
      </c>
      <c r="C1028" s="3114">
        <v>136.66999999999999</v>
      </c>
      <c r="D1028" s="3113" t="s">
        <v>2911</v>
      </c>
    </row>
    <row r="1029" spans="1:4">
      <c r="A1029" s="3113">
        <v>1026</v>
      </c>
      <c r="B1029" s="3115" t="s">
        <v>3252</v>
      </c>
      <c r="C1029" s="3114">
        <v>136.66999999999999</v>
      </c>
      <c r="D1029" s="3113" t="s">
        <v>2911</v>
      </c>
    </row>
    <row r="1030" spans="1:4">
      <c r="A1030" s="3113">
        <v>1027</v>
      </c>
      <c r="B1030" s="3115" t="s">
        <v>3251</v>
      </c>
      <c r="C1030" s="3114">
        <v>68.760000000000005</v>
      </c>
      <c r="D1030" s="3113" t="s">
        <v>2911</v>
      </c>
    </row>
    <row r="1031" spans="1:4">
      <c r="A1031" s="3113">
        <v>1028</v>
      </c>
      <c r="B1031" s="3115" t="s">
        <v>3250</v>
      </c>
      <c r="C1031" s="3114">
        <v>136.66999999999999</v>
      </c>
      <c r="D1031" s="3113" t="s">
        <v>2911</v>
      </c>
    </row>
    <row r="1032" spans="1:4">
      <c r="A1032" s="3113">
        <v>1029</v>
      </c>
      <c r="B1032" s="3115" t="s">
        <v>3249</v>
      </c>
      <c r="C1032" s="3114">
        <v>136.66999999999999</v>
      </c>
      <c r="D1032" s="3113" t="s">
        <v>2911</v>
      </c>
    </row>
    <row r="1033" spans="1:4">
      <c r="A1033" s="3113">
        <v>1030</v>
      </c>
      <c r="B1033" s="3115" t="s">
        <v>3248</v>
      </c>
      <c r="C1033" s="3114">
        <v>136.66999999999999</v>
      </c>
      <c r="D1033" s="3113" t="s">
        <v>2911</v>
      </c>
    </row>
    <row r="1034" spans="1:4">
      <c r="A1034" s="3113">
        <v>1031</v>
      </c>
      <c r="B1034" s="3115" t="s">
        <v>3247</v>
      </c>
      <c r="C1034" s="3114">
        <v>136.66999999999999</v>
      </c>
      <c r="D1034" s="3113" t="s">
        <v>2911</v>
      </c>
    </row>
    <row r="1035" spans="1:4">
      <c r="A1035" s="3113">
        <v>1032</v>
      </c>
      <c r="B1035" s="3115" t="s">
        <v>3246</v>
      </c>
      <c r="C1035" s="3114">
        <v>136.66999999999999</v>
      </c>
      <c r="D1035" s="3113" t="s">
        <v>2911</v>
      </c>
    </row>
    <row r="1036" spans="1:4">
      <c r="A1036" s="3113">
        <v>1033</v>
      </c>
      <c r="B1036" s="3115" t="s">
        <v>3245</v>
      </c>
      <c r="C1036" s="3114">
        <v>136.66999999999999</v>
      </c>
      <c r="D1036" s="3113" t="s">
        <v>2911</v>
      </c>
    </row>
    <row r="1037" spans="1:4">
      <c r="A1037" s="3113">
        <v>1034</v>
      </c>
      <c r="B1037" s="3115" t="s">
        <v>3244</v>
      </c>
      <c r="C1037" s="3114">
        <v>136.66999999999999</v>
      </c>
      <c r="D1037" s="3113" t="s">
        <v>2911</v>
      </c>
    </row>
    <row r="1038" spans="1:4">
      <c r="A1038" s="3113">
        <v>1035</v>
      </c>
      <c r="B1038" s="3115" t="s">
        <v>3243</v>
      </c>
      <c r="C1038" s="3114">
        <v>136.66999999999999</v>
      </c>
      <c r="D1038" s="3113" t="s">
        <v>2911</v>
      </c>
    </row>
    <row r="1039" spans="1:4">
      <c r="A1039" s="3113">
        <v>1036</v>
      </c>
      <c r="B1039" s="3115" t="s">
        <v>3242</v>
      </c>
      <c r="C1039" s="3114">
        <v>136.66999999999999</v>
      </c>
      <c r="D1039" s="3113" t="s">
        <v>2911</v>
      </c>
    </row>
    <row r="1040" spans="1:4">
      <c r="A1040" s="3113">
        <v>1037</v>
      </c>
      <c r="B1040" s="3115" t="s">
        <v>3241</v>
      </c>
      <c r="C1040" s="3114">
        <v>136.66999999999999</v>
      </c>
      <c r="D1040" s="3113" t="s">
        <v>2911</v>
      </c>
    </row>
    <row r="1041" spans="1:4">
      <c r="A1041" s="3113">
        <v>1038</v>
      </c>
      <c r="B1041" s="3115" t="s">
        <v>3240</v>
      </c>
      <c r="C1041" s="3114">
        <v>136.66999999999999</v>
      </c>
      <c r="D1041" s="3113" t="s">
        <v>2911</v>
      </c>
    </row>
    <row r="1042" spans="1:4">
      <c r="A1042" s="3113">
        <v>1039</v>
      </c>
      <c r="B1042" s="3115" t="s">
        <v>3239</v>
      </c>
      <c r="C1042" s="3114">
        <v>136.66999999999999</v>
      </c>
      <c r="D1042" s="3113" t="s">
        <v>2911</v>
      </c>
    </row>
    <row r="1043" spans="1:4">
      <c r="A1043" s="3113">
        <v>1040</v>
      </c>
      <c r="B1043" s="3115" t="s">
        <v>3238</v>
      </c>
      <c r="C1043" s="3114">
        <v>136.66999999999999</v>
      </c>
      <c r="D1043" s="3113" t="s">
        <v>2911</v>
      </c>
    </row>
    <row r="1044" spans="1:4">
      <c r="A1044" s="3113">
        <v>1041</v>
      </c>
      <c r="B1044" s="3115" t="s">
        <v>3237</v>
      </c>
      <c r="C1044" s="3114">
        <v>68.760000000000005</v>
      </c>
      <c r="D1044" s="3113" t="s">
        <v>2911</v>
      </c>
    </row>
    <row r="1045" spans="1:4">
      <c r="A1045" s="3113">
        <v>1042</v>
      </c>
      <c r="B1045" s="3115" t="s">
        <v>3236</v>
      </c>
      <c r="C1045" s="3114">
        <v>88.19</v>
      </c>
      <c r="D1045" s="3113" t="s">
        <v>2911</v>
      </c>
    </row>
    <row r="1046" spans="1:4">
      <c r="A1046" s="3113">
        <v>1043</v>
      </c>
      <c r="B1046" s="3115" t="s">
        <v>3235</v>
      </c>
      <c r="C1046" s="3114">
        <v>88.19</v>
      </c>
      <c r="D1046" s="3113" t="s">
        <v>2911</v>
      </c>
    </row>
    <row r="1047" spans="1:4">
      <c r="A1047" s="3113">
        <v>1044</v>
      </c>
      <c r="B1047" s="3115" t="s">
        <v>3234</v>
      </c>
      <c r="C1047" s="3114">
        <v>88.19</v>
      </c>
      <c r="D1047" s="3113" t="s">
        <v>2911</v>
      </c>
    </row>
    <row r="1048" spans="1:4">
      <c r="A1048" s="3113">
        <v>1045</v>
      </c>
      <c r="B1048" s="3115" t="s">
        <v>3233</v>
      </c>
      <c r="C1048" s="3114">
        <v>88.19</v>
      </c>
      <c r="D1048" s="3113" t="s">
        <v>2911</v>
      </c>
    </row>
    <row r="1049" spans="1:4">
      <c r="A1049" s="3113">
        <v>1046</v>
      </c>
      <c r="B1049" s="3115" t="s">
        <v>3232</v>
      </c>
      <c r="C1049" s="3114">
        <v>88.19</v>
      </c>
      <c r="D1049" s="3113" t="s">
        <v>2911</v>
      </c>
    </row>
    <row r="1050" spans="1:4">
      <c r="A1050" s="3113">
        <v>1047</v>
      </c>
      <c r="B1050" s="3115" t="s">
        <v>3231</v>
      </c>
      <c r="C1050" s="3114">
        <v>88.19</v>
      </c>
      <c r="D1050" s="3113" t="s">
        <v>2911</v>
      </c>
    </row>
    <row r="1051" spans="1:4">
      <c r="A1051" s="3113">
        <v>1048</v>
      </c>
      <c r="B1051" s="3115" t="s">
        <v>3230</v>
      </c>
      <c r="C1051" s="3114">
        <v>88.19</v>
      </c>
      <c r="D1051" s="3113" t="s">
        <v>2911</v>
      </c>
    </row>
    <row r="1052" spans="1:4">
      <c r="A1052" s="3113">
        <v>1049</v>
      </c>
      <c r="B1052" s="3115" t="s">
        <v>3229</v>
      </c>
      <c r="C1052" s="3114">
        <v>88.19</v>
      </c>
      <c r="D1052" s="3113" t="s">
        <v>2911</v>
      </c>
    </row>
    <row r="1053" spans="1:4">
      <c r="A1053" s="3113">
        <v>1050</v>
      </c>
      <c r="B1053" s="3115" t="s">
        <v>3228</v>
      </c>
      <c r="C1053" s="3114">
        <v>88.19</v>
      </c>
      <c r="D1053" s="3113" t="s">
        <v>2911</v>
      </c>
    </row>
    <row r="1054" spans="1:4">
      <c r="A1054" s="3113">
        <v>1051</v>
      </c>
      <c r="B1054" s="3115" t="s">
        <v>3227</v>
      </c>
      <c r="C1054" s="3114">
        <v>88.19</v>
      </c>
      <c r="D1054" s="3113" t="s">
        <v>2911</v>
      </c>
    </row>
    <row r="1055" spans="1:4">
      <c r="A1055" s="3113">
        <v>1052</v>
      </c>
      <c r="B1055" s="3115" t="s">
        <v>3226</v>
      </c>
      <c r="C1055" s="3114">
        <v>88.19</v>
      </c>
      <c r="D1055" s="3113" t="s">
        <v>2911</v>
      </c>
    </row>
    <row r="1056" spans="1:4">
      <c r="A1056" s="3113">
        <v>1053</v>
      </c>
      <c r="B1056" s="3115" t="s">
        <v>3225</v>
      </c>
      <c r="C1056" s="3114">
        <v>88.19</v>
      </c>
      <c r="D1056" s="3113" t="s">
        <v>2911</v>
      </c>
    </row>
    <row r="1057" spans="1:4">
      <c r="A1057" s="3113">
        <v>1054</v>
      </c>
      <c r="B1057" s="3115" t="s">
        <v>3224</v>
      </c>
      <c r="C1057" s="3114">
        <v>88.19</v>
      </c>
      <c r="D1057" s="3113" t="s">
        <v>2911</v>
      </c>
    </row>
    <row r="1058" spans="1:4">
      <c r="A1058" s="3113">
        <v>1055</v>
      </c>
      <c r="B1058" s="3115" t="s">
        <v>3223</v>
      </c>
      <c r="C1058" s="3114">
        <v>88.19</v>
      </c>
      <c r="D1058" s="3113" t="s">
        <v>2911</v>
      </c>
    </row>
    <row r="1059" spans="1:4">
      <c r="A1059" s="3113">
        <v>1056</v>
      </c>
      <c r="B1059" s="3115" t="s">
        <v>3222</v>
      </c>
      <c r="C1059" s="3114">
        <v>88.19</v>
      </c>
      <c r="D1059" s="3113" t="s">
        <v>2911</v>
      </c>
    </row>
    <row r="1060" spans="1:4">
      <c r="A1060" s="3113">
        <v>1057</v>
      </c>
      <c r="B1060" s="3115" t="s">
        <v>3221</v>
      </c>
      <c r="C1060" s="3114">
        <v>88.19</v>
      </c>
      <c r="D1060" s="3113" t="s">
        <v>2911</v>
      </c>
    </row>
    <row r="1061" spans="1:4">
      <c r="A1061" s="3113">
        <v>1058</v>
      </c>
      <c r="B1061" s="3115" t="s">
        <v>3220</v>
      </c>
      <c r="C1061" s="3114">
        <v>88.19</v>
      </c>
      <c r="D1061" s="3113" t="s">
        <v>2911</v>
      </c>
    </row>
    <row r="1062" spans="1:4">
      <c r="A1062" s="3113">
        <v>1059</v>
      </c>
      <c r="B1062" s="3115" t="s">
        <v>3219</v>
      </c>
      <c r="C1062" s="3114">
        <v>88.19</v>
      </c>
      <c r="D1062" s="3113" t="s">
        <v>2911</v>
      </c>
    </row>
    <row r="1063" spans="1:4">
      <c r="A1063" s="3113">
        <v>1060</v>
      </c>
      <c r="B1063" s="3115" t="s">
        <v>3218</v>
      </c>
      <c r="C1063" s="3114">
        <v>88.19</v>
      </c>
      <c r="D1063" s="3113" t="s">
        <v>2911</v>
      </c>
    </row>
    <row r="1064" spans="1:4">
      <c r="A1064" s="3113">
        <v>1061</v>
      </c>
      <c r="B1064" s="3115" t="s">
        <v>3217</v>
      </c>
      <c r="C1064" s="3114">
        <v>88.19</v>
      </c>
      <c r="D1064" s="3113" t="s">
        <v>2911</v>
      </c>
    </row>
    <row r="1065" spans="1:4">
      <c r="A1065" s="3113">
        <v>1062</v>
      </c>
      <c r="B1065" s="3115" t="s">
        <v>3216</v>
      </c>
      <c r="C1065" s="3114">
        <v>88.19</v>
      </c>
      <c r="D1065" s="3113" t="s">
        <v>2911</v>
      </c>
    </row>
    <row r="1066" spans="1:4">
      <c r="A1066" s="3113">
        <v>1063</v>
      </c>
      <c r="B1066" s="3115" t="s">
        <v>3215</v>
      </c>
      <c r="C1066" s="3114">
        <v>88.19</v>
      </c>
      <c r="D1066" s="3113" t="s">
        <v>2911</v>
      </c>
    </row>
    <row r="1067" spans="1:4">
      <c r="A1067" s="3113">
        <v>1064</v>
      </c>
      <c r="B1067" s="3115" t="s">
        <v>3214</v>
      </c>
      <c r="C1067" s="3114">
        <v>88.19</v>
      </c>
      <c r="D1067" s="3113" t="s">
        <v>2911</v>
      </c>
    </row>
    <row r="1068" spans="1:4">
      <c r="A1068" s="3113">
        <v>1065</v>
      </c>
      <c r="B1068" s="3115" t="s">
        <v>3213</v>
      </c>
      <c r="C1068" s="3114">
        <v>88.19</v>
      </c>
      <c r="D1068" s="3113" t="s">
        <v>2911</v>
      </c>
    </row>
    <row r="1069" spans="1:4">
      <c r="A1069" s="3113">
        <v>1066</v>
      </c>
      <c r="B1069" s="3115" t="s">
        <v>3212</v>
      </c>
      <c r="C1069" s="3114">
        <v>88.19</v>
      </c>
      <c r="D1069" s="3113" t="s">
        <v>2911</v>
      </c>
    </row>
    <row r="1070" spans="1:4">
      <c r="A1070" s="3113">
        <v>1067</v>
      </c>
      <c r="B1070" s="3115" t="s">
        <v>3211</v>
      </c>
      <c r="C1070" s="3114">
        <v>88.19</v>
      </c>
      <c r="D1070" s="3113" t="s">
        <v>2911</v>
      </c>
    </row>
    <row r="1071" spans="1:4">
      <c r="A1071" s="3113">
        <v>1068</v>
      </c>
      <c r="B1071" s="3115" t="s">
        <v>3210</v>
      </c>
      <c r="C1071" s="3114">
        <v>88.19</v>
      </c>
      <c r="D1071" s="3113" t="s">
        <v>2911</v>
      </c>
    </row>
    <row r="1072" spans="1:4">
      <c r="A1072" s="3113">
        <v>1069</v>
      </c>
      <c r="B1072" s="3115" t="s">
        <v>3209</v>
      </c>
      <c r="C1072" s="3114">
        <v>88.19</v>
      </c>
      <c r="D1072" s="3113" t="s">
        <v>2911</v>
      </c>
    </row>
    <row r="1073" spans="1:4">
      <c r="A1073" s="3113">
        <v>1070</v>
      </c>
      <c r="B1073" s="3115" t="s">
        <v>3208</v>
      </c>
      <c r="C1073" s="3114">
        <v>88.19</v>
      </c>
      <c r="D1073" s="3113" t="s">
        <v>2911</v>
      </c>
    </row>
    <row r="1074" spans="1:4">
      <c r="A1074" s="3113">
        <v>1071</v>
      </c>
      <c r="B1074" s="3115" t="s">
        <v>3207</v>
      </c>
      <c r="C1074" s="3114">
        <v>88.06</v>
      </c>
      <c r="D1074" s="3113" t="s">
        <v>2911</v>
      </c>
    </row>
    <row r="1075" spans="1:4">
      <c r="A1075" s="3113">
        <v>1072</v>
      </c>
      <c r="B1075" s="3115" t="s">
        <v>3206</v>
      </c>
      <c r="C1075" s="3114">
        <v>88.06</v>
      </c>
      <c r="D1075" s="3113" t="s">
        <v>2911</v>
      </c>
    </row>
    <row r="1076" spans="1:4">
      <c r="A1076" s="3113">
        <v>1073</v>
      </c>
      <c r="B1076" s="3115" t="s">
        <v>3205</v>
      </c>
      <c r="C1076" s="3114">
        <v>88.06</v>
      </c>
      <c r="D1076" s="3113" t="s">
        <v>2911</v>
      </c>
    </row>
    <row r="1077" spans="1:4">
      <c r="A1077" s="3113">
        <v>1074</v>
      </c>
      <c r="B1077" s="3115" t="s">
        <v>3204</v>
      </c>
      <c r="C1077" s="3114">
        <v>88.06</v>
      </c>
      <c r="D1077" s="3113" t="s">
        <v>2911</v>
      </c>
    </row>
    <row r="1078" spans="1:4">
      <c r="A1078" s="3113">
        <v>1075</v>
      </c>
      <c r="B1078" s="3115" t="s">
        <v>3203</v>
      </c>
      <c r="C1078" s="3114">
        <v>88.06</v>
      </c>
      <c r="D1078" s="3113" t="s">
        <v>2911</v>
      </c>
    </row>
    <row r="1079" spans="1:4">
      <c r="A1079" s="3113">
        <v>1076</v>
      </c>
      <c r="B1079" s="3115" t="s">
        <v>3202</v>
      </c>
      <c r="C1079" s="3114">
        <v>88.06</v>
      </c>
      <c r="D1079" s="3113" t="s">
        <v>2911</v>
      </c>
    </row>
    <row r="1080" spans="1:4">
      <c r="A1080" s="3113">
        <v>1077</v>
      </c>
      <c r="B1080" s="3115" t="s">
        <v>3201</v>
      </c>
      <c r="C1080" s="3114">
        <v>88.06</v>
      </c>
      <c r="D1080" s="3113" t="s">
        <v>2911</v>
      </c>
    </row>
    <row r="1081" spans="1:4">
      <c r="A1081" s="3113">
        <v>1078</v>
      </c>
      <c r="B1081" s="3115" t="s">
        <v>3200</v>
      </c>
      <c r="C1081" s="3114">
        <v>88.06</v>
      </c>
      <c r="D1081" s="3113" t="s">
        <v>2911</v>
      </c>
    </row>
    <row r="1082" spans="1:4">
      <c r="A1082" s="3113">
        <v>1079</v>
      </c>
      <c r="B1082" s="3115" t="s">
        <v>3199</v>
      </c>
      <c r="C1082" s="3114">
        <v>88.06</v>
      </c>
      <c r="D1082" s="3113" t="s">
        <v>2911</v>
      </c>
    </row>
    <row r="1083" spans="1:4">
      <c r="A1083" s="3113">
        <v>1080</v>
      </c>
      <c r="B1083" s="3115" t="s">
        <v>3198</v>
      </c>
      <c r="C1083" s="3114">
        <v>88.06</v>
      </c>
      <c r="D1083" s="3113" t="s">
        <v>2911</v>
      </c>
    </row>
    <row r="1084" spans="1:4">
      <c r="A1084" s="3113">
        <v>1081</v>
      </c>
      <c r="B1084" s="3115" t="s">
        <v>3197</v>
      </c>
      <c r="C1084" s="3114">
        <v>88.06</v>
      </c>
      <c r="D1084" s="3113" t="s">
        <v>2911</v>
      </c>
    </row>
    <row r="1085" spans="1:4">
      <c r="A1085" s="3113">
        <v>1082</v>
      </c>
      <c r="B1085" s="3115" t="s">
        <v>3196</v>
      </c>
      <c r="C1085" s="3114">
        <v>88.06</v>
      </c>
      <c r="D1085" s="3113" t="s">
        <v>2911</v>
      </c>
    </row>
    <row r="1086" spans="1:4">
      <c r="A1086" s="3113">
        <v>1083</v>
      </c>
      <c r="B1086" s="3115" t="s">
        <v>3195</v>
      </c>
      <c r="C1086" s="3114">
        <v>88.06</v>
      </c>
      <c r="D1086" s="3113" t="s">
        <v>2911</v>
      </c>
    </row>
    <row r="1087" spans="1:4">
      <c r="A1087" s="3113">
        <v>1084</v>
      </c>
      <c r="B1087" s="3115" t="s">
        <v>3194</v>
      </c>
      <c r="C1087" s="3114">
        <v>88.06</v>
      </c>
      <c r="D1087" s="3113" t="s">
        <v>2911</v>
      </c>
    </row>
    <row r="1088" spans="1:4">
      <c r="A1088" s="3113">
        <v>1085</v>
      </c>
      <c r="B1088" s="3115" t="s">
        <v>3193</v>
      </c>
      <c r="C1088" s="3114">
        <v>88.06</v>
      </c>
      <c r="D1088" s="3113" t="s">
        <v>2911</v>
      </c>
    </row>
    <row r="1089" spans="1:4">
      <c r="A1089" s="3113">
        <v>1086</v>
      </c>
      <c r="B1089" s="3115" t="s">
        <v>3192</v>
      </c>
      <c r="C1089" s="3114">
        <v>88.06</v>
      </c>
      <c r="D1089" s="3113" t="s">
        <v>2911</v>
      </c>
    </row>
    <row r="1090" spans="1:4">
      <c r="A1090" s="3113">
        <v>1087</v>
      </c>
      <c r="B1090" s="3115" t="s">
        <v>3191</v>
      </c>
      <c r="C1090" s="3114">
        <v>88.06</v>
      </c>
      <c r="D1090" s="3113" t="s">
        <v>2911</v>
      </c>
    </row>
    <row r="1091" spans="1:4">
      <c r="A1091" s="3113">
        <v>1088</v>
      </c>
      <c r="B1091" s="3115" t="s">
        <v>3190</v>
      </c>
      <c r="C1091" s="3114">
        <v>88.06</v>
      </c>
      <c r="D1091" s="3113" t="s">
        <v>2911</v>
      </c>
    </row>
    <row r="1092" spans="1:4">
      <c r="A1092" s="3113">
        <v>1089</v>
      </c>
      <c r="B1092" s="3115" t="s">
        <v>3189</v>
      </c>
      <c r="C1092" s="3114">
        <v>88.06</v>
      </c>
      <c r="D1092" s="3113" t="s">
        <v>2911</v>
      </c>
    </row>
    <row r="1093" spans="1:4">
      <c r="A1093" s="3113">
        <v>1090</v>
      </c>
      <c r="B1093" s="3115" t="s">
        <v>3188</v>
      </c>
      <c r="C1093" s="3114">
        <v>88.06</v>
      </c>
      <c r="D1093" s="3113" t="s">
        <v>2911</v>
      </c>
    </row>
    <row r="1094" spans="1:4">
      <c r="A1094" s="3113">
        <v>1091</v>
      </c>
      <c r="B1094" s="3115" t="s">
        <v>3187</v>
      </c>
      <c r="C1094" s="3114">
        <v>88.06</v>
      </c>
      <c r="D1094" s="3113" t="s">
        <v>2911</v>
      </c>
    </row>
    <row r="1095" spans="1:4">
      <c r="A1095" s="3113">
        <v>1092</v>
      </c>
      <c r="B1095" s="3115" t="s">
        <v>3186</v>
      </c>
      <c r="C1095" s="3114">
        <v>88.06</v>
      </c>
      <c r="D1095" s="3113" t="s">
        <v>2911</v>
      </c>
    </row>
    <row r="1096" spans="1:4">
      <c r="A1096" s="3113">
        <v>1093</v>
      </c>
      <c r="B1096" s="3115" t="s">
        <v>3185</v>
      </c>
      <c r="C1096" s="3114">
        <v>88.06</v>
      </c>
      <c r="D1096" s="3113" t="s">
        <v>2911</v>
      </c>
    </row>
    <row r="1097" spans="1:4">
      <c r="A1097" s="3113">
        <v>1094</v>
      </c>
      <c r="B1097" s="3115" t="s">
        <v>3184</v>
      </c>
      <c r="C1097" s="3114">
        <v>88.06</v>
      </c>
      <c r="D1097" s="3113" t="s">
        <v>2911</v>
      </c>
    </row>
    <row r="1098" spans="1:4">
      <c r="A1098" s="3113">
        <v>1095</v>
      </c>
      <c r="B1098" s="3115" t="s">
        <v>3183</v>
      </c>
      <c r="C1098" s="3114">
        <v>88.06</v>
      </c>
      <c r="D1098" s="3113" t="s">
        <v>2911</v>
      </c>
    </row>
    <row r="1099" spans="1:4">
      <c r="A1099" s="3113">
        <v>1096</v>
      </c>
      <c r="B1099" s="3115" t="s">
        <v>3182</v>
      </c>
      <c r="C1099" s="3114">
        <v>88.06</v>
      </c>
      <c r="D1099" s="3113" t="s">
        <v>2911</v>
      </c>
    </row>
    <row r="1100" spans="1:4">
      <c r="A1100" s="3113">
        <v>1097</v>
      </c>
      <c r="B1100" s="3115" t="s">
        <v>3181</v>
      </c>
      <c r="C1100" s="3114">
        <v>88.06</v>
      </c>
      <c r="D1100" s="3113" t="s">
        <v>2911</v>
      </c>
    </row>
    <row r="1101" spans="1:4">
      <c r="A1101" s="3113">
        <v>1098</v>
      </c>
      <c r="B1101" s="3115" t="s">
        <v>3180</v>
      </c>
      <c r="C1101" s="3114">
        <v>88.06</v>
      </c>
      <c r="D1101" s="3113" t="s">
        <v>2911</v>
      </c>
    </row>
    <row r="1102" spans="1:4">
      <c r="A1102" s="3113">
        <v>1099</v>
      </c>
      <c r="B1102" s="3115" t="s">
        <v>3179</v>
      </c>
      <c r="C1102" s="3114">
        <v>88.06</v>
      </c>
      <c r="D1102" s="3113" t="s">
        <v>2911</v>
      </c>
    </row>
    <row r="1103" spans="1:4">
      <c r="A1103" s="3113">
        <v>1100</v>
      </c>
      <c r="B1103" s="3115" t="s">
        <v>3178</v>
      </c>
      <c r="C1103" s="3114">
        <v>137.88</v>
      </c>
      <c r="D1103" s="3113" t="s">
        <v>2911</v>
      </c>
    </row>
    <row r="1104" spans="1:4">
      <c r="A1104" s="3113">
        <v>1101</v>
      </c>
      <c r="B1104" s="3115" t="s">
        <v>3177</v>
      </c>
      <c r="C1104" s="3114">
        <v>137.88</v>
      </c>
      <c r="D1104" s="3113" t="s">
        <v>2911</v>
      </c>
    </row>
    <row r="1105" spans="1:4">
      <c r="A1105" s="3113">
        <v>1102</v>
      </c>
      <c r="B1105" s="3115" t="s">
        <v>3176</v>
      </c>
      <c r="C1105" s="3114">
        <v>137.88</v>
      </c>
      <c r="D1105" s="3113" t="s">
        <v>2911</v>
      </c>
    </row>
    <row r="1106" spans="1:4">
      <c r="A1106" s="3113">
        <v>1103</v>
      </c>
      <c r="B1106" s="3115" t="s">
        <v>3175</v>
      </c>
      <c r="C1106" s="3114">
        <v>137.88</v>
      </c>
      <c r="D1106" s="3113" t="s">
        <v>2911</v>
      </c>
    </row>
    <row r="1107" spans="1:4">
      <c r="A1107" s="3113">
        <v>1104</v>
      </c>
      <c r="B1107" s="3115" t="s">
        <v>3174</v>
      </c>
      <c r="C1107" s="3114">
        <v>137.88</v>
      </c>
      <c r="D1107" s="3113" t="s">
        <v>2911</v>
      </c>
    </row>
    <row r="1108" spans="1:4">
      <c r="A1108" s="3113">
        <v>1105</v>
      </c>
      <c r="B1108" s="3115" t="s">
        <v>3173</v>
      </c>
      <c r="C1108" s="3114">
        <v>137.88</v>
      </c>
      <c r="D1108" s="3113" t="s">
        <v>2911</v>
      </c>
    </row>
    <row r="1109" spans="1:4">
      <c r="A1109" s="3113">
        <v>1106</v>
      </c>
      <c r="B1109" s="3115" t="s">
        <v>3172</v>
      </c>
      <c r="C1109" s="3114">
        <v>137.88</v>
      </c>
      <c r="D1109" s="3113" t="s">
        <v>2911</v>
      </c>
    </row>
    <row r="1110" spans="1:4">
      <c r="A1110" s="3113">
        <v>1107</v>
      </c>
      <c r="B1110" s="3115" t="s">
        <v>3171</v>
      </c>
      <c r="C1110" s="3114">
        <v>137.88</v>
      </c>
      <c r="D1110" s="3113" t="s">
        <v>2911</v>
      </c>
    </row>
    <row r="1111" spans="1:4">
      <c r="A1111" s="3113">
        <v>1108</v>
      </c>
      <c r="B1111" s="3115" t="s">
        <v>3170</v>
      </c>
      <c r="C1111" s="3114">
        <v>137.88</v>
      </c>
      <c r="D1111" s="3113" t="s">
        <v>2911</v>
      </c>
    </row>
    <row r="1112" spans="1:4">
      <c r="A1112" s="3113">
        <v>1109</v>
      </c>
      <c r="B1112" s="3115" t="s">
        <v>3169</v>
      </c>
      <c r="C1112" s="3114">
        <v>137.88</v>
      </c>
      <c r="D1112" s="3113" t="s">
        <v>2911</v>
      </c>
    </row>
    <row r="1113" spans="1:4">
      <c r="A1113" s="3113">
        <v>1110</v>
      </c>
      <c r="B1113" s="3115" t="s">
        <v>3168</v>
      </c>
      <c r="C1113" s="3114">
        <v>137.88</v>
      </c>
      <c r="D1113" s="3113" t="s">
        <v>2911</v>
      </c>
    </row>
    <row r="1114" spans="1:4">
      <c r="A1114" s="3113">
        <v>1111</v>
      </c>
      <c r="B1114" s="3115" t="s">
        <v>3167</v>
      </c>
      <c r="C1114" s="3114">
        <v>137.88</v>
      </c>
      <c r="D1114" s="3113" t="s">
        <v>2911</v>
      </c>
    </row>
    <row r="1115" spans="1:4">
      <c r="A1115" s="3113">
        <v>1112</v>
      </c>
      <c r="B1115" s="3115" t="s">
        <v>3166</v>
      </c>
      <c r="C1115" s="3114">
        <v>137.88</v>
      </c>
      <c r="D1115" s="3113" t="s">
        <v>2911</v>
      </c>
    </row>
    <row r="1116" spans="1:4">
      <c r="A1116" s="3113">
        <v>1113</v>
      </c>
      <c r="B1116" s="3115" t="s">
        <v>3165</v>
      </c>
      <c r="C1116" s="3114">
        <v>137.88</v>
      </c>
      <c r="D1116" s="3113" t="s">
        <v>2911</v>
      </c>
    </row>
    <row r="1117" spans="1:4">
      <c r="A1117" s="3113">
        <v>1114</v>
      </c>
      <c r="B1117" s="3115" t="s">
        <v>3164</v>
      </c>
      <c r="C1117" s="3114">
        <v>137.88</v>
      </c>
      <c r="D1117" s="3113" t="s">
        <v>2911</v>
      </c>
    </row>
    <row r="1118" spans="1:4">
      <c r="A1118" s="3113">
        <v>1115</v>
      </c>
      <c r="B1118" s="3115" t="s">
        <v>3163</v>
      </c>
      <c r="C1118" s="3114">
        <v>137.88</v>
      </c>
      <c r="D1118" s="3113" t="s">
        <v>2911</v>
      </c>
    </row>
    <row r="1119" spans="1:4">
      <c r="A1119" s="3113">
        <v>1116</v>
      </c>
      <c r="B1119" s="3115" t="s">
        <v>3162</v>
      </c>
      <c r="C1119" s="3114">
        <v>137.88</v>
      </c>
      <c r="D1119" s="3113" t="s">
        <v>2911</v>
      </c>
    </row>
    <row r="1120" spans="1:4">
      <c r="A1120" s="3113">
        <v>1117</v>
      </c>
      <c r="B1120" s="3115" t="s">
        <v>3161</v>
      </c>
      <c r="C1120" s="3114">
        <v>137.88</v>
      </c>
      <c r="D1120" s="3113" t="s">
        <v>2911</v>
      </c>
    </row>
    <row r="1121" spans="1:4">
      <c r="A1121" s="3113">
        <v>1118</v>
      </c>
      <c r="B1121" s="3115" t="s">
        <v>3160</v>
      </c>
      <c r="C1121" s="3114">
        <v>137.88</v>
      </c>
      <c r="D1121" s="3113" t="s">
        <v>2911</v>
      </c>
    </row>
    <row r="1122" spans="1:4">
      <c r="A1122" s="3113">
        <v>1119</v>
      </c>
      <c r="B1122" s="3115" t="s">
        <v>3159</v>
      </c>
      <c r="C1122" s="3114">
        <v>137.88</v>
      </c>
      <c r="D1122" s="3113" t="s">
        <v>2911</v>
      </c>
    </row>
    <row r="1123" spans="1:4">
      <c r="A1123" s="3113">
        <v>1120</v>
      </c>
      <c r="B1123" s="3115" t="s">
        <v>3158</v>
      </c>
      <c r="C1123" s="3114">
        <v>137.88</v>
      </c>
      <c r="D1123" s="3113" t="s">
        <v>2911</v>
      </c>
    </row>
    <row r="1124" spans="1:4">
      <c r="A1124" s="3113">
        <v>1121</v>
      </c>
      <c r="B1124" s="3115" t="s">
        <v>3157</v>
      </c>
      <c r="C1124" s="3114">
        <v>137.88</v>
      </c>
      <c r="D1124" s="3113" t="s">
        <v>2911</v>
      </c>
    </row>
    <row r="1125" spans="1:4">
      <c r="A1125" s="3113">
        <v>1122</v>
      </c>
      <c r="B1125" s="3115" t="s">
        <v>3156</v>
      </c>
      <c r="C1125" s="3114">
        <v>137.88</v>
      </c>
      <c r="D1125" s="3113" t="s">
        <v>2911</v>
      </c>
    </row>
    <row r="1126" spans="1:4">
      <c r="A1126" s="3113">
        <v>1123</v>
      </c>
      <c r="B1126" s="3115" t="s">
        <v>3155</v>
      </c>
      <c r="C1126" s="3114">
        <v>137.88</v>
      </c>
      <c r="D1126" s="3113" t="s">
        <v>2911</v>
      </c>
    </row>
    <row r="1127" spans="1:4">
      <c r="A1127" s="3113">
        <v>1124</v>
      </c>
      <c r="B1127" s="3115" t="s">
        <v>3154</v>
      </c>
      <c r="C1127" s="3114">
        <v>137.88</v>
      </c>
      <c r="D1127" s="3113" t="s">
        <v>2911</v>
      </c>
    </row>
    <row r="1128" spans="1:4">
      <c r="A1128" s="3113">
        <v>1125</v>
      </c>
      <c r="B1128" s="3115" t="s">
        <v>3153</v>
      </c>
      <c r="C1128" s="3114">
        <v>137.88</v>
      </c>
      <c r="D1128" s="3113" t="s">
        <v>2911</v>
      </c>
    </row>
    <row r="1129" spans="1:4">
      <c r="A1129" s="3113">
        <v>1126</v>
      </c>
      <c r="B1129" s="3115" t="s">
        <v>3152</v>
      </c>
      <c r="C1129" s="3114">
        <v>137.88</v>
      </c>
      <c r="D1129" s="3113" t="s">
        <v>2911</v>
      </c>
    </row>
    <row r="1130" spans="1:4">
      <c r="A1130" s="3113">
        <v>1127</v>
      </c>
      <c r="B1130" s="3115" t="s">
        <v>3151</v>
      </c>
      <c r="C1130" s="3114">
        <v>137.88</v>
      </c>
      <c r="D1130" s="3113" t="s">
        <v>2911</v>
      </c>
    </row>
    <row r="1131" spans="1:4">
      <c r="A1131" s="3113">
        <v>1128</v>
      </c>
      <c r="B1131" s="3115" t="s">
        <v>3150</v>
      </c>
      <c r="C1131" s="3114">
        <v>123.76</v>
      </c>
      <c r="D1131" s="3113" t="s">
        <v>2911</v>
      </c>
    </row>
    <row r="1132" spans="1:4">
      <c r="A1132" s="3113">
        <v>1129</v>
      </c>
      <c r="B1132" s="3115" t="s">
        <v>3149</v>
      </c>
      <c r="C1132" s="3114">
        <v>112.46</v>
      </c>
      <c r="D1132" s="3113" t="s">
        <v>2911</v>
      </c>
    </row>
    <row r="1133" spans="1:4">
      <c r="A1133" s="3113">
        <v>1130</v>
      </c>
      <c r="B1133" s="3115" t="s">
        <v>3148</v>
      </c>
      <c r="C1133" s="3114">
        <v>112.46</v>
      </c>
      <c r="D1133" s="3113" t="s">
        <v>2911</v>
      </c>
    </row>
    <row r="1134" spans="1:4">
      <c r="A1134" s="3113">
        <v>1131</v>
      </c>
      <c r="B1134" s="3115" t="s">
        <v>3147</v>
      </c>
      <c r="C1134" s="3114">
        <v>112.46</v>
      </c>
      <c r="D1134" s="3113" t="s">
        <v>2911</v>
      </c>
    </row>
    <row r="1135" spans="1:4">
      <c r="A1135" s="3113">
        <v>1132</v>
      </c>
      <c r="B1135" s="3115" t="s">
        <v>3146</v>
      </c>
      <c r="C1135" s="3114">
        <v>112.46</v>
      </c>
      <c r="D1135" s="3113" t="s">
        <v>2911</v>
      </c>
    </row>
    <row r="1136" spans="1:4">
      <c r="A1136" s="3113">
        <v>1133</v>
      </c>
      <c r="B1136" s="3115" t="s">
        <v>3145</v>
      </c>
      <c r="C1136" s="3114">
        <v>112.46</v>
      </c>
      <c r="D1136" s="3113" t="s">
        <v>2911</v>
      </c>
    </row>
    <row r="1137" spans="1:4">
      <c r="A1137" s="3113">
        <v>1134</v>
      </c>
      <c r="B1137" s="3115" t="s">
        <v>3144</v>
      </c>
      <c r="C1137" s="3114">
        <v>112.46</v>
      </c>
      <c r="D1137" s="3113" t="s">
        <v>2911</v>
      </c>
    </row>
    <row r="1138" spans="1:4">
      <c r="A1138" s="3113">
        <v>1135</v>
      </c>
      <c r="B1138" s="3115" t="s">
        <v>3143</v>
      </c>
      <c r="C1138" s="3114">
        <v>112.46</v>
      </c>
      <c r="D1138" s="3113" t="s">
        <v>2911</v>
      </c>
    </row>
    <row r="1139" spans="1:4">
      <c r="A1139" s="3113">
        <v>1136</v>
      </c>
      <c r="B1139" s="3115" t="s">
        <v>3142</v>
      </c>
      <c r="C1139" s="3114">
        <v>112.46</v>
      </c>
      <c r="D1139" s="3113" t="s">
        <v>2911</v>
      </c>
    </row>
    <row r="1140" spans="1:4">
      <c r="A1140" s="3113">
        <v>1137</v>
      </c>
      <c r="B1140" s="3115" t="s">
        <v>3141</v>
      </c>
      <c r="C1140" s="3114">
        <v>112.46</v>
      </c>
      <c r="D1140" s="3113" t="s">
        <v>2911</v>
      </c>
    </row>
    <row r="1141" spans="1:4">
      <c r="A1141" s="3113">
        <v>1138</v>
      </c>
      <c r="B1141" s="3115" t="s">
        <v>3140</v>
      </c>
      <c r="C1141" s="3114">
        <v>112.46</v>
      </c>
      <c r="D1141" s="3113" t="s">
        <v>2911</v>
      </c>
    </row>
    <row r="1142" spans="1:4">
      <c r="A1142" s="3113">
        <v>1139</v>
      </c>
      <c r="B1142" s="3115" t="s">
        <v>3139</v>
      </c>
      <c r="C1142" s="3114">
        <v>112.46</v>
      </c>
      <c r="D1142" s="3113" t="s">
        <v>2911</v>
      </c>
    </row>
    <row r="1143" spans="1:4">
      <c r="A1143" s="3113">
        <v>1140</v>
      </c>
      <c r="B1143" s="3115" t="s">
        <v>3138</v>
      </c>
      <c r="C1143" s="3114">
        <v>112.46</v>
      </c>
      <c r="D1143" s="3113" t="s">
        <v>2911</v>
      </c>
    </row>
    <row r="1144" spans="1:4">
      <c r="A1144" s="3113">
        <v>1141</v>
      </c>
      <c r="B1144" s="3115" t="s">
        <v>3137</v>
      </c>
      <c r="C1144" s="3114">
        <v>112.46</v>
      </c>
      <c r="D1144" s="3113" t="s">
        <v>2911</v>
      </c>
    </row>
    <row r="1145" spans="1:4">
      <c r="A1145" s="3113">
        <v>1142</v>
      </c>
      <c r="B1145" s="3115" t="s">
        <v>3136</v>
      </c>
      <c r="C1145" s="3114">
        <v>112.46</v>
      </c>
      <c r="D1145" s="3113" t="s">
        <v>2911</v>
      </c>
    </row>
    <row r="1146" spans="1:4">
      <c r="A1146" s="3113">
        <v>1143</v>
      </c>
      <c r="B1146" s="3115" t="s">
        <v>3135</v>
      </c>
      <c r="C1146" s="3114">
        <v>112.46</v>
      </c>
      <c r="D1146" s="3113" t="s">
        <v>2911</v>
      </c>
    </row>
    <row r="1147" spans="1:4">
      <c r="A1147" s="3113">
        <v>1144</v>
      </c>
      <c r="B1147" s="3115" t="s">
        <v>3134</v>
      </c>
      <c r="C1147" s="3114">
        <v>112.46</v>
      </c>
      <c r="D1147" s="3113" t="s">
        <v>2911</v>
      </c>
    </row>
    <row r="1148" spans="1:4">
      <c r="A1148" s="3113">
        <v>1145</v>
      </c>
      <c r="B1148" s="3115" t="s">
        <v>3133</v>
      </c>
      <c r="C1148" s="3114">
        <v>112.46</v>
      </c>
      <c r="D1148" s="3113" t="s">
        <v>2911</v>
      </c>
    </row>
    <row r="1149" spans="1:4">
      <c r="A1149" s="3113">
        <v>1146</v>
      </c>
      <c r="B1149" s="3115" t="s">
        <v>3132</v>
      </c>
      <c r="C1149" s="3114">
        <v>112.46</v>
      </c>
      <c r="D1149" s="3113" t="s">
        <v>2911</v>
      </c>
    </row>
    <row r="1150" spans="1:4">
      <c r="A1150" s="3113">
        <v>1147</v>
      </c>
      <c r="B1150" s="3115" t="s">
        <v>3131</v>
      </c>
      <c r="C1150" s="3114">
        <v>112.46</v>
      </c>
      <c r="D1150" s="3113" t="s">
        <v>2911</v>
      </c>
    </row>
    <row r="1151" spans="1:4">
      <c r="A1151" s="3113">
        <v>1148</v>
      </c>
      <c r="B1151" s="3115" t="s">
        <v>3130</v>
      </c>
      <c r="C1151" s="3114">
        <v>112.46</v>
      </c>
      <c r="D1151" s="3113" t="s">
        <v>2911</v>
      </c>
    </row>
    <row r="1152" spans="1:4">
      <c r="A1152" s="3113">
        <v>1149</v>
      </c>
      <c r="B1152" s="3115" t="s">
        <v>3129</v>
      </c>
      <c r="C1152" s="3114">
        <v>112.46</v>
      </c>
      <c r="D1152" s="3113" t="s">
        <v>2911</v>
      </c>
    </row>
    <row r="1153" spans="1:4">
      <c r="A1153" s="3113">
        <v>1150</v>
      </c>
      <c r="B1153" s="3115" t="s">
        <v>3128</v>
      </c>
      <c r="C1153" s="3114">
        <v>112.46</v>
      </c>
      <c r="D1153" s="3113" t="s">
        <v>2911</v>
      </c>
    </row>
    <row r="1154" spans="1:4">
      <c r="A1154" s="3113">
        <v>1151</v>
      </c>
      <c r="B1154" s="3115" t="s">
        <v>3127</v>
      </c>
      <c r="C1154" s="3114">
        <v>112.46</v>
      </c>
      <c r="D1154" s="3113" t="s">
        <v>2911</v>
      </c>
    </row>
    <row r="1155" spans="1:4">
      <c r="A1155" s="3113">
        <v>1152</v>
      </c>
      <c r="B1155" s="3115" t="s">
        <v>3126</v>
      </c>
      <c r="C1155" s="3114">
        <v>112.46</v>
      </c>
      <c r="D1155" s="3113" t="s">
        <v>2911</v>
      </c>
    </row>
    <row r="1156" spans="1:4">
      <c r="A1156" s="3113">
        <v>1153</v>
      </c>
      <c r="B1156" s="3115" t="s">
        <v>3125</v>
      </c>
      <c r="C1156" s="3114">
        <v>112.46</v>
      </c>
      <c r="D1156" s="3113" t="s">
        <v>2911</v>
      </c>
    </row>
    <row r="1157" spans="1:4">
      <c r="A1157" s="3113">
        <v>1154</v>
      </c>
      <c r="B1157" s="3115" t="s">
        <v>3124</v>
      </c>
      <c r="C1157" s="3114">
        <v>112.46</v>
      </c>
      <c r="D1157" s="3113" t="s">
        <v>2911</v>
      </c>
    </row>
    <row r="1158" spans="1:4">
      <c r="A1158" s="3113">
        <v>1155</v>
      </c>
      <c r="B1158" s="3115" t="s">
        <v>3123</v>
      </c>
      <c r="C1158" s="3114">
        <v>112.46</v>
      </c>
      <c r="D1158" s="3113" t="s">
        <v>2911</v>
      </c>
    </row>
    <row r="1159" spans="1:4">
      <c r="A1159" s="3113">
        <v>1156</v>
      </c>
      <c r="B1159" s="3115" t="s">
        <v>3122</v>
      </c>
      <c r="C1159" s="3114">
        <v>112.46</v>
      </c>
      <c r="D1159" s="3113" t="s">
        <v>2911</v>
      </c>
    </row>
    <row r="1160" spans="1:4">
      <c r="A1160" s="3113">
        <v>1157</v>
      </c>
      <c r="B1160" s="3115" t="s">
        <v>3121</v>
      </c>
      <c r="C1160" s="3114">
        <v>98.13</v>
      </c>
      <c r="D1160" s="3113" t="s">
        <v>2911</v>
      </c>
    </row>
    <row r="1161" spans="1:4">
      <c r="A1161" s="3113">
        <v>1158</v>
      </c>
      <c r="B1161" s="3115" t="s">
        <v>3120</v>
      </c>
      <c r="C1161" s="3114">
        <v>87.79</v>
      </c>
      <c r="D1161" s="3113" t="s">
        <v>2911</v>
      </c>
    </row>
    <row r="1162" spans="1:4">
      <c r="A1162" s="3113">
        <v>1159</v>
      </c>
      <c r="B1162" s="3115" t="s">
        <v>3119</v>
      </c>
      <c r="C1162" s="3114">
        <v>87.79</v>
      </c>
      <c r="D1162" s="3113" t="s">
        <v>2911</v>
      </c>
    </row>
    <row r="1163" spans="1:4">
      <c r="A1163" s="3113">
        <v>1160</v>
      </c>
      <c r="B1163" s="3115" t="s">
        <v>3118</v>
      </c>
      <c r="C1163" s="3114">
        <v>87.79</v>
      </c>
      <c r="D1163" s="3113" t="s">
        <v>2911</v>
      </c>
    </row>
    <row r="1164" spans="1:4">
      <c r="A1164" s="3113">
        <v>1161</v>
      </c>
      <c r="B1164" s="3115" t="s">
        <v>3117</v>
      </c>
      <c r="C1164" s="3114">
        <v>87.79</v>
      </c>
      <c r="D1164" s="3113" t="s">
        <v>2911</v>
      </c>
    </row>
    <row r="1165" spans="1:4">
      <c r="A1165" s="3113">
        <v>1162</v>
      </c>
      <c r="B1165" s="3115" t="s">
        <v>3116</v>
      </c>
      <c r="C1165" s="3114">
        <v>87.79</v>
      </c>
      <c r="D1165" s="3113" t="s">
        <v>2911</v>
      </c>
    </row>
    <row r="1166" spans="1:4">
      <c r="A1166" s="3113">
        <v>1163</v>
      </c>
      <c r="B1166" s="3115" t="s">
        <v>3115</v>
      </c>
      <c r="C1166" s="3114">
        <v>87.79</v>
      </c>
      <c r="D1166" s="3113" t="s">
        <v>2911</v>
      </c>
    </row>
    <row r="1167" spans="1:4">
      <c r="A1167" s="3113">
        <v>1164</v>
      </c>
      <c r="B1167" s="3115" t="s">
        <v>3114</v>
      </c>
      <c r="C1167" s="3114">
        <v>87.79</v>
      </c>
      <c r="D1167" s="3113" t="s">
        <v>2911</v>
      </c>
    </row>
    <row r="1168" spans="1:4">
      <c r="A1168" s="3113">
        <v>1165</v>
      </c>
      <c r="B1168" s="3115" t="s">
        <v>3113</v>
      </c>
      <c r="C1168" s="3114">
        <v>87.79</v>
      </c>
      <c r="D1168" s="3113" t="s">
        <v>2911</v>
      </c>
    </row>
    <row r="1169" spans="1:4">
      <c r="A1169" s="3113">
        <v>1166</v>
      </c>
      <c r="B1169" s="3115" t="s">
        <v>3112</v>
      </c>
      <c r="C1169" s="3114">
        <v>87.79</v>
      </c>
      <c r="D1169" s="3113" t="s">
        <v>2911</v>
      </c>
    </row>
    <row r="1170" spans="1:4">
      <c r="A1170" s="3113">
        <v>1167</v>
      </c>
      <c r="B1170" s="3115" t="s">
        <v>3111</v>
      </c>
      <c r="C1170" s="3114">
        <v>87.79</v>
      </c>
      <c r="D1170" s="3113" t="s">
        <v>2911</v>
      </c>
    </row>
    <row r="1171" spans="1:4">
      <c r="A1171" s="3113">
        <v>1168</v>
      </c>
      <c r="B1171" s="3115" t="s">
        <v>3110</v>
      </c>
      <c r="C1171" s="3114">
        <v>87.79</v>
      </c>
      <c r="D1171" s="3113" t="s">
        <v>2911</v>
      </c>
    </row>
    <row r="1172" spans="1:4">
      <c r="A1172" s="3113">
        <v>1169</v>
      </c>
      <c r="B1172" s="3115" t="s">
        <v>3109</v>
      </c>
      <c r="C1172" s="3114">
        <v>87.79</v>
      </c>
      <c r="D1172" s="3113" t="s">
        <v>2911</v>
      </c>
    </row>
    <row r="1173" spans="1:4">
      <c r="A1173" s="3113">
        <v>1170</v>
      </c>
      <c r="B1173" s="3115" t="s">
        <v>3108</v>
      </c>
      <c r="C1173" s="3114">
        <v>87.79</v>
      </c>
      <c r="D1173" s="3113" t="s">
        <v>2911</v>
      </c>
    </row>
    <row r="1174" spans="1:4">
      <c r="A1174" s="3113">
        <v>1171</v>
      </c>
      <c r="B1174" s="3115" t="s">
        <v>3107</v>
      </c>
      <c r="C1174" s="3114">
        <v>87.79</v>
      </c>
      <c r="D1174" s="3113" t="s">
        <v>2911</v>
      </c>
    </row>
    <row r="1175" spans="1:4">
      <c r="A1175" s="3113">
        <v>1172</v>
      </c>
      <c r="B1175" s="3115" t="s">
        <v>3106</v>
      </c>
      <c r="C1175" s="3114">
        <v>87.79</v>
      </c>
      <c r="D1175" s="3113" t="s">
        <v>2911</v>
      </c>
    </row>
    <row r="1176" spans="1:4">
      <c r="A1176" s="3113">
        <v>1173</v>
      </c>
      <c r="B1176" s="3115" t="s">
        <v>3105</v>
      </c>
      <c r="C1176" s="3114">
        <v>87.79</v>
      </c>
      <c r="D1176" s="3113" t="s">
        <v>2911</v>
      </c>
    </row>
    <row r="1177" spans="1:4">
      <c r="A1177" s="3113">
        <v>1174</v>
      </c>
      <c r="B1177" s="3115" t="s">
        <v>3104</v>
      </c>
      <c r="C1177" s="3114">
        <v>87.79</v>
      </c>
      <c r="D1177" s="3113" t="s">
        <v>2911</v>
      </c>
    </row>
    <row r="1178" spans="1:4">
      <c r="A1178" s="3113">
        <v>1175</v>
      </c>
      <c r="B1178" s="3115" t="s">
        <v>3103</v>
      </c>
      <c r="C1178" s="3114">
        <v>87.79</v>
      </c>
      <c r="D1178" s="3113" t="s">
        <v>2911</v>
      </c>
    </row>
    <row r="1179" spans="1:4">
      <c r="A1179" s="3113">
        <v>1176</v>
      </c>
      <c r="B1179" s="3115" t="s">
        <v>3102</v>
      </c>
      <c r="C1179" s="3114">
        <v>87.79</v>
      </c>
      <c r="D1179" s="3113" t="s">
        <v>2911</v>
      </c>
    </row>
    <row r="1180" spans="1:4">
      <c r="A1180" s="3113">
        <v>1177</v>
      </c>
      <c r="B1180" s="3115" t="s">
        <v>3101</v>
      </c>
      <c r="C1180" s="3114">
        <v>87.79</v>
      </c>
      <c r="D1180" s="3113" t="s">
        <v>2911</v>
      </c>
    </row>
    <row r="1181" spans="1:4">
      <c r="A1181" s="3113">
        <v>1178</v>
      </c>
      <c r="B1181" s="3115" t="s">
        <v>3100</v>
      </c>
      <c r="C1181" s="3114">
        <v>87.79</v>
      </c>
      <c r="D1181" s="3113" t="s">
        <v>2911</v>
      </c>
    </row>
    <row r="1182" spans="1:4">
      <c r="A1182" s="3113">
        <v>1179</v>
      </c>
      <c r="B1182" s="3115" t="s">
        <v>3099</v>
      </c>
      <c r="C1182" s="3114">
        <v>87.79</v>
      </c>
      <c r="D1182" s="3113" t="s">
        <v>2911</v>
      </c>
    </row>
    <row r="1183" spans="1:4">
      <c r="A1183" s="3113">
        <v>1180</v>
      </c>
      <c r="B1183" s="3115" t="s">
        <v>3098</v>
      </c>
      <c r="C1183" s="3114">
        <v>87.79</v>
      </c>
      <c r="D1183" s="3113" t="s">
        <v>2911</v>
      </c>
    </row>
    <row r="1184" spans="1:4">
      <c r="A1184" s="3113">
        <v>1181</v>
      </c>
      <c r="B1184" s="3115" t="s">
        <v>3097</v>
      </c>
      <c r="C1184" s="3114">
        <v>87.79</v>
      </c>
      <c r="D1184" s="3113" t="s">
        <v>2911</v>
      </c>
    </row>
    <row r="1185" spans="1:4">
      <c r="A1185" s="3113">
        <v>1182</v>
      </c>
      <c r="B1185" s="3115" t="s">
        <v>3096</v>
      </c>
      <c r="C1185" s="3114">
        <v>87.79</v>
      </c>
      <c r="D1185" s="3113" t="s">
        <v>2911</v>
      </c>
    </row>
    <row r="1186" spans="1:4">
      <c r="A1186" s="3113">
        <v>1183</v>
      </c>
      <c r="B1186" s="3115" t="s">
        <v>3095</v>
      </c>
      <c r="C1186" s="3114">
        <v>87.79</v>
      </c>
      <c r="D1186" s="3113" t="s">
        <v>2911</v>
      </c>
    </row>
    <row r="1187" spans="1:4">
      <c r="A1187" s="3113">
        <v>1184</v>
      </c>
      <c r="B1187" s="3115" t="s">
        <v>3094</v>
      </c>
      <c r="C1187" s="3114">
        <v>87.79</v>
      </c>
      <c r="D1187" s="3113" t="s">
        <v>2911</v>
      </c>
    </row>
    <row r="1188" spans="1:4">
      <c r="A1188" s="3113">
        <v>1185</v>
      </c>
      <c r="B1188" s="3115" t="s">
        <v>3093</v>
      </c>
      <c r="C1188" s="3114">
        <v>87.79</v>
      </c>
      <c r="D1188" s="3113" t="s">
        <v>2911</v>
      </c>
    </row>
    <row r="1189" spans="1:4">
      <c r="A1189" s="3113">
        <v>1186</v>
      </c>
      <c r="B1189" s="3115" t="s">
        <v>3092</v>
      </c>
      <c r="C1189" s="3114">
        <v>86.75</v>
      </c>
      <c r="D1189" s="3113" t="s">
        <v>2911</v>
      </c>
    </row>
    <row r="1190" spans="1:4">
      <c r="A1190" s="3113">
        <v>1187</v>
      </c>
      <c r="B1190" s="3115" t="s">
        <v>3091</v>
      </c>
      <c r="C1190" s="3114">
        <v>110.76</v>
      </c>
      <c r="D1190" s="3113" t="s">
        <v>2911</v>
      </c>
    </row>
    <row r="1191" spans="1:4">
      <c r="A1191" s="3113">
        <v>1188</v>
      </c>
      <c r="B1191" s="3115" t="s">
        <v>3090</v>
      </c>
      <c r="C1191" s="3114">
        <v>110.76</v>
      </c>
      <c r="D1191" s="3113" t="s">
        <v>2911</v>
      </c>
    </row>
    <row r="1192" spans="1:4">
      <c r="A1192" s="3113">
        <v>1189</v>
      </c>
      <c r="B1192" s="3115" t="s">
        <v>3089</v>
      </c>
      <c r="C1192" s="3114">
        <v>110.76</v>
      </c>
      <c r="D1192" s="3113" t="s">
        <v>2911</v>
      </c>
    </row>
    <row r="1193" spans="1:4">
      <c r="A1193" s="3113">
        <v>1190</v>
      </c>
      <c r="B1193" s="3115" t="s">
        <v>3088</v>
      </c>
      <c r="C1193" s="3114">
        <v>110.76</v>
      </c>
      <c r="D1193" s="3113" t="s">
        <v>2911</v>
      </c>
    </row>
    <row r="1194" spans="1:4">
      <c r="A1194" s="3113">
        <v>1191</v>
      </c>
      <c r="B1194" s="3115" t="s">
        <v>3087</v>
      </c>
      <c r="C1194" s="3114">
        <v>110.76</v>
      </c>
      <c r="D1194" s="3113" t="s">
        <v>2911</v>
      </c>
    </row>
    <row r="1195" spans="1:4">
      <c r="A1195" s="3113">
        <v>1192</v>
      </c>
      <c r="B1195" s="3115" t="s">
        <v>3086</v>
      </c>
      <c r="C1195" s="3114">
        <v>110.76</v>
      </c>
      <c r="D1195" s="3113" t="s">
        <v>2911</v>
      </c>
    </row>
    <row r="1196" spans="1:4">
      <c r="A1196" s="3113">
        <v>1193</v>
      </c>
      <c r="B1196" s="3115" t="s">
        <v>3085</v>
      </c>
      <c r="C1196" s="3114">
        <v>110.76</v>
      </c>
      <c r="D1196" s="3113" t="s">
        <v>2911</v>
      </c>
    </row>
    <row r="1197" spans="1:4">
      <c r="A1197" s="3113">
        <v>1194</v>
      </c>
      <c r="B1197" s="3115" t="s">
        <v>3084</v>
      </c>
      <c r="C1197" s="3114">
        <v>110.76</v>
      </c>
      <c r="D1197" s="3113" t="s">
        <v>2911</v>
      </c>
    </row>
    <row r="1198" spans="1:4">
      <c r="A1198" s="3113">
        <v>1195</v>
      </c>
      <c r="B1198" s="3115" t="s">
        <v>3083</v>
      </c>
      <c r="C1198" s="3114">
        <v>110.76</v>
      </c>
      <c r="D1198" s="3113" t="s">
        <v>2911</v>
      </c>
    </row>
    <row r="1199" spans="1:4">
      <c r="A1199" s="3113">
        <v>1196</v>
      </c>
      <c r="B1199" s="3115" t="s">
        <v>3082</v>
      </c>
      <c r="C1199" s="3114">
        <v>110.76</v>
      </c>
      <c r="D1199" s="3113" t="s">
        <v>2911</v>
      </c>
    </row>
    <row r="1200" spans="1:4">
      <c r="A1200" s="3113">
        <v>1197</v>
      </c>
      <c r="B1200" s="3115" t="s">
        <v>3081</v>
      </c>
      <c r="C1200" s="3114">
        <v>110.76</v>
      </c>
      <c r="D1200" s="3113" t="s">
        <v>2911</v>
      </c>
    </row>
    <row r="1201" spans="1:4">
      <c r="A1201" s="3113">
        <v>1198</v>
      </c>
      <c r="B1201" s="3115" t="s">
        <v>3080</v>
      </c>
      <c r="C1201" s="3114">
        <v>110.76</v>
      </c>
      <c r="D1201" s="3113" t="s">
        <v>2911</v>
      </c>
    </row>
    <row r="1202" spans="1:4">
      <c r="A1202" s="3113">
        <v>1199</v>
      </c>
      <c r="B1202" s="3116" t="s">
        <v>3079</v>
      </c>
      <c r="C1202" s="3114">
        <v>110.76</v>
      </c>
      <c r="D1202" s="3113" t="s">
        <v>2911</v>
      </c>
    </row>
    <row r="1203" spans="1:4">
      <c r="A1203" s="3113">
        <v>1200</v>
      </c>
      <c r="B1203" s="3115" t="s">
        <v>3078</v>
      </c>
      <c r="C1203" s="3114">
        <v>110.76</v>
      </c>
      <c r="D1203" s="3113" t="s">
        <v>2911</v>
      </c>
    </row>
    <row r="1204" spans="1:4">
      <c r="A1204" s="3113">
        <v>1201</v>
      </c>
      <c r="B1204" s="3115" t="s">
        <v>3077</v>
      </c>
      <c r="C1204" s="3114">
        <v>110.76</v>
      </c>
      <c r="D1204" s="3113" t="s">
        <v>2911</v>
      </c>
    </row>
    <row r="1205" spans="1:4">
      <c r="A1205" s="3113">
        <v>1202</v>
      </c>
      <c r="B1205" s="3115" t="s">
        <v>3076</v>
      </c>
      <c r="C1205" s="3114">
        <v>110.76</v>
      </c>
      <c r="D1205" s="3113" t="s">
        <v>2911</v>
      </c>
    </row>
    <row r="1206" spans="1:4">
      <c r="A1206" s="3113">
        <v>1203</v>
      </c>
      <c r="B1206" s="3115" t="s">
        <v>3075</v>
      </c>
      <c r="C1206" s="3114">
        <v>110.76</v>
      </c>
      <c r="D1206" s="3113" t="s">
        <v>2911</v>
      </c>
    </row>
    <row r="1207" spans="1:4">
      <c r="A1207" s="3113">
        <v>1204</v>
      </c>
      <c r="B1207" s="3115" t="s">
        <v>3074</v>
      </c>
      <c r="C1207" s="3114">
        <v>110.76</v>
      </c>
      <c r="D1207" s="3113" t="s">
        <v>2911</v>
      </c>
    </row>
    <row r="1208" spans="1:4">
      <c r="A1208" s="3113">
        <v>1205</v>
      </c>
      <c r="B1208" s="3115" t="s">
        <v>3073</v>
      </c>
      <c r="C1208" s="3114">
        <v>110.76</v>
      </c>
      <c r="D1208" s="3113" t="s">
        <v>2911</v>
      </c>
    </row>
    <row r="1209" spans="1:4">
      <c r="A1209" s="3113">
        <v>1206</v>
      </c>
      <c r="B1209" s="3115" t="s">
        <v>3072</v>
      </c>
      <c r="C1209" s="3114">
        <v>110.76</v>
      </c>
      <c r="D1209" s="3113" t="s">
        <v>2911</v>
      </c>
    </row>
    <row r="1210" spans="1:4">
      <c r="A1210" s="3113">
        <v>1207</v>
      </c>
      <c r="B1210" s="3115" t="s">
        <v>3071</v>
      </c>
      <c r="C1210" s="3114">
        <v>110.76</v>
      </c>
      <c r="D1210" s="3113" t="s">
        <v>2911</v>
      </c>
    </row>
    <row r="1211" spans="1:4">
      <c r="A1211" s="3113">
        <v>1208</v>
      </c>
      <c r="B1211" s="3115" t="s">
        <v>3070</v>
      </c>
      <c r="C1211" s="3114">
        <v>110.76</v>
      </c>
      <c r="D1211" s="3113" t="s">
        <v>2911</v>
      </c>
    </row>
    <row r="1212" spans="1:4">
      <c r="A1212" s="3113">
        <v>1209</v>
      </c>
      <c r="B1212" s="3115" t="s">
        <v>3069</v>
      </c>
      <c r="C1212" s="3114">
        <v>110.76</v>
      </c>
      <c r="D1212" s="3113" t="s">
        <v>2911</v>
      </c>
    </row>
    <row r="1213" spans="1:4">
      <c r="A1213" s="3113">
        <v>1210</v>
      </c>
      <c r="B1213" s="3115" t="s">
        <v>3068</v>
      </c>
      <c r="C1213" s="3114">
        <v>110.76</v>
      </c>
      <c r="D1213" s="3113" t="s">
        <v>2911</v>
      </c>
    </row>
    <row r="1214" spans="1:4">
      <c r="A1214" s="3113">
        <v>1211</v>
      </c>
      <c r="B1214" s="3116" t="s">
        <v>3067</v>
      </c>
      <c r="C1214" s="3114">
        <v>110.76</v>
      </c>
      <c r="D1214" s="3113" t="s">
        <v>2911</v>
      </c>
    </row>
    <row r="1215" spans="1:4">
      <c r="A1215" s="3113">
        <v>1212</v>
      </c>
      <c r="B1215" s="3116" t="s">
        <v>3066</v>
      </c>
      <c r="C1215" s="3114">
        <v>110.76</v>
      </c>
      <c r="D1215" s="3113" t="s">
        <v>2911</v>
      </c>
    </row>
    <row r="1216" spans="1:4">
      <c r="A1216" s="3113">
        <v>1213</v>
      </c>
      <c r="B1216" s="3115" t="s">
        <v>3065</v>
      </c>
      <c r="C1216" s="3114">
        <v>96.27</v>
      </c>
      <c r="D1216" s="3113" t="s">
        <v>2911</v>
      </c>
    </row>
    <row r="1217" spans="1:4">
      <c r="A1217" s="3113">
        <v>1214</v>
      </c>
      <c r="B1217" s="3115" t="s">
        <v>3064</v>
      </c>
      <c r="C1217" s="3114">
        <v>96.27</v>
      </c>
      <c r="D1217" s="3113" t="s">
        <v>2911</v>
      </c>
    </row>
    <row r="1218" spans="1:4">
      <c r="A1218" s="3113">
        <v>1215</v>
      </c>
      <c r="B1218" s="3115" t="s">
        <v>3063</v>
      </c>
      <c r="C1218" s="3114">
        <v>57.98</v>
      </c>
      <c r="D1218" s="3113" t="s">
        <v>2911</v>
      </c>
    </row>
    <row r="1219" spans="1:4">
      <c r="A1219" s="3113">
        <v>1216</v>
      </c>
      <c r="B1219" s="3115" t="s">
        <v>3062</v>
      </c>
      <c r="C1219" s="3114">
        <v>57.98</v>
      </c>
      <c r="D1219" s="3113" t="s">
        <v>2911</v>
      </c>
    </row>
    <row r="1220" spans="1:4">
      <c r="A1220" s="3113">
        <v>1217</v>
      </c>
      <c r="B1220" s="3115" t="s">
        <v>3061</v>
      </c>
      <c r="C1220" s="3114">
        <v>57.98</v>
      </c>
      <c r="D1220" s="3113" t="s">
        <v>2911</v>
      </c>
    </row>
    <row r="1221" spans="1:4">
      <c r="A1221" s="3113">
        <v>1218</v>
      </c>
      <c r="B1221" s="3115" t="s">
        <v>3060</v>
      </c>
      <c r="C1221" s="3114">
        <v>57.98</v>
      </c>
      <c r="D1221" s="3113" t="s">
        <v>2911</v>
      </c>
    </row>
    <row r="1222" spans="1:4">
      <c r="A1222" s="3113">
        <v>1219</v>
      </c>
      <c r="B1222" s="3115" t="s">
        <v>3059</v>
      </c>
      <c r="C1222" s="3114">
        <v>57.98</v>
      </c>
      <c r="D1222" s="3113" t="s">
        <v>2911</v>
      </c>
    </row>
    <row r="1223" spans="1:4">
      <c r="A1223" s="3113">
        <v>1220</v>
      </c>
      <c r="B1223" s="3115" t="s">
        <v>3058</v>
      </c>
      <c r="C1223" s="3114">
        <v>57.98</v>
      </c>
      <c r="D1223" s="3113" t="s">
        <v>2911</v>
      </c>
    </row>
    <row r="1224" spans="1:4">
      <c r="A1224" s="3113">
        <v>1221</v>
      </c>
      <c r="B1224" s="3115" t="s">
        <v>3057</v>
      </c>
      <c r="C1224" s="3114">
        <v>57.98</v>
      </c>
      <c r="D1224" s="3113" t="s">
        <v>2911</v>
      </c>
    </row>
    <row r="1225" spans="1:4">
      <c r="A1225" s="3113">
        <v>1222</v>
      </c>
      <c r="B1225" s="3115" t="s">
        <v>3056</v>
      </c>
      <c r="C1225" s="3114">
        <v>57.98</v>
      </c>
      <c r="D1225" s="3113" t="s">
        <v>2911</v>
      </c>
    </row>
    <row r="1226" spans="1:4">
      <c r="A1226" s="3113">
        <v>1223</v>
      </c>
      <c r="B1226" s="3115" t="s">
        <v>3055</v>
      </c>
      <c r="C1226" s="3114">
        <v>57.98</v>
      </c>
      <c r="D1226" s="3113" t="s">
        <v>2911</v>
      </c>
    </row>
    <row r="1227" spans="1:4">
      <c r="A1227" s="3113">
        <v>1224</v>
      </c>
      <c r="B1227" s="3115" t="s">
        <v>3054</v>
      </c>
      <c r="C1227" s="3114">
        <v>57.98</v>
      </c>
      <c r="D1227" s="3113" t="s">
        <v>2911</v>
      </c>
    </row>
    <row r="1228" spans="1:4">
      <c r="A1228" s="3113">
        <v>1225</v>
      </c>
      <c r="B1228" s="3115" t="s">
        <v>3053</v>
      </c>
      <c r="C1228" s="3114">
        <v>57.98</v>
      </c>
      <c r="D1228" s="3113" t="s">
        <v>2911</v>
      </c>
    </row>
    <row r="1229" spans="1:4">
      <c r="A1229" s="3113">
        <v>1226</v>
      </c>
      <c r="B1229" s="3115" t="s">
        <v>3052</v>
      </c>
      <c r="C1229" s="3114">
        <v>57.98</v>
      </c>
      <c r="D1229" s="3113" t="s">
        <v>2911</v>
      </c>
    </row>
    <row r="1230" spans="1:4">
      <c r="A1230" s="3113">
        <v>1227</v>
      </c>
      <c r="B1230" s="3115" t="s">
        <v>3051</v>
      </c>
      <c r="C1230" s="3114">
        <v>57.98</v>
      </c>
      <c r="D1230" s="3113" t="s">
        <v>2911</v>
      </c>
    </row>
    <row r="1231" spans="1:4">
      <c r="A1231" s="3113">
        <v>1228</v>
      </c>
      <c r="B1231" s="3115" t="s">
        <v>3050</v>
      </c>
      <c r="C1231" s="3114">
        <v>57.98</v>
      </c>
      <c r="D1231" s="3113" t="s">
        <v>2911</v>
      </c>
    </row>
    <row r="1232" spans="1:4">
      <c r="A1232" s="3113">
        <v>1229</v>
      </c>
      <c r="B1232" s="3115" t="s">
        <v>3049</v>
      </c>
      <c r="C1232" s="3114">
        <v>57.98</v>
      </c>
      <c r="D1232" s="3113" t="s">
        <v>2911</v>
      </c>
    </row>
    <row r="1233" spans="1:4">
      <c r="A1233" s="3113">
        <v>1230</v>
      </c>
      <c r="B1233" s="3115" t="s">
        <v>3048</v>
      </c>
      <c r="C1233" s="3114">
        <v>57.98</v>
      </c>
      <c r="D1233" s="3113" t="s">
        <v>2911</v>
      </c>
    </row>
    <row r="1234" spans="1:4">
      <c r="A1234" s="3113">
        <v>1231</v>
      </c>
      <c r="B1234" s="3115" t="s">
        <v>3047</v>
      </c>
      <c r="C1234" s="3114">
        <v>57.98</v>
      </c>
      <c r="D1234" s="3113" t="s">
        <v>2911</v>
      </c>
    </row>
    <row r="1235" spans="1:4">
      <c r="A1235" s="3113">
        <v>1232</v>
      </c>
      <c r="B1235" s="3115" t="s">
        <v>3046</v>
      </c>
      <c r="C1235" s="3114">
        <v>57.98</v>
      </c>
      <c r="D1235" s="3113" t="s">
        <v>2911</v>
      </c>
    </row>
    <row r="1236" spans="1:4">
      <c r="A1236" s="3113">
        <v>1233</v>
      </c>
      <c r="B1236" s="3115" t="s">
        <v>3045</v>
      </c>
      <c r="C1236" s="3114">
        <v>57.98</v>
      </c>
      <c r="D1236" s="3113" t="s">
        <v>2911</v>
      </c>
    </row>
    <row r="1237" spans="1:4">
      <c r="A1237" s="3113">
        <v>1234</v>
      </c>
      <c r="B1237" s="3115" t="s">
        <v>3044</v>
      </c>
      <c r="C1237" s="3114">
        <v>57.98</v>
      </c>
      <c r="D1237" s="3113" t="s">
        <v>2911</v>
      </c>
    </row>
    <row r="1238" spans="1:4">
      <c r="A1238" s="3113">
        <v>1235</v>
      </c>
      <c r="B1238" s="3115" t="s">
        <v>3043</v>
      </c>
      <c r="C1238" s="3114">
        <v>57.98</v>
      </c>
      <c r="D1238" s="3113" t="s">
        <v>2911</v>
      </c>
    </row>
    <row r="1239" spans="1:4">
      <c r="A1239" s="3113">
        <v>1236</v>
      </c>
      <c r="B1239" s="3115" t="s">
        <v>3042</v>
      </c>
      <c r="C1239" s="3114">
        <v>57.98</v>
      </c>
      <c r="D1239" s="3113" t="s">
        <v>2911</v>
      </c>
    </row>
    <row r="1240" spans="1:4">
      <c r="A1240" s="3113">
        <v>1237</v>
      </c>
      <c r="B1240" s="3115" t="s">
        <v>3041</v>
      </c>
      <c r="C1240" s="3114">
        <v>57.98</v>
      </c>
      <c r="D1240" s="3113" t="s">
        <v>2911</v>
      </c>
    </row>
    <row r="1241" spans="1:4">
      <c r="A1241" s="3113">
        <v>1238</v>
      </c>
      <c r="B1241" s="3115" t="s">
        <v>3040</v>
      </c>
      <c r="C1241" s="3114">
        <v>57.98</v>
      </c>
      <c r="D1241" s="3113" t="s">
        <v>2911</v>
      </c>
    </row>
    <row r="1242" spans="1:4">
      <c r="A1242" s="3113">
        <v>1239</v>
      </c>
      <c r="B1242" s="3115" t="s">
        <v>3039</v>
      </c>
      <c r="C1242" s="3114">
        <v>57.98</v>
      </c>
      <c r="D1242" s="3113" t="s">
        <v>2911</v>
      </c>
    </row>
    <row r="1243" spans="1:4">
      <c r="A1243" s="3113">
        <v>1240</v>
      </c>
      <c r="B1243" s="3115" t="s">
        <v>3038</v>
      </c>
      <c r="C1243" s="3114">
        <v>57.98</v>
      </c>
      <c r="D1243" s="3113" t="s">
        <v>2911</v>
      </c>
    </row>
    <row r="1244" spans="1:4">
      <c r="A1244" s="3113">
        <v>1241</v>
      </c>
      <c r="B1244" s="3115" t="s">
        <v>3037</v>
      </c>
      <c r="C1244" s="3114">
        <v>57.98</v>
      </c>
      <c r="D1244" s="3113" t="s">
        <v>2911</v>
      </c>
    </row>
    <row r="1245" spans="1:4">
      <c r="A1245" s="3113">
        <v>1242</v>
      </c>
      <c r="B1245" s="3115" t="s">
        <v>3036</v>
      </c>
      <c r="C1245" s="3114">
        <v>57.98</v>
      </c>
      <c r="D1245" s="3113" t="s">
        <v>2911</v>
      </c>
    </row>
    <row r="1246" spans="1:4">
      <c r="A1246" s="3113">
        <v>1243</v>
      </c>
      <c r="B1246" s="3115" t="s">
        <v>3035</v>
      </c>
      <c r="C1246" s="3114">
        <v>57.98</v>
      </c>
      <c r="D1246" s="3113" t="s">
        <v>2911</v>
      </c>
    </row>
    <row r="1247" spans="1:4">
      <c r="A1247" s="3113">
        <v>1244</v>
      </c>
      <c r="B1247" s="3115" t="s">
        <v>3034</v>
      </c>
      <c r="C1247" s="3114">
        <v>57.98</v>
      </c>
      <c r="D1247" s="3113" t="s">
        <v>2911</v>
      </c>
    </row>
    <row r="1248" spans="1:4">
      <c r="A1248" s="3113">
        <v>1245</v>
      </c>
      <c r="B1248" s="3115" t="s">
        <v>3033</v>
      </c>
      <c r="C1248" s="3114">
        <v>57.98</v>
      </c>
      <c r="D1248" s="3113" t="s">
        <v>2911</v>
      </c>
    </row>
    <row r="1249" spans="1:4">
      <c r="A1249" s="3113">
        <v>1246</v>
      </c>
      <c r="B1249" s="3115" t="s">
        <v>3032</v>
      </c>
      <c r="C1249" s="3114">
        <v>57.98</v>
      </c>
      <c r="D1249" s="3113" t="s">
        <v>2911</v>
      </c>
    </row>
    <row r="1250" spans="1:4">
      <c r="A1250" s="3113">
        <v>1247</v>
      </c>
      <c r="B1250" s="3115" t="s">
        <v>3031</v>
      </c>
      <c r="C1250" s="3114">
        <v>57.98</v>
      </c>
      <c r="D1250" s="3113" t="s">
        <v>2911</v>
      </c>
    </row>
    <row r="1251" spans="1:4">
      <c r="A1251" s="3113">
        <v>1248</v>
      </c>
      <c r="B1251" s="3115" t="s">
        <v>3030</v>
      </c>
      <c r="C1251" s="3114">
        <v>57.98</v>
      </c>
      <c r="D1251" s="3113" t="s">
        <v>2911</v>
      </c>
    </row>
    <row r="1252" spans="1:4">
      <c r="A1252" s="3113">
        <v>1249</v>
      </c>
      <c r="B1252" s="3115" t="s">
        <v>3029</v>
      </c>
      <c r="C1252" s="3114">
        <v>57.98</v>
      </c>
      <c r="D1252" s="3113" t="s">
        <v>2911</v>
      </c>
    </row>
    <row r="1253" spans="1:4">
      <c r="A1253" s="3113">
        <v>1250</v>
      </c>
      <c r="B1253" s="3115" t="s">
        <v>3028</v>
      </c>
      <c r="C1253" s="3114">
        <v>57.98</v>
      </c>
      <c r="D1253" s="3113" t="s">
        <v>2911</v>
      </c>
    </row>
    <row r="1254" spans="1:4">
      <c r="A1254" s="3113">
        <v>1251</v>
      </c>
      <c r="B1254" s="3115" t="s">
        <v>3027</v>
      </c>
      <c r="C1254" s="3114">
        <v>57.98</v>
      </c>
      <c r="D1254" s="3113" t="s">
        <v>2911</v>
      </c>
    </row>
    <row r="1255" spans="1:4">
      <c r="A1255" s="3113">
        <v>1252</v>
      </c>
      <c r="B1255" s="3115" t="s">
        <v>3026</v>
      </c>
      <c r="C1255" s="3114">
        <v>57.98</v>
      </c>
      <c r="D1255" s="3113" t="s">
        <v>2911</v>
      </c>
    </row>
    <row r="1256" spans="1:4">
      <c r="A1256" s="3113">
        <v>1253</v>
      </c>
      <c r="B1256" s="3115" t="s">
        <v>3025</v>
      </c>
      <c r="C1256" s="3114">
        <v>57.98</v>
      </c>
      <c r="D1256" s="3113" t="s">
        <v>2911</v>
      </c>
    </row>
    <row r="1257" spans="1:4">
      <c r="A1257" s="3113">
        <v>1254</v>
      </c>
      <c r="B1257" s="3115" t="s">
        <v>3024</v>
      </c>
      <c r="C1257" s="3114">
        <v>57.98</v>
      </c>
      <c r="D1257" s="3113" t="s">
        <v>2911</v>
      </c>
    </row>
    <row r="1258" spans="1:4">
      <c r="A1258" s="3113">
        <v>1255</v>
      </c>
      <c r="B1258" s="3115" t="s">
        <v>3023</v>
      </c>
      <c r="C1258" s="3114">
        <v>57.98</v>
      </c>
      <c r="D1258" s="3113" t="s">
        <v>2911</v>
      </c>
    </row>
    <row r="1259" spans="1:4">
      <c r="A1259" s="3113">
        <v>1256</v>
      </c>
      <c r="B1259" s="3115" t="s">
        <v>3022</v>
      </c>
      <c r="C1259" s="3114">
        <v>57.98</v>
      </c>
      <c r="D1259" s="3113" t="s">
        <v>2911</v>
      </c>
    </row>
    <row r="1260" spans="1:4">
      <c r="A1260" s="3113">
        <v>1257</v>
      </c>
      <c r="B1260" s="3115" t="s">
        <v>3021</v>
      </c>
      <c r="C1260" s="3114">
        <v>57.98</v>
      </c>
      <c r="D1260" s="3113" t="s">
        <v>2911</v>
      </c>
    </row>
    <row r="1261" spans="1:4">
      <c r="A1261" s="3113">
        <v>1258</v>
      </c>
      <c r="B1261" s="3115" t="s">
        <v>3020</v>
      </c>
      <c r="C1261" s="3114">
        <v>57.98</v>
      </c>
      <c r="D1261" s="3113" t="s">
        <v>2911</v>
      </c>
    </row>
    <row r="1262" spans="1:4">
      <c r="A1262" s="3113">
        <v>1259</v>
      </c>
      <c r="B1262" s="3115" t="s">
        <v>3019</v>
      </c>
      <c r="C1262" s="3114">
        <v>57.98</v>
      </c>
      <c r="D1262" s="3113" t="s">
        <v>2911</v>
      </c>
    </row>
    <row r="1263" spans="1:4">
      <c r="A1263" s="3113">
        <v>1260</v>
      </c>
      <c r="B1263" s="3115" t="s">
        <v>3018</v>
      </c>
      <c r="C1263" s="3114">
        <v>57.98</v>
      </c>
      <c r="D1263" s="3113" t="s">
        <v>2911</v>
      </c>
    </row>
    <row r="1264" spans="1:4">
      <c r="A1264" s="3113">
        <v>1261</v>
      </c>
      <c r="B1264" s="3115" t="s">
        <v>3017</v>
      </c>
      <c r="C1264" s="3114">
        <v>57.98</v>
      </c>
      <c r="D1264" s="3113" t="s">
        <v>2911</v>
      </c>
    </row>
    <row r="1265" spans="1:4">
      <c r="A1265" s="3113">
        <v>1262</v>
      </c>
      <c r="B1265" s="3115" t="s">
        <v>3016</v>
      </c>
      <c r="C1265" s="3114">
        <v>57.98</v>
      </c>
      <c r="D1265" s="3113" t="s">
        <v>2911</v>
      </c>
    </row>
    <row r="1266" spans="1:4">
      <c r="A1266" s="3113">
        <v>1263</v>
      </c>
      <c r="B1266" s="3115" t="s">
        <v>3015</v>
      </c>
      <c r="C1266" s="3114">
        <v>57.98</v>
      </c>
      <c r="D1266" s="3113" t="s">
        <v>2911</v>
      </c>
    </row>
    <row r="1267" spans="1:4">
      <c r="A1267" s="3113">
        <v>1264</v>
      </c>
      <c r="B1267" s="3115" t="s">
        <v>3014</v>
      </c>
      <c r="C1267" s="3114">
        <v>57.98</v>
      </c>
      <c r="D1267" s="3113" t="s">
        <v>2911</v>
      </c>
    </row>
    <row r="1268" spans="1:4">
      <c r="A1268" s="3113">
        <v>1265</v>
      </c>
      <c r="B1268" s="3115" t="s">
        <v>3013</v>
      </c>
      <c r="C1268" s="3114">
        <v>57.98</v>
      </c>
      <c r="D1268" s="3113" t="s">
        <v>2911</v>
      </c>
    </row>
    <row r="1269" spans="1:4">
      <c r="A1269" s="3113">
        <v>1266</v>
      </c>
      <c r="B1269" s="3115" t="s">
        <v>3012</v>
      </c>
      <c r="C1269" s="3114">
        <v>57.98</v>
      </c>
      <c r="D1269" s="3113" t="s">
        <v>2911</v>
      </c>
    </row>
    <row r="1270" spans="1:4">
      <c r="A1270" s="3113">
        <v>1267</v>
      </c>
      <c r="B1270" s="3115" t="s">
        <v>3011</v>
      </c>
      <c r="C1270" s="3114">
        <v>57.98</v>
      </c>
      <c r="D1270" s="3113" t="s">
        <v>2911</v>
      </c>
    </row>
    <row r="1271" spans="1:4">
      <c r="A1271" s="3113">
        <v>1268</v>
      </c>
      <c r="B1271" s="3115" t="s">
        <v>3010</v>
      </c>
      <c r="C1271" s="3114">
        <v>57.98</v>
      </c>
      <c r="D1271" s="3113" t="s">
        <v>2911</v>
      </c>
    </row>
    <row r="1272" spans="1:4">
      <c r="A1272" s="3113">
        <v>1269</v>
      </c>
      <c r="B1272" s="3115" t="s">
        <v>3009</v>
      </c>
      <c r="C1272" s="3114">
        <v>57.98</v>
      </c>
      <c r="D1272" s="3113" t="s">
        <v>2911</v>
      </c>
    </row>
    <row r="1273" spans="1:4">
      <c r="A1273" s="3113">
        <v>1270</v>
      </c>
      <c r="B1273" s="3115" t="s">
        <v>3008</v>
      </c>
      <c r="C1273" s="3114">
        <v>57.98</v>
      </c>
      <c r="D1273" s="3113" t="s">
        <v>2911</v>
      </c>
    </row>
    <row r="1274" spans="1:4">
      <c r="A1274" s="3113">
        <v>1271</v>
      </c>
      <c r="B1274" s="3115" t="s">
        <v>3007</v>
      </c>
      <c r="C1274" s="3114">
        <v>57.98</v>
      </c>
      <c r="D1274" s="3113" t="s">
        <v>2911</v>
      </c>
    </row>
    <row r="1275" spans="1:4">
      <c r="A1275" s="3113">
        <v>1272</v>
      </c>
      <c r="B1275" s="3115" t="s">
        <v>3006</v>
      </c>
      <c r="C1275" s="3114">
        <v>57.98</v>
      </c>
      <c r="D1275" s="3113" t="s">
        <v>2911</v>
      </c>
    </row>
    <row r="1276" spans="1:4">
      <c r="A1276" s="3113">
        <v>1273</v>
      </c>
      <c r="B1276" s="3115" t="s">
        <v>3005</v>
      </c>
      <c r="C1276" s="3114">
        <v>110.89</v>
      </c>
      <c r="D1276" s="3113" t="s">
        <v>2911</v>
      </c>
    </row>
    <row r="1277" spans="1:4">
      <c r="A1277" s="3113">
        <v>1274</v>
      </c>
      <c r="B1277" s="3115" t="s">
        <v>3004</v>
      </c>
      <c r="C1277" s="3114">
        <v>110.89</v>
      </c>
      <c r="D1277" s="3113" t="s">
        <v>2911</v>
      </c>
    </row>
    <row r="1278" spans="1:4">
      <c r="A1278" s="3113">
        <v>1275</v>
      </c>
      <c r="B1278" s="3115" t="s">
        <v>3003</v>
      </c>
      <c r="C1278" s="3114">
        <v>110.89</v>
      </c>
      <c r="D1278" s="3113" t="s">
        <v>2911</v>
      </c>
    </row>
    <row r="1279" spans="1:4">
      <c r="A1279" s="3113">
        <v>1276</v>
      </c>
      <c r="B1279" s="3115" t="s">
        <v>3002</v>
      </c>
      <c r="C1279" s="3114">
        <v>110.89</v>
      </c>
      <c r="D1279" s="3113" t="s">
        <v>2911</v>
      </c>
    </row>
    <row r="1280" spans="1:4">
      <c r="A1280" s="3113">
        <v>1277</v>
      </c>
      <c r="B1280" s="3115" t="s">
        <v>3001</v>
      </c>
      <c r="C1280" s="3114">
        <v>110.89</v>
      </c>
      <c r="D1280" s="3113" t="s">
        <v>2911</v>
      </c>
    </row>
    <row r="1281" spans="1:4">
      <c r="A1281" s="3113">
        <v>1278</v>
      </c>
      <c r="B1281" s="3115" t="s">
        <v>3000</v>
      </c>
      <c r="C1281" s="3114">
        <v>110.89</v>
      </c>
      <c r="D1281" s="3113" t="s">
        <v>2911</v>
      </c>
    </row>
    <row r="1282" spans="1:4">
      <c r="A1282" s="3113">
        <v>1279</v>
      </c>
      <c r="B1282" s="3115" t="s">
        <v>2999</v>
      </c>
      <c r="C1282" s="3114">
        <v>110.89</v>
      </c>
      <c r="D1282" s="3113" t="s">
        <v>2911</v>
      </c>
    </row>
    <row r="1283" spans="1:4">
      <c r="A1283" s="3113">
        <v>1280</v>
      </c>
      <c r="B1283" s="3115" t="s">
        <v>2998</v>
      </c>
      <c r="C1283" s="3114">
        <v>96.27</v>
      </c>
      <c r="D1283" s="3113" t="s">
        <v>2911</v>
      </c>
    </row>
    <row r="1284" spans="1:4">
      <c r="A1284" s="3113">
        <v>1281</v>
      </c>
      <c r="B1284" s="3115" t="s">
        <v>2997</v>
      </c>
      <c r="C1284" s="3114">
        <v>110.76</v>
      </c>
      <c r="D1284" s="3113" t="s">
        <v>2911</v>
      </c>
    </row>
    <row r="1285" spans="1:4">
      <c r="A1285" s="3113">
        <v>1282</v>
      </c>
      <c r="B1285" s="3115" t="s">
        <v>2996</v>
      </c>
      <c r="C1285" s="3114">
        <v>110.76</v>
      </c>
      <c r="D1285" s="3113" t="s">
        <v>2911</v>
      </c>
    </row>
    <row r="1286" spans="1:4">
      <c r="A1286" s="3113">
        <v>1283</v>
      </c>
      <c r="B1286" s="3115" t="s">
        <v>2995</v>
      </c>
      <c r="C1286" s="3114">
        <v>110.76</v>
      </c>
      <c r="D1286" s="3113" t="s">
        <v>2911</v>
      </c>
    </row>
    <row r="1287" spans="1:4">
      <c r="A1287" s="3113">
        <v>1284</v>
      </c>
      <c r="B1287" s="3115" t="s">
        <v>2994</v>
      </c>
      <c r="C1287" s="3114">
        <v>110.76</v>
      </c>
      <c r="D1287" s="3113" t="s">
        <v>2911</v>
      </c>
    </row>
    <row r="1288" spans="1:4">
      <c r="A1288" s="3113">
        <v>1285</v>
      </c>
      <c r="B1288" s="3115" t="s">
        <v>2993</v>
      </c>
      <c r="C1288" s="3114">
        <v>110.76</v>
      </c>
      <c r="D1288" s="3113" t="s">
        <v>2911</v>
      </c>
    </row>
    <row r="1289" spans="1:4">
      <c r="A1289" s="3113">
        <v>1286</v>
      </c>
      <c r="B1289" s="3115" t="s">
        <v>2992</v>
      </c>
      <c r="C1289" s="3114">
        <v>110.76</v>
      </c>
      <c r="D1289" s="3113" t="s">
        <v>2911</v>
      </c>
    </row>
    <row r="1290" spans="1:4">
      <c r="A1290" s="3113">
        <v>1287</v>
      </c>
      <c r="B1290" s="3115" t="s">
        <v>2991</v>
      </c>
      <c r="C1290" s="3114">
        <v>110.76</v>
      </c>
      <c r="D1290" s="3113" t="s">
        <v>2911</v>
      </c>
    </row>
    <row r="1291" spans="1:4">
      <c r="A1291" s="3113">
        <v>1288</v>
      </c>
      <c r="B1291" s="3115" t="s">
        <v>2990</v>
      </c>
      <c r="C1291" s="3114">
        <v>110.76</v>
      </c>
      <c r="D1291" s="3113" t="s">
        <v>2911</v>
      </c>
    </row>
    <row r="1292" spans="1:4">
      <c r="A1292" s="3113">
        <v>1289</v>
      </c>
      <c r="B1292" s="3115" t="s">
        <v>2989</v>
      </c>
      <c r="C1292" s="3114">
        <v>110.76</v>
      </c>
      <c r="D1292" s="3113" t="s">
        <v>2911</v>
      </c>
    </row>
    <row r="1293" spans="1:4">
      <c r="A1293" s="3113">
        <v>1290</v>
      </c>
      <c r="B1293" s="3115" t="s">
        <v>2988</v>
      </c>
      <c r="C1293" s="3114">
        <v>110.76</v>
      </c>
      <c r="D1293" s="3113" t="s">
        <v>2911</v>
      </c>
    </row>
    <row r="1294" spans="1:4">
      <c r="A1294" s="3113">
        <v>1291</v>
      </c>
      <c r="B1294" s="3115" t="s">
        <v>2987</v>
      </c>
      <c r="C1294" s="3114">
        <v>110.76</v>
      </c>
      <c r="D1294" s="3113" t="s">
        <v>2911</v>
      </c>
    </row>
    <row r="1295" spans="1:4">
      <c r="A1295" s="3113">
        <v>1292</v>
      </c>
      <c r="B1295" s="3115" t="s">
        <v>2986</v>
      </c>
      <c r="C1295" s="3114">
        <v>110.76</v>
      </c>
      <c r="D1295" s="3113" t="s">
        <v>2911</v>
      </c>
    </row>
    <row r="1296" spans="1:4">
      <c r="A1296" s="3113">
        <v>1293</v>
      </c>
      <c r="B1296" s="3115" t="s">
        <v>2985</v>
      </c>
      <c r="C1296" s="3114">
        <v>110.76</v>
      </c>
      <c r="D1296" s="3113" t="s">
        <v>2911</v>
      </c>
    </row>
    <row r="1297" spans="1:4">
      <c r="A1297" s="3113">
        <v>1294</v>
      </c>
      <c r="B1297" s="3115" t="s">
        <v>2984</v>
      </c>
      <c r="C1297" s="3114">
        <v>110.76</v>
      </c>
      <c r="D1297" s="3113" t="s">
        <v>2911</v>
      </c>
    </row>
    <row r="1298" spans="1:4">
      <c r="A1298" s="3113">
        <v>1295</v>
      </c>
      <c r="B1298" s="3115" t="s">
        <v>2983</v>
      </c>
      <c r="C1298" s="3114">
        <v>110.76</v>
      </c>
      <c r="D1298" s="3113" t="s">
        <v>2911</v>
      </c>
    </row>
    <row r="1299" spans="1:4">
      <c r="A1299" s="3113">
        <v>1296</v>
      </c>
      <c r="B1299" s="3115" t="s">
        <v>2982</v>
      </c>
      <c r="C1299" s="3114">
        <v>110.76</v>
      </c>
      <c r="D1299" s="3113" t="s">
        <v>2911</v>
      </c>
    </row>
    <row r="1300" spans="1:4">
      <c r="A1300" s="3113">
        <v>1297</v>
      </c>
      <c r="B1300" s="3115" t="s">
        <v>2981</v>
      </c>
      <c r="C1300" s="3114">
        <v>110.76</v>
      </c>
      <c r="D1300" s="3113" t="s">
        <v>2911</v>
      </c>
    </row>
    <row r="1301" spans="1:4">
      <c r="A1301" s="3113">
        <v>1298</v>
      </c>
      <c r="B1301" s="3115" t="s">
        <v>2980</v>
      </c>
      <c r="C1301" s="3114">
        <v>110.76</v>
      </c>
      <c r="D1301" s="3113" t="s">
        <v>2911</v>
      </c>
    </row>
    <row r="1302" spans="1:4">
      <c r="A1302" s="3113">
        <v>1299</v>
      </c>
      <c r="B1302" s="3115" t="s">
        <v>2979</v>
      </c>
      <c r="C1302" s="3114">
        <v>110.76</v>
      </c>
      <c r="D1302" s="3113" t="s">
        <v>2911</v>
      </c>
    </row>
    <row r="1303" spans="1:4">
      <c r="A1303" s="3113">
        <v>1300</v>
      </c>
      <c r="B1303" s="3115" t="s">
        <v>2978</v>
      </c>
      <c r="C1303" s="3114">
        <v>110.76</v>
      </c>
      <c r="D1303" s="3113" t="s">
        <v>2911</v>
      </c>
    </row>
    <row r="1304" spans="1:4">
      <c r="A1304" s="3113">
        <v>1301</v>
      </c>
      <c r="B1304" s="3115" t="s">
        <v>2977</v>
      </c>
      <c r="C1304" s="3114">
        <v>110.76</v>
      </c>
      <c r="D1304" s="3113" t="s">
        <v>2911</v>
      </c>
    </row>
    <row r="1305" spans="1:4">
      <c r="A1305" s="3113">
        <v>1302</v>
      </c>
      <c r="B1305" s="3115" t="s">
        <v>2976</v>
      </c>
      <c r="C1305" s="3114">
        <v>110.76</v>
      </c>
      <c r="D1305" s="3113" t="s">
        <v>2911</v>
      </c>
    </row>
    <row r="1306" spans="1:4">
      <c r="A1306" s="3113">
        <v>1303</v>
      </c>
      <c r="B1306" s="3115" t="s">
        <v>2975</v>
      </c>
      <c r="C1306" s="3114">
        <v>110.76</v>
      </c>
      <c r="D1306" s="3113" t="s">
        <v>2911</v>
      </c>
    </row>
    <row r="1307" spans="1:4">
      <c r="A1307" s="3113">
        <v>1304</v>
      </c>
      <c r="B1307" s="3115" t="s">
        <v>2974</v>
      </c>
      <c r="C1307" s="3114">
        <v>110.76</v>
      </c>
      <c r="D1307" s="3113" t="s">
        <v>2911</v>
      </c>
    </row>
    <row r="1308" spans="1:4">
      <c r="A1308" s="3113">
        <v>1305</v>
      </c>
      <c r="B1308" s="3115" t="s">
        <v>2973</v>
      </c>
      <c r="C1308" s="3114">
        <v>110.76</v>
      </c>
      <c r="D1308" s="3113" t="s">
        <v>2911</v>
      </c>
    </row>
    <row r="1309" spans="1:4">
      <c r="A1309" s="3113">
        <v>1306</v>
      </c>
      <c r="B1309" s="3115" t="s">
        <v>2972</v>
      </c>
      <c r="C1309" s="3114">
        <v>110.76</v>
      </c>
      <c r="D1309" s="3113" t="s">
        <v>2911</v>
      </c>
    </row>
    <row r="1310" spans="1:4">
      <c r="A1310" s="3113">
        <v>1307</v>
      </c>
      <c r="B1310" s="3115" t="s">
        <v>2971</v>
      </c>
      <c r="C1310" s="3114">
        <v>110.76</v>
      </c>
      <c r="D1310" s="3113" t="s">
        <v>2911</v>
      </c>
    </row>
    <row r="1311" spans="1:4">
      <c r="A1311" s="3113">
        <v>1308</v>
      </c>
      <c r="B1311" s="3115" t="s">
        <v>2970</v>
      </c>
      <c r="C1311" s="3114">
        <v>96.27</v>
      </c>
      <c r="D1311" s="3113" t="s">
        <v>2911</v>
      </c>
    </row>
    <row r="1312" spans="1:4">
      <c r="A1312" s="3113">
        <v>1309</v>
      </c>
      <c r="B1312" s="3115" t="s">
        <v>2969</v>
      </c>
      <c r="C1312" s="3114">
        <v>87.79</v>
      </c>
      <c r="D1312" s="3113" t="s">
        <v>2911</v>
      </c>
    </row>
    <row r="1313" spans="1:4">
      <c r="A1313" s="3113">
        <v>1310</v>
      </c>
      <c r="B1313" s="3115" t="s">
        <v>2968</v>
      </c>
      <c r="C1313" s="3114">
        <v>87.79</v>
      </c>
      <c r="D1313" s="3113" t="s">
        <v>2911</v>
      </c>
    </row>
    <row r="1314" spans="1:4">
      <c r="A1314" s="3113">
        <v>1311</v>
      </c>
      <c r="B1314" s="3115" t="s">
        <v>2967</v>
      </c>
      <c r="C1314" s="3114">
        <v>87.79</v>
      </c>
      <c r="D1314" s="3113" t="s">
        <v>2911</v>
      </c>
    </row>
    <row r="1315" spans="1:4">
      <c r="A1315" s="3113">
        <v>1312</v>
      </c>
      <c r="B1315" s="3115" t="s">
        <v>2966</v>
      </c>
      <c r="C1315" s="3114">
        <v>87.79</v>
      </c>
      <c r="D1315" s="3113" t="s">
        <v>2911</v>
      </c>
    </row>
    <row r="1316" spans="1:4">
      <c r="A1316" s="3113">
        <v>1313</v>
      </c>
      <c r="B1316" s="3115" t="s">
        <v>2965</v>
      </c>
      <c r="C1316" s="3114">
        <v>87.79</v>
      </c>
      <c r="D1316" s="3113" t="s">
        <v>2911</v>
      </c>
    </row>
    <row r="1317" spans="1:4">
      <c r="A1317" s="3113">
        <v>1314</v>
      </c>
      <c r="B1317" s="3115" t="s">
        <v>2964</v>
      </c>
      <c r="C1317" s="3114">
        <v>87.79</v>
      </c>
      <c r="D1317" s="3113" t="s">
        <v>2911</v>
      </c>
    </row>
    <row r="1318" spans="1:4">
      <c r="A1318" s="3113">
        <v>1315</v>
      </c>
      <c r="B1318" s="3115" t="s">
        <v>2963</v>
      </c>
      <c r="C1318" s="3114">
        <v>87.79</v>
      </c>
      <c r="D1318" s="3113" t="s">
        <v>2911</v>
      </c>
    </row>
    <row r="1319" spans="1:4">
      <c r="A1319" s="3113">
        <v>1316</v>
      </c>
      <c r="B1319" s="3115" t="s">
        <v>2962</v>
      </c>
      <c r="C1319" s="3114">
        <v>87.79</v>
      </c>
      <c r="D1319" s="3113" t="s">
        <v>2911</v>
      </c>
    </row>
    <row r="1320" spans="1:4">
      <c r="A1320" s="3113">
        <v>1317</v>
      </c>
      <c r="B1320" s="3115" t="s">
        <v>2961</v>
      </c>
      <c r="C1320" s="3114">
        <v>87.79</v>
      </c>
      <c r="D1320" s="3113" t="s">
        <v>2911</v>
      </c>
    </row>
    <row r="1321" spans="1:4">
      <c r="A1321" s="3113">
        <v>1318</v>
      </c>
      <c r="B1321" s="3115" t="s">
        <v>2960</v>
      </c>
      <c r="C1321" s="3114">
        <v>87.79</v>
      </c>
      <c r="D1321" s="3113" t="s">
        <v>2911</v>
      </c>
    </row>
    <row r="1322" spans="1:4">
      <c r="A1322" s="3113">
        <v>1319</v>
      </c>
      <c r="B1322" s="3115" t="s">
        <v>2959</v>
      </c>
      <c r="C1322" s="3114">
        <v>87.79</v>
      </c>
      <c r="D1322" s="3113" t="s">
        <v>2911</v>
      </c>
    </row>
    <row r="1323" spans="1:4">
      <c r="A1323" s="3113">
        <v>1320</v>
      </c>
      <c r="B1323" s="3115" t="s">
        <v>2958</v>
      </c>
      <c r="C1323" s="3114">
        <v>87.79</v>
      </c>
      <c r="D1323" s="3113" t="s">
        <v>2911</v>
      </c>
    </row>
    <row r="1324" spans="1:4">
      <c r="A1324" s="3113">
        <v>1321</v>
      </c>
      <c r="B1324" s="3115" t="s">
        <v>2957</v>
      </c>
      <c r="C1324" s="3114">
        <v>87.79</v>
      </c>
      <c r="D1324" s="3113" t="s">
        <v>2911</v>
      </c>
    </row>
    <row r="1325" spans="1:4">
      <c r="A1325" s="3113">
        <v>1322</v>
      </c>
      <c r="B1325" s="3115" t="s">
        <v>2956</v>
      </c>
      <c r="C1325" s="3114">
        <v>87.79</v>
      </c>
      <c r="D1325" s="3113" t="s">
        <v>2911</v>
      </c>
    </row>
    <row r="1326" spans="1:4">
      <c r="A1326" s="3113">
        <v>1323</v>
      </c>
      <c r="B1326" s="3115" t="s">
        <v>2955</v>
      </c>
      <c r="C1326" s="3114">
        <v>87.79</v>
      </c>
      <c r="D1326" s="3113" t="s">
        <v>2911</v>
      </c>
    </row>
    <row r="1327" spans="1:4">
      <c r="A1327" s="3113">
        <v>1324</v>
      </c>
      <c r="B1327" s="3115" t="s">
        <v>2954</v>
      </c>
      <c r="C1327" s="3114">
        <v>87.79</v>
      </c>
      <c r="D1327" s="3113" t="s">
        <v>2911</v>
      </c>
    </row>
    <row r="1328" spans="1:4">
      <c r="A1328" s="3113">
        <v>1325</v>
      </c>
      <c r="B1328" s="3115" t="s">
        <v>2953</v>
      </c>
      <c r="C1328" s="3114">
        <v>87.79</v>
      </c>
      <c r="D1328" s="3113" t="s">
        <v>2911</v>
      </c>
    </row>
    <row r="1329" spans="1:4">
      <c r="A1329" s="3113">
        <v>1326</v>
      </c>
      <c r="B1329" s="3115" t="s">
        <v>2952</v>
      </c>
      <c r="C1329" s="3114">
        <v>87.79</v>
      </c>
      <c r="D1329" s="3113" t="s">
        <v>2911</v>
      </c>
    </row>
    <row r="1330" spans="1:4">
      <c r="A1330" s="3113">
        <v>1327</v>
      </c>
      <c r="B1330" s="3115" t="s">
        <v>2951</v>
      </c>
      <c r="C1330" s="3114">
        <v>87.79</v>
      </c>
      <c r="D1330" s="3113" t="s">
        <v>2911</v>
      </c>
    </row>
    <row r="1331" spans="1:4">
      <c r="A1331" s="3113">
        <v>1328</v>
      </c>
      <c r="B1331" s="3115" t="s">
        <v>2950</v>
      </c>
      <c r="C1331" s="3114">
        <v>87.79</v>
      </c>
      <c r="D1331" s="3113" t="s">
        <v>2911</v>
      </c>
    </row>
    <row r="1332" spans="1:4">
      <c r="A1332" s="3113">
        <v>1329</v>
      </c>
      <c r="B1332" s="3115" t="s">
        <v>2949</v>
      </c>
      <c r="C1332" s="3114">
        <v>87.79</v>
      </c>
      <c r="D1332" s="3113" t="s">
        <v>2911</v>
      </c>
    </row>
    <row r="1333" spans="1:4">
      <c r="A1333" s="3113">
        <v>1330</v>
      </c>
      <c r="B1333" s="3115" t="s">
        <v>2948</v>
      </c>
      <c r="C1333" s="3114">
        <v>87.79</v>
      </c>
      <c r="D1333" s="3113" t="s">
        <v>2911</v>
      </c>
    </row>
    <row r="1334" spans="1:4">
      <c r="A1334" s="3113">
        <v>1331</v>
      </c>
      <c r="B1334" s="3115" t="s">
        <v>2947</v>
      </c>
      <c r="C1334" s="3114">
        <v>87.79</v>
      </c>
      <c r="D1334" s="3113" t="s">
        <v>2911</v>
      </c>
    </row>
    <row r="1335" spans="1:4">
      <c r="A1335" s="3113">
        <v>1332</v>
      </c>
      <c r="B1335" s="3115" t="s">
        <v>2946</v>
      </c>
      <c r="C1335" s="3114">
        <v>87.79</v>
      </c>
      <c r="D1335" s="3113" t="s">
        <v>2911</v>
      </c>
    </row>
    <row r="1336" spans="1:4">
      <c r="A1336" s="3113">
        <v>1333</v>
      </c>
      <c r="B1336" s="3115" t="s">
        <v>2945</v>
      </c>
      <c r="C1336" s="3114">
        <v>87.79</v>
      </c>
      <c r="D1336" s="3113" t="s">
        <v>2911</v>
      </c>
    </row>
    <row r="1337" spans="1:4">
      <c r="A1337" s="3113">
        <v>1334</v>
      </c>
      <c r="B1337" s="3115" t="s">
        <v>2944</v>
      </c>
      <c r="C1337" s="3114">
        <v>87.79</v>
      </c>
      <c r="D1337" s="3113" t="s">
        <v>2911</v>
      </c>
    </row>
    <row r="1338" spans="1:4">
      <c r="A1338" s="3113">
        <v>1335</v>
      </c>
      <c r="B1338" s="3115" t="s">
        <v>2943</v>
      </c>
      <c r="C1338" s="3114">
        <v>87.79</v>
      </c>
      <c r="D1338" s="3113" t="s">
        <v>2911</v>
      </c>
    </row>
    <row r="1339" spans="1:4">
      <c r="A1339" s="3113">
        <v>1336</v>
      </c>
      <c r="B1339" s="3115" t="s">
        <v>2942</v>
      </c>
      <c r="C1339" s="3114">
        <v>87.79</v>
      </c>
      <c r="D1339" s="3113" t="s">
        <v>2911</v>
      </c>
    </row>
    <row r="1340" spans="1:4">
      <c r="A1340" s="3113">
        <v>1337</v>
      </c>
      <c r="B1340" s="3115" t="s">
        <v>2941</v>
      </c>
      <c r="C1340" s="3114">
        <v>86.76</v>
      </c>
      <c r="D1340" s="3113" t="s">
        <v>2911</v>
      </c>
    </row>
    <row r="1341" spans="1:4">
      <c r="A1341" s="3113">
        <v>1338</v>
      </c>
      <c r="B1341" s="3115" t="s">
        <v>2940</v>
      </c>
      <c r="C1341" s="3114">
        <v>112.46</v>
      </c>
      <c r="D1341" s="3113" t="s">
        <v>2911</v>
      </c>
    </row>
    <row r="1342" spans="1:4">
      <c r="A1342" s="3113">
        <v>1339</v>
      </c>
      <c r="B1342" s="3115" t="s">
        <v>2939</v>
      </c>
      <c r="C1342" s="3114">
        <v>112.46</v>
      </c>
      <c r="D1342" s="3113" t="s">
        <v>2911</v>
      </c>
    </row>
    <row r="1343" spans="1:4">
      <c r="A1343" s="3113">
        <v>1340</v>
      </c>
      <c r="B1343" s="3115" t="s">
        <v>2938</v>
      </c>
      <c r="C1343" s="3114">
        <v>112.46</v>
      </c>
      <c r="D1343" s="3113" t="s">
        <v>2911</v>
      </c>
    </row>
    <row r="1344" spans="1:4">
      <c r="A1344" s="3113">
        <v>1341</v>
      </c>
      <c r="B1344" s="3115" t="s">
        <v>2937</v>
      </c>
      <c r="C1344" s="3114">
        <v>112.46</v>
      </c>
      <c r="D1344" s="3113" t="s">
        <v>2911</v>
      </c>
    </row>
    <row r="1345" spans="1:4">
      <c r="A1345" s="3113">
        <v>1342</v>
      </c>
      <c r="B1345" s="3115" t="s">
        <v>2936</v>
      </c>
      <c r="C1345" s="3114">
        <v>112.46</v>
      </c>
      <c r="D1345" s="3113" t="s">
        <v>2911</v>
      </c>
    </row>
    <row r="1346" spans="1:4">
      <c r="A1346" s="3113">
        <v>1343</v>
      </c>
      <c r="B1346" s="3115" t="s">
        <v>2935</v>
      </c>
      <c r="C1346" s="3114">
        <v>112.46</v>
      </c>
      <c r="D1346" s="3113" t="s">
        <v>2911</v>
      </c>
    </row>
    <row r="1347" spans="1:4">
      <c r="A1347" s="3113">
        <v>1344</v>
      </c>
      <c r="B1347" s="3115" t="s">
        <v>2934</v>
      </c>
      <c r="C1347" s="3114">
        <v>112.46</v>
      </c>
      <c r="D1347" s="3113" t="s">
        <v>2911</v>
      </c>
    </row>
    <row r="1348" spans="1:4">
      <c r="A1348" s="3113">
        <v>1345</v>
      </c>
      <c r="B1348" s="3115" t="s">
        <v>2933</v>
      </c>
      <c r="C1348" s="3114">
        <v>112.46</v>
      </c>
      <c r="D1348" s="3113" t="s">
        <v>2911</v>
      </c>
    </row>
    <row r="1349" spans="1:4">
      <c r="A1349" s="3113">
        <v>1346</v>
      </c>
      <c r="B1349" s="3115" t="s">
        <v>2932</v>
      </c>
      <c r="C1349" s="3114">
        <v>112.46</v>
      </c>
      <c r="D1349" s="3113" t="s">
        <v>2911</v>
      </c>
    </row>
    <row r="1350" spans="1:4">
      <c r="A1350" s="3113">
        <v>1347</v>
      </c>
      <c r="B1350" s="3115" t="s">
        <v>2931</v>
      </c>
      <c r="C1350" s="3114">
        <v>112.46</v>
      </c>
      <c r="D1350" s="3113" t="s">
        <v>2911</v>
      </c>
    </row>
    <row r="1351" spans="1:4">
      <c r="A1351" s="3113">
        <v>1348</v>
      </c>
      <c r="B1351" s="3115" t="s">
        <v>2930</v>
      </c>
      <c r="C1351" s="3114">
        <v>112.46</v>
      </c>
      <c r="D1351" s="3113" t="s">
        <v>2911</v>
      </c>
    </row>
    <row r="1352" spans="1:4">
      <c r="A1352" s="3113">
        <v>1349</v>
      </c>
      <c r="B1352" s="3115" t="s">
        <v>2929</v>
      </c>
      <c r="C1352" s="3114">
        <v>112.46</v>
      </c>
      <c r="D1352" s="3113" t="s">
        <v>2911</v>
      </c>
    </row>
    <row r="1353" spans="1:4">
      <c r="A1353" s="3113">
        <v>1350</v>
      </c>
      <c r="B1353" s="3115" t="s">
        <v>2928</v>
      </c>
      <c r="C1353" s="3114">
        <v>112.46</v>
      </c>
      <c r="D1353" s="3113" t="s">
        <v>2911</v>
      </c>
    </row>
    <row r="1354" spans="1:4">
      <c r="A1354" s="3113">
        <v>1351</v>
      </c>
      <c r="B1354" s="3115" t="s">
        <v>2927</v>
      </c>
      <c r="C1354" s="3114">
        <v>112.46</v>
      </c>
      <c r="D1354" s="3113" t="s">
        <v>2911</v>
      </c>
    </row>
    <row r="1355" spans="1:4">
      <c r="A1355" s="3113">
        <v>1352</v>
      </c>
      <c r="B1355" s="3115" t="s">
        <v>2926</v>
      </c>
      <c r="C1355" s="3114">
        <v>112.46</v>
      </c>
      <c r="D1355" s="3113" t="s">
        <v>2911</v>
      </c>
    </row>
    <row r="1356" spans="1:4">
      <c r="A1356" s="3113">
        <v>1353</v>
      </c>
      <c r="B1356" s="3115" t="s">
        <v>2925</v>
      </c>
      <c r="C1356" s="3114">
        <v>112.46</v>
      </c>
      <c r="D1356" s="3113" t="s">
        <v>2911</v>
      </c>
    </row>
    <row r="1357" spans="1:4">
      <c r="A1357" s="3113">
        <v>1354</v>
      </c>
      <c r="B1357" s="3115" t="s">
        <v>2924</v>
      </c>
      <c r="C1357" s="3114">
        <v>112.46</v>
      </c>
      <c r="D1357" s="3113" t="s">
        <v>2911</v>
      </c>
    </row>
    <row r="1358" spans="1:4">
      <c r="A1358" s="3113">
        <v>1355</v>
      </c>
      <c r="B1358" s="3115" t="s">
        <v>2923</v>
      </c>
      <c r="C1358" s="3114">
        <v>112.46</v>
      </c>
      <c r="D1358" s="3113" t="s">
        <v>2911</v>
      </c>
    </row>
    <row r="1359" spans="1:4">
      <c r="A1359" s="3113">
        <v>1356</v>
      </c>
      <c r="B1359" s="3115" t="s">
        <v>2922</v>
      </c>
      <c r="C1359" s="3114">
        <v>112.46</v>
      </c>
      <c r="D1359" s="3113" t="s">
        <v>2911</v>
      </c>
    </row>
    <row r="1360" spans="1:4">
      <c r="A1360" s="3113">
        <v>1357</v>
      </c>
      <c r="B1360" s="3115" t="s">
        <v>2921</v>
      </c>
      <c r="C1360" s="3114">
        <v>112.46</v>
      </c>
      <c r="D1360" s="3113" t="s">
        <v>2911</v>
      </c>
    </row>
    <row r="1361" spans="1:4">
      <c r="A1361" s="3113">
        <v>1358</v>
      </c>
      <c r="B1361" s="3115" t="s">
        <v>2920</v>
      </c>
      <c r="C1361" s="3114">
        <v>112.46</v>
      </c>
      <c r="D1361" s="3113" t="s">
        <v>2911</v>
      </c>
    </row>
    <row r="1362" spans="1:4">
      <c r="A1362" s="3113">
        <v>1359</v>
      </c>
      <c r="B1362" s="3115" t="s">
        <v>2919</v>
      </c>
      <c r="C1362" s="3114">
        <v>112.46</v>
      </c>
      <c r="D1362" s="3113" t="s">
        <v>2911</v>
      </c>
    </row>
    <row r="1363" spans="1:4">
      <c r="A1363" s="3113">
        <v>1360</v>
      </c>
      <c r="B1363" s="3115" t="s">
        <v>2918</v>
      </c>
      <c r="C1363" s="3114">
        <v>112.46</v>
      </c>
      <c r="D1363" s="3113" t="s">
        <v>2911</v>
      </c>
    </row>
    <row r="1364" spans="1:4">
      <c r="A1364" s="3113">
        <v>1361</v>
      </c>
      <c r="B1364" s="3115" t="s">
        <v>2917</v>
      </c>
      <c r="C1364" s="3114">
        <v>112.46</v>
      </c>
      <c r="D1364" s="3113" t="s">
        <v>2911</v>
      </c>
    </row>
    <row r="1365" spans="1:4">
      <c r="A1365" s="3113">
        <v>1362</v>
      </c>
      <c r="B1365" s="3115" t="s">
        <v>2916</v>
      </c>
      <c r="C1365" s="3114">
        <v>112.46</v>
      </c>
      <c r="D1365" s="3113" t="s">
        <v>2911</v>
      </c>
    </row>
    <row r="1366" spans="1:4">
      <c r="A1366" s="3113">
        <v>1363</v>
      </c>
      <c r="B1366" s="3115" t="s">
        <v>2915</v>
      </c>
      <c r="C1366" s="3114">
        <v>112.46</v>
      </c>
      <c r="D1366" s="3113" t="s">
        <v>2911</v>
      </c>
    </row>
    <row r="1367" spans="1:4">
      <c r="A1367" s="3113">
        <v>1364</v>
      </c>
      <c r="B1367" s="3115" t="s">
        <v>2914</v>
      </c>
      <c r="C1367" s="3114">
        <v>112.46</v>
      </c>
      <c r="D1367" s="3113" t="s">
        <v>2911</v>
      </c>
    </row>
    <row r="1368" spans="1:4">
      <c r="A1368" s="3113">
        <v>1365</v>
      </c>
      <c r="B1368" s="3115" t="s">
        <v>2913</v>
      </c>
      <c r="C1368" s="3114">
        <v>112.46</v>
      </c>
      <c r="D1368" s="3113" t="s">
        <v>2911</v>
      </c>
    </row>
    <row r="1369" spans="1:4">
      <c r="A1369" s="3113">
        <v>1366</v>
      </c>
      <c r="B1369" s="3115" t="s">
        <v>2912</v>
      </c>
      <c r="C1369" s="3114">
        <v>99.07</v>
      </c>
      <c r="D1369" s="3113" t="s">
        <v>2911</v>
      </c>
    </row>
    <row r="1370" spans="1:4">
      <c r="B1370" s="3112">
        <v>12000</v>
      </c>
      <c r="C1370" s="3111">
        <f>SUM(C4:C1369)</f>
        <v>132627.94999999891</v>
      </c>
      <c r="D1370" s="3109">
        <f>C1370*B1370</f>
        <v>1591535399.9999869</v>
      </c>
    </row>
  </sheetData>
  <mergeCells count="2">
    <mergeCell ref="A1:D2"/>
    <mergeCell ref="H1:K2"/>
  </mergeCells>
  <phoneticPr fontId="208" type="noConversion"/>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253</vt:i4>
      </vt:variant>
    </vt:vector>
  </HeadingPairs>
  <TitlesOfParts>
    <vt:vector size="295" baseType="lpstr">
      <vt:lpstr>致函链接</vt:lpstr>
      <vt:lpstr>预评函-封皮</vt:lpstr>
      <vt:lpstr>预评函-1</vt:lpstr>
      <vt:lpstr>预评函-2（1）</vt:lpstr>
      <vt:lpstr>预评函-2（2）</vt:lpstr>
      <vt:lpstr>预评函-3</vt:lpstr>
      <vt:lpstr>使用说明</vt:lpstr>
      <vt:lpstr>估价师及机构信息</vt:lpstr>
      <vt:lpstr>Sheet1</vt:lpstr>
      <vt:lpstr>Sheet2</vt:lpstr>
      <vt:lpstr>7.15</vt:lpstr>
      <vt:lpstr>7.17</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土地比较法-住宅、综合</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Sheet3</vt:lpstr>
      <vt:lpstr>'比较法-住宅'!Print_Area</vt:lpstr>
      <vt:lpstr>典型户型修正!Print_Area</vt:lpstr>
      <vt:lpstr>估价对象房地状况!Print_Area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2017-07-18T05:58:57Z</cp:lastPrinted>
  <dcterms:created xsi:type="dcterms:W3CDTF">2015-07-13T07:17:23Z</dcterms:created>
  <dcterms:modified xsi:type="dcterms:W3CDTF">2017-07-18T07:34:46Z</dcterms:modified>
</cp:coreProperties>
</file>