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2024-1-0517北保金隅上和园\"/>
    </mc:Choice>
  </mc:AlternateContent>
  <xr:revisionPtr revIDLastSave="0" documentId="13_ncr:1_{41FF8B44-4F5E-44E8-A40F-FCA180ECCF40}" xr6:coauthVersionLast="47" xr6:coauthVersionMax="47" xr10:uidLastSave="{00000000-0000-0000-0000-000000000000}"/>
  <bookViews>
    <workbookView xWindow="-120" yWindow="-120" windowWidth="21840" windowHeight="13140" tabRatio="747" activeTab="1" xr2:uid="{00000000-000D-0000-FFFF-FFFF00000000}"/>
  </bookViews>
  <sheets>
    <sheet name="系统读取表" sheetId="11" r:id="rId1"/>
    <sheet name="标准房测算表-金隅上和园" sheetId="6" r:id="rId2"/>
    <sheet name="案例" sheetId="32" r:id="rId3"/>
    <sheet name="驹子房成本分析 " sheetId="16" state="hidden" r:id="rId4"/>
    <sheet name="东湾家园成本分析 " sheetId="17" state="hidden" r:id="rId5"/>
    <sheet name="首开畅颐园成本分析 " sheetId="18" state="hidden" r:id="rId6"/>
    <sheet name="恒大江湾成本分析  " sheetId="19" state="hidden" r:id="rId7"/>
    <sheet name="首城东郡汇成本分析" sheetId="20" state="hidden" r:id="rId8"/>
    <sheet name="福润四季成本分析" sheetId="21" state="hidden" r:id="rId9"/>
    <sheet name="悦和园成本分析 " sheetId="22" state="hidden" r:id="rId10"/>
    <sheet name="景和园成本分析 " sheetId="23" state="hidden" r:id="rId11"/>
    <sheet name="朝新嘉园成本分析" sheetId="24" state="hidden" r:id="rId12"/>
    <sheet name="成本分析" sheetId="14" state="hidden" r:id="rId13"/>
  </sheets>
  <externalReferences>
    <externalReference r:id="rId14"/>
  </externalReferences>
  <definedNames>
    <definedName name="备注">#REF!</definedName>
    <definedName name="产权证登记日期">#REF!</definedName>
    <definedName name="产权证号">#REF!</definedName>
    <definedName name="成本分析" localSheetId="11">#REF!</definedName>
    <definedName name="成本分析" localSheetId="8">#REF!</definedName>
    <definedName name="成本分析" localSheetId="6">#REF!</definedName>
    <definedName name="成本分析" localSheetId="10">#REF!</definedName>
    <definedName name="成本分析" localSheetId="7">#REF!</definedName>
    <definedName name="成本分析" localSheetId="5">#REF!</definedName>
    <definedName name="成本分析" localSheetId="9">#REF!</definedName>
    <definedName name="成本分析">#REF!</definedName>
    <definedName name="成本分析1" localSheetId="11">#REF!</definedName>
    <definedName name="成本分析1" localSheetId="8">#REF!</definedName>
    <definedName name="成本分析1" localSheetId="6">#REF!</definedName>
    <definedName name="成本分析1" localSheetId="10">#REF!</definedName>
    <definedName name="成本分析1" localSheetId="7">#REF!</definedName>
    <definedName name="成本分析1" localSheetId="5">#REF!</definedName>
    <definedName name="成本分析1" localSheetId="9">#REF!</definedName>
    <definedName name="成本分析1">#REF!</definedName>
    <definedName name="厨">#REF!</definedName>
    <definedName name="单元" localSheetId="11">#REF!</definedName>
    <definedName name="单元" localSheetId="4">#REF!</definedName>
    <definedName name="单元" localSheetId="8">#REF!</definedName>
    <definedName name="单元" localSheetId="6">#REF!</definedName>
    <definedName name="单元" localSheetId="10">#REF!</definedName>
    <definedName name="单元" localSheetId="3">#REF!</definedName>
    <definedName name="单元" localSheetId="7">#REF!</definedName>
    <definedName name="单元" localSheetId="5">#REF!</definedName>
    <definedName name="单元" localSheetId="9">#REF!</definedName>
    <definedName name="单元">#REF!</definedName>
    <definedName name="调配对象">#REF!</definedName>
    <definedName name="调配依据">#REF!</definedName>
    <definedName name="房号" localSheetId="11">#REF!</definedName>
    <definedName name="房号" localSheetId="4">#REF!</definedName>
    <definedName name="房号" localSheetId="8">#REF!</definedName>
    <definedName name="房号" localSheetId="6">#REF!</definedName>
    <definedName name="房号" localSheetId="10">#REF!</definedName>
    <definedName name="房号" localSheetId="3">#REF!</definedName>
    <definedName name="房号" localSheetId="7">#REF!</definedName>
    <definedName name="房号" localSheetId="5">#REF!</definedName>
    <definedName name="房号" localSheetId="9">#REF!</definedName>
    <definedName name="房号">#REF!</definedName>
    <definedName name="房间" localSheetId="11">#REF!</definedName>
    <definedName name="房间" localSheetId="4">#REF!</definedName>
    <definedName name="房间" localSheetId="8">#REF!</definedName>
    <definedName name="房间" localSheetId="6">#REF!</definedName>
    <definedName name="房间" localSheetId="10">#REF!</definedName>
    <definedName name="房间" localSheetId="3">#REF!</definedName>
    <definedName name="房间" localSheetId="7">#REF!</definedName>
    <definedName name="房间" localSheetId="5">#REF!</definedName>
    <definedName name="房间" localSheetId="9">#REF!</definedName>
    <definedName name="房间">#REF!</definedName>
    <definedName name="房间号" localSheetId="11">#REF!</definedName>
    <definedName name="房间号" localSheetId="4">#REF!</definedName>
    <definedName name="房间号" localSheetId="8">#REF!</definedName>
    <definedName name="房间号" localSheetId="6">#REF!</definedName>
    <definedName name="房间号" localSheetId="10">#REF!</definedName>
    <definedName name="房间号" localSheetId="3">#REF!</definedName>
    <definedName name="房间号" localSheetId="7">#REF!</definedName>
    <definedName name="房间号" localSheetId="5">#REF!</definedName>
    <definedName name="房间号" localSheetId="9">#REF!</definedName>
    <definedName name="房间号">#REF!</definedName>
    <definedName name="房屋产权性质">[1]楼层测算!$N$2:$N$9</definedName>
    <definedName name="房屋朝向">[1]楼层测算!$A$117:$A$126</definedName>
    <definedName name="房屋交付日期">#REF!</definedName>
    <definedName name="房屋情况">#REF!</definedName>
    <definedName name="房屋使用情况">#REF!</definedName>
    <definedName name="房屋性质">#REF!</definedName>
    <definedName name="房屋装修">[1]楼层测算!$K$2:$K$5</definedName>
    <definedName name="房屋坐落">#REF!</definedName>
    <definedName name="管理单位">#REF!</definedName>
    <definedName name="户型结构">#REF!</definedName>
    <definedName name="建筑面积">#REF!</definedName>
    <definedName name="教委" localSheetId="11">#REF!</definedName>
    <definedName name="教委" localSheetId="4">#REF!</definedName>
    <definedName name="教委" localSheetId="8">#REF!</definedName>
    <definedName name="教委" localSheetId="6">#REF!</definedName>
    <definedName name="教委" localSheetId="10">#REF!</definedName>
    <definedName name="教委" localSheetId="3">#REF!</definedName>
    <definedName name="教委" localSheetId="7">#REF!</definedName>
    <definedName name="教委" localSheetId="5">#REF!</definedName>
    <definedName name="教委" localSheetId="9">#REF!</definedName>
    <definedName name="教委">#REF!</definedName>
    <definedName name="居室">#REF!</definedName>
    <definedName name="扣缴日期" localSheetId="11">#REF!</definedName>
    <definedName name="扣缴日期" localSheetId="4">#REF!</definedName>
    <definedName name="扣缴日期" localSheetId="8">#REF!</definedName>
    <definedName name="扣缴日期" localSheetId="6">#REF!</definedName>
    <definedName name="扣缴日期" localSheetId="10">#REF!</definedName>
    <definedName name="扣缴日期" localSheetId="3">#REF!</definedName>
    <definedName name="扣缴日期" localSheetId="7">#REF!</definedName>
    <definedName name="扣缴日期" localSheetId="5">#REF!</definedName>
    <definedName name="扣缴日期" localSheetId="9">#REF!</definedName>
    <definedName name="扣缴日期">#REF!</definedName>
    <definedName name="楼栋" localSheetId="11">#REF!</definedName>
    <definedName name="楼栋" localSheetId="4">#REF!</definedName>
    <definedName name="楼栋" localSheetId="8">#REF!</definedName>
    <definedName name="楼栋" localSheetId="6">#REF!</definedName>
    <definedName name="楼栋" localSheetId="10">#REF!</definedName>
    <definedName name="楼栋" localSheetId="3">#REF!</definedName>
    <definedName name="楼栋" localSheetId="7">#REF!</definedName>
    <definedName name="楼栋" localSheetId="5">#REF!</definedName>
    <definedName name="楼栋" localSheetId="9">#REF!</definedName>
    <definedName name="楼栋">#REF!</definedName>
    <definedName name="楼号" localSheetId="11">#REF!</definedName>
    <definedName name="楼号" localSheetId="4">#REF!</definedName>
    <definedName name="楼号" localSheetId="8">#REF!</definedName>
    <definedName name="楼号" localSheetId="6">#REF!</definedName>
    <definedName name="楼号" localSheetId="10">#REF!</definedName>
    <definedName name="楼号" localSheetId="3">#REF!</definedName>
    <definedName name="楼号" localSheetId="7">#REF!</definedName>
    <definedName name="楼号" localSheetId="5">#REF!</definedName>
    <definedName name="楼号" localSheetId="9">#REF!</definedName>
    <definedName name="楼号">#REF!</definedName>
    <definedName name="区域成熟度" localSheetId="11">#REF!</definedName>
    <definedName name="区域成熟度" localSheetId="4">#REF!</definedName>
    <definedName name="区域成熟度" localSheetId="8">#REF!</definedName>
    <definedName name="区域成熟度" localSheetId="6">#REF!</definedName>
    <definedName name="区域成熟度" localSheetId="10">#REF!</definedName>
    <definedName name="区域成熟度" localSheetId="3">#REF!</definedName>
    <definedName name="区域成熟度" localSheetId="7">#REF!</definedName>
    <definedName name="区域成熟度" localSheetId="5">#REF!</definedName>
    <definedName name="区域成熟度" localSheetId="9">#REF!</definedName>
    <definedName name="区域成熟度">#REF!</definedName>
    <definedName name="取得方式">#REF!</definedName>
    <definedName name="取得依据">#REF!</definedName>
    <definedName name="权利人">#REF!</definedName>
    <definedName name="身份证号码" localSheetId="11">#REF!</definedName>
    <definedName name="身份证号码" localSheetId="4">#REF!</definedName>
    <definedName name="身份证号码" localSheetId="8">#REF!</definedName>
    <definedName name="身份证号码" localSheetId="6">#REF!</definedName>
    <definedName name="身份证号码" localSheetId="10">#REF!</definedName>
    <definedName name="身份证号码" localSheetId="3">#REF!</definedName>
    <definedName name="身份证号码" localSheetId="7">#REF!</definedName>
    <definedName name="身份证号码" localSheetId="5">#REF!</definedName>
    <definedName name="身份证号码" localSheetId="9">#REF!</definedName>
    <definedName name="身份证号码">#REF!</definedName>
    <definedName name="收购_回购价格">#REF!</definedName>
    <definedName name="所在楼层">[1]楼层测算!$L$2:$L$6</definedName>
    <definedName name="所在区">#REF!</definedName>
    <definedName name="厅">#REF!</definedName>
    <definedName name="卫">#REF!</definedName>
    <definedName name="项目名称">#REF!</definedName>
    <definedName name="序号">#REF!</definedName>
    <definedName name="租户名称" localSheetId="11">#REF!</definedName>
    <definedName name="租户名称" localSheetId="4">#REF!</definedName>
    <definedName name="租户名称" localSheetId="8">#REF!</definedName>
    <definedName name="租户名称" localSheetId="6">#REF!</definedName>
    <definedName name="租户名称" localSheetId="10">#REF!</definedName>
    <definedName name="租户名称" localSheetId="3">#REF!</definedName>
    <definedName name="租户名称" localSheetId="7">#REF!</definedName>
    <definedName name="租户名称" localSheetId="5">#REF!</definedName>
    <definedName name="租户名称" localSheetId="9">#REF!</definedName>
    <definedName name="租户名称">#REF!</definedName>
    <definedName name="租户银行账户" localSheetId="11">#REF!</definedName>
    <definedName name="租户银行账户" localSheetId="4">#REF!</definedName>
    <definedName name="租户银行账户" localSheetId="8">#REF!</definedName>
    <definedName name="租户银行账户" localSheetId="6">#REF!</definedName>
    <definedName name="租户银行账户" localSheetId="10">#REF!</definedName>
    <definedName name="租户银行账户" localSheetId="3">#REF!</definedName>
    <definedName name="租户银行账户" localSheetId="7">#REF!</definedName>
    <definedName name="租户银行账户" localSheetId="5">#REF!</definedName>
    <definedName name="租户银行账户" localSheetId="9">#REF!</definedName>
    <definedName name="租户银行账户">#REF!</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I5" i="6" l="1"/>
  <c r="G5" i="6"/>
  <c r="E5" i="6"/>
  <c r="I4" i="6"/>
  <c r="E4" i="6"/>
  <c r="G4" i="6"/>
  <c r="I31" i="6" l="1"/>
  <c r="D38" i="6"/>
  <c r="E38" i="6" s="1"/>
  <c r="F38" i="6" s="1"/>
  <c r="G38" i="6" s="1"/>
  <c r="H38" i="6" s="1"/>
  <c r="I38" i="6" s="1"/>
  <c r="J38" i="6" s="1"/>
  <c r="K38" i="6" s="1"/>
  <c r="B38" i="6"/>
  <c r="E24" i="6" l="1"/>
  <c r="E4" i="24" l="1"/>
  <c r="E8" i="24" s="1"/>
  <c r="E2" i="24"/>
  <c r="E9" i="24" s="1"/>
  <c r="F9" i="24"/>
  <c r="F4" i="24"/>
  <c r="C4" i="24" s="1"/>
  <c r="E4" i="23"/>
  <c r="E8" i="23" s="1"/>
  <c r="C8" i="23" s="1"/>
  <c r="E2" i="23"/>
  <c r="F9" i="23"/>
  <c r="E9" i="23"/>
  <c r="E4" i="22"/>
  <c r="E8" i="22" s="1"/>
  <c r="C8" i="22" s="1"/>
  <c r="F9" i="22"/>
  <c r="C6" i="21"/>
  <c r="E4" i="21"/>
  <c r="E8" i="21" s="1"/>
  <c r="F9" i="21"/>
  <c r="E4" i="20"/>
  <c r="E8" i="20" s="1"/>
  <c r="F9" i="20"/>
  <c r="F4" i="20"/>
  <c r="C4" i="20" s="1"/>
  <c r="E4" i="19"/>
  <c r="E8" i="19" s="1"/>
  <c r="E2" i="19"/>
  <c r="F9" i="19"/>
  <c r="F4" i="19"/>
  <c r="C4" i="19" s="1"/>
  <c r="E9" i="19"/>
  <c r="C6" i="18"/>
  <c r="E4" i="18"/>
  <c r="E8" i="18" s="1"/>
  <c r="C8" i="18" s="1"/>
  <c r="E2" i="18"/>
  <c r="E9" i="18" s="1"/>
  <c r="F9" i="18"/>
  <c r="C6" i="17"/>
  <c r="E4" i="17"/>
  <c r="E8" i="17" s="1"/>
  <c r="C8" i="17" s="1"/>
  <c r="E2" i="17"/>
  <c r="E9" i="17" s="1"/>
  <c r="F9" i="17"/>
  <c r="F4" i="17"/>
  <c r="C4" i="17" s="1"/>
  <c r="E2" i="16"/>
  <c r="G5" i="20"/>
  <c r="E5" i="20" s="1"/>
  <c r="C5" i="20" s="1"/>
  <c r="G5" i="24"/>
  <c r="E5" i="24" s="1"/>
  <c r="C5" i="24" s="1"/>
  <c r="G5" i="18"/>
  <c r="E5" i="18" s="1"/>
  <c r="G5" i="19"/>
  <c r="E5" i="19" s="1"/>
  <c r="C5" i="19" s="1"/>
  <c r="G5" i="21"/>
  <c r="G5" i="22"/>
  <c r="E5" i="22" s="1"/>
  <c r="C5" i="22" s="1"/>
  <c r="G5" i="23"/>
  <c r="E5" i="23" s="1"/>
  <c r="C5" i="23" s="1"/>
  <c r="E4" i="16"/>
  <c r="E8" i="16" s="1"/>
  <c r="C8" i="16" s="1"/>
  <c r="C6" i="24"/>
  <c r="C6" i="19"/>
  <c r="C6" i="20"/>
  <c r="C6" i="22"/>
  <c r="C6" i="23"/>
  <c r="C6" i="16"/>
  <c r="E2" i="22"/>
  <c r="E9" i="22" s="1"/>
  <c r="E2" i="21"/>
  <c r="E9" i="21" s="1"/>
  <c r="E2" i="20"/>
  <c r="E9" i="20" s="1"/>
  <c r="F9" i="16"/>
  <c r="E5" i="21" l="1"/>
  <c r="C5" i="21" s="1"/>
  <c r="F4" i="16"/>
  <c r="C4" i="16" s="1"/>
  <c r="F4" i="22"/>
  <c r="C4" i="22" s="1"/>
  <c r="F4" i="23"/>
  <c r="C4" i="23" s="1"/>
  <c r="C3" i="23" s="1"/>
  <c r="E5" i="17"/>
  <c r="C5" i="17" s="1"/>
  <c r="C3" i="17" s="1"/>
  <c r="F4" i="21"/>
  <c r="C4" i="21" s="1"/>
  <c r="E5" i="16"/>
  <c r="C5" i="16" s="1"/>
  <c r="C3" i="24"/>
  <c r="C8" i="24"/>
  <c r="C3" i="22"/>
  <c r="C8" i="21"/>
  <c r="C3" i="20"/>
  <c r="C8" i="20"/>
  <c r="C3" i="19"/>
  <c r="C8" i="19"/>
  <c r="F4" i="18"/>
  <c r="C4" i="18" s="1"/>
  <c r="C3" i="18" s="1"/>
  <c r="C5" i="18"/>
  <c r="E5" i="14"/>
  <c r="C3" i="21" l="1"/>
  <c r="E8" i="14"/>
  <c r="C8" i="14" s="1"/>
  <c r="F9" i="14"/>
  <c r="C5" i="14"/>
  <c r="F4" i="14"/>
  <c r="C4" i="14" s="1"/>
  <c r="F2" i="23"/>
  <c r="C2" i="23" s="1"/>
  <c r="C10" i="23" s="1"/>
  <c r="C7" i="23" s="1"/>
  <c r="C11" i="23" s="1"/>
  <c r="C12" i="23" s="1"/>
  <c r="F2" i="16"/>
  <c r="C6" i="14" l="1"/>
  <c r="C3" i="14" s="1"/>
  <c r="C3" i="16"/>
  <c r="F2" i="24" l="1"/>
  <c r="C2" i="24" s="1"/>
  <c r="F2" i="22"/>
  <c r="C2" i="22" s="1"/>
  <c r="C10" i="22" s="1"/>
  <c r="C7" i="22" s="1"/>
  <c r="C11" i="22" s="1"/>
  <c r="C12" i="22" s="1"/>
  <c r="F2" i="21"/>
  <c r="C2" i="21" s="1"/>
  <c r="F2" i="20"/>
  <c r="C2" i="20" s="1"/>
  <c r="C10" i="20" s="1"/>
  <c r="C7" i="20" s="1"/>
  <c r="C11" i="20" s="1"/>
  <c r="C12" i="20" s="1"/>
  <c r="F2" i="19"/>
  <c r="C2" i="19" s="1"/>
  <c r="C10" i="19" s="1"/>
  <c r="C7" i="19" s="1"/>
  <c r="C11" i="19" s="1"/>
  <c r="C12" i="19" s="1"/>
  <c r="F2" i="18"/>
  <c r="C2" i="18" s="1"/>
  <c r="F2" i="17"/>
  <c r="C2" i="17" s="1"/>
  <c r="C10" i="17" l="1"/>
  <c r="C7" i="17" s="1"/>
  <c r="C11" i="17" s="1"/>
  <c r="C12" i="17" s="1"/>
  <c r="C10" i="21"/>
  <c r="C7" i="21" s="1"/>
  <c r="C11" i="21"/>
  <c r="C12" i="21" s="1"/>
  <c r="C10" i="18"/>
  <c r="C7" i="18" s="1"/>
  <c r="C11" i="18" s="1"/>
  <c r="C12" i="18" s="1"/>
  <c r="C10" i="24"/>
  <c r="C7" i="24" s="1"/>
  <c r="C11" i="24" s="1"/>
  <c r="C12" i="24" s="1"/>
  <c r="H19" i="6"/>
  <c r="J19" i="6" l="1"/>
  <c r="C2" i="16"/>
  <c r="F2" i="14"/>
  <c r="C2" i="14" s="1"/>
  <c r="C10" i="14" s="1"/>
  <c r="C7" i="14" s="1"/>
  <c r="C11" i="14" s="1"/>
  <c r="C12" i="14" s="1"/>
  <c r="E2" i="14"/>
  <c r="E9" i="14" s="1"/>
  <c r="E9" i="16"/>
  <c r="C10" i="16" l="1"/>
  <c r="C7" i="16" s="1"/>
  <c r="C11" i="16" l="1"/>
  <c r="C12" i="16" s="1"/>
  <c r="F23" i="11" l="1"/>
  <c r="E23" i="11"/>
  <c r="F22" i="11"/>
  <c r="E22" i="11"/>
  <c r="F21" i="11"/>
  <c r="E21" i="11"/>
  <c r="F20" i="11"/>
  <c r="E20" i="11"/>
  <c r="F19" i="11"/>
  <c r="E19" i="11"/>
  <c r="F18" i="11"/>
  <c r="E18" i="11"/>
  <c r="F17" i="11"/>
  <c r="E17" i="11"/>
  <c r="F16" i="11"/>
  <c r="E16" i="11"/>
  <c r="F15" i="11"/>
  <c r="E15" i="11"/>
  <c r="B14" i="11"/>
  <c r="D8" i="11"/>
  <c r="C8" i="11"/>
  <c r="D7" i="11"/>
  <c r="C7" i="11"/>
  <c r="D6" i="11"/>
  <c r="B2" i="11"/>
  <c r="E29" i="6" l="1"/>
  <c r="H16" i="6" l="1"/>
  <c r="J16" i="6" s="1"/>
  <c r="H7" i="6" l="1"/>
  <c r="J7" i="6"/>
  <c r="I29" i="6" s="1"/>
  <c r="I23" i="6"/>
  <c r="G24" i="6" l="1"/>
  <c r="G29" i="6"/>
  <c r="G25" i="6" l="1"/>
  <c r="G28" i="6" s="1"/>
  <c r="E25" i="6"/>
  <c r="E28" i="6" s="1"/>
  <c r="I24" i="6" l="1"/>
  <c r="I25" i="6" l="1"/>
  <c r="C28" i="6" s="1"/>
  <c r="B28" i="6" l="1"/>
  <c r="B29" i="6"/>
  <c r="E14" i="11"/>
  <c r="I28" i="6"/>
  <c r="A26" i="6"/>
  <c r="D14" i="11" l="1"/>
  <c r="F14" i="11" s="1"/>
  <c r="B6" i="11" l="1"/>
  <c r="C6" i="11" s="1"/>
  <c r="B5" i="11"/>
  <c r="B10" i="11" s="1"/>
  <c r="C5" i="11" l="1"/>
  <c r="B7" i="11"/>
  <c r="B9" i="11"/>
  <c r="B11" i="11"/>
  <c r="D5" i="11"/>
  <c r="B8" i="11"/>
</calcChain>
</file>

<file path=xl/sharedStrings.xml><?xml version="1.0" encoding="utf-8"?>
<sst xmlns="http://schemas.openxmlformats.org/spreadsheetml/2006/main" count="433" uniqueCount="181">
  <si>
    <t>序号</t>
  </si>
  <si>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</si>
  <si>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</si>
  <si>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</si>
  <si>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</si>
  <si>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</si>
  <si>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</si>
  <si>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朝向</t>
    <phoneticPr fontId="7" type="noConversion"/>
  </si>
  <si>
    <r>
      <rPr>
        <sz val="10"/>
        <rFont val="仿宋_GB2312"/>
        <family val="3"/>
        <charset val="134"/>
      </rPr>
      <t>有专业物业公司，物业服务保障好</t>
    </r>
  </si>
  <si>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</si>
  <si>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</si>
  <si>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</si>
  <si>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</si>
  <si>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</si>
  <si>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</si>
  <si>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</si>
  <si>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</si>
  <si>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</si>
  <si>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</si>
  <si>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</si>
  <si>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</si>
  <si>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</si>
  <si>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</si>
  <si>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</si>
  <si>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</si>
  <si>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</si>
  <si>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</si>
  <si>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</si>
  <si>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</si>
  <si>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建筑类型</t>
    <phoneticPr fontId="2" type="noConversion"/>
  </si>
  <si>
    <t>高层板楼</t>
    <phoneticPr fontId="2"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</si>
  <si>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</si>
  <si>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</si>
  <si>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</si>
  <si>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</si>
  <si>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</si>
  <si>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</si>
  <si>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</si>
  <si>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</si>
  <si>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</si>
  <si>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</si>
  <si>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</si>
  <si>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</si>
  <si>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</si>
  <si>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</si>
  <si>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</si>
  <si>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</si>
  <si>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</si>
  <si>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</si>
  <si>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</si>
  <si>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</si>
  <si>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</si>
  <si>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</si>
  <si>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</si>
  <si>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</si>
  <si>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</si>
  <si>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</si>
  <si>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</si>
  <si>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</si>
  <si>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2022/6至2023/5</t>
    <phoneticPr fontId="2" type="noConversion"/>
  </si>
  <si>
    <t>市场价值</t>
    <phoneticPr fontId="2" type="noConversion"/>
  </si>
  <si>
    <t>有专业物业公司，物业服务保障好</t>
    <phoneticPr fontId="2" type="noConversion"/>
  </si>
  <si>
    <t>建筑面积</t>
    <phoneticPr fontId="2" type="noConversion"/>
  </si>
  <si>
    <t>项目</t>
  </si>
  <si>
    <t>测算值</t>
  </si>
  <si>
    <t>说明</t>
  </si>
  <si>
    <t>2=2.1+2.2+2.3</t>
  </si>
  <si>
    <t>3=3.1+3.2+3.3</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</si>
  <si>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</si>
  <si>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</si>
  <si>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</si>
  <si>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2" type="noConversion"/>
  </si>
  <si>
    <t>运营费用（万元）</t>
    <phoneticPr fontId="2" type="noConversion"/>
  </si>
  <si>
    <t>维修费（万元）</t>
    <phoneticPr fontId="2" type="noConversion"/>
  </si>
  <si>
    <t>保险费（万元）</t>
    <phoneticPr fontId="2" type="noConversion"/>
  </si>
  <si>
    <t>物业费（万元）</t>
    <phoneticPr fontId="2" type="noConversion"/>
  </si>
  <si>
    <t>管理成本（万元）</t>
    <phoneticPr fontId="2" type="noConversion"/>
  </si>
  <si>
    <t>管理费（万元）</t>
    <phoneticPr fontId="2" type="noConversion"/>
  </si>
  <si>
    <t>利息（万元）</t>
    <phoneticPr fontId="2" type="noConversion"/>
  </si>
  <si>
    <t>利润（万元）</t>
    <phoneticPr fontId="2" type="noConversion"/>
  </si>
  <si>
    <t>年成本收益（万元）</t>
    <phoneticPr fontId="2" type="noConversion"/>
  </si>
  <si>
    <t>该项目为公租房，根据北京市朝阳区保障性住房发展有限公司的《项目信息表》，计算得出年物业费水平为124.62万元。</t>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</si>
  <si>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1.5×12×42194.79÷10000=75.95</t>
    </r>
    <r>
      <rPr>
        <sz val="10"/>
        <rFont val="宋体"/>
        <family val="3"/>
        <charset val="134"/>
      </rPr>
      <t>万元。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</si>
  <si>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57.36×12×42194.79</t>
    </r>
    <r>
      <rPr>
        <sz val="10"/>
        <rFont val="宋体"/>
        <family val="3"/>
        <charset val="134"/>
      </rPr>
      <t>×</t>
    </r>
    <r>
      <rPr>
        <sz val="10"/>
        <rFont val="Arial"/>
        <family val="2"/>
      </rPr>
      <t>2%÷10000=2904.35</t>
    </r>
    <r>
      <rPr>
        <sz val="10"/>
        <rFont val="宋体"/>
        <family val="3"/>
        <charset val="134"/>
      </rPr>
      <t>万元。</t>
    </r>
    <phoneticPr fontId="11" type="noConversion"/>
  </si>
  <si>
    <t>项目信息表</t>
    <phoneticPr fontId="2" type="noConversion"/>
  </si>
  <si>
    <t>基数为折旧摊销成本、没有其他费用和利息</t>
    <phoneticPr fontId="2" type="noConversion"/>
  </si>
  <si>
    <t>确认实际是否存在贷款，无贷不计息</t>
    <phoneticPr fontId="2"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</si>
  <si>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407.75×3%=12.23</t>
    </r>
    <r>
      <rPr>
        <sz val="10"/>
        <rFont val="宋体"/>
        <family val="3"/>
        <charset val="134"/>
      </rPr>
      <t>万元。</t>
    </r>
    <phoneticPr fontId="11" type="noConversion"/>
  </si>
  <si>
    <r>
      <rPr>
        <sz val="10"/>
        <rFont val="宋体"/>
        <family val="3"/>
        <charset val="134"/>
      </rPr>
      <t>指房屋产权人为使自己的房产避免意外损失而向保险公司支付的费用，根据北京市朝阳区保障性住房发展有限公司提供的《房屋收购协议（驹子房一期、二期项目）》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组团廉租房收购协议》复印件及介绍，按保险费率</t>
    </r>
    <r>
      <rPr>
        <sz val="10"/>
        <rFont val="Arial"/>
        <family val="2"/>
      </rPr>
      <t>0.01%</t>
    </r>
    <r>
      <rPr>
        <sz val="10"/>
        <rFont val="宋体"/>
        <family val="3"/>
        <charset val="134"/>
      </rPr>
      <t>计算，则保险费用为</t>
    </r>
    <r>
      <rPr>
        <sz val="10"/>
        <rFont val="Arial"/>
        <family val="2"/>
      </rPr>
      <t>24013.73</t>
    </r>
    <r>
      <rPr>
        <sz val="10"/>
        <rFont val="宋体"/>
        <family val="3"/>
        <charset val="134"/>
      </rPr>
      <t>×</t>
    </r>
    <r>
      <rPr>
        <sz val="10"/>
        <rFont val="Arial"/>
        <family val="2"/>
      </rPr>
      <t>0.01%=2.40</t>
    </r>
    <r>
      <rPr>
        <sz val="10"/>
        <rFont val="宋体"/>
        <family val="3"/>
        <charset val="134"/>
      </rPr>
      <t>万元。</t>
    </r>
    <phoneticPr fontId="11" type="noConversion"/>
  </si>
  <si>
    <t>根据北京市朝阳区保障性住房发展有限公司工作人员介绍，项目未融资，本次利息不计取。</t>
    <phoneticPr fontId="11" type="noConversion"/>
  </si>
  <si>
    <t>折旧及摊销成本（元）</t>
    <phoneticPr fontId="2" type="noConversion"/>
  </si>
  <si>
    <t>运营费用（元）</t>
    <phoneticPr fontId="2" type="noConversion"/>
  </si>
  <si>
    <t>维修费（元）</t>
    <phoneticPr fontId="2" type="noConversion"/>
  </si>
  <si>
    <t>保险费（元）</t>
    <phoneticPr fontId="2" type="noConversion"/>
  </si>
  <si>
    <t>物业费（元）</t>
    <phoneticPr fontId="2" type="noConversion"/>
  </si>
  <si>
    <t>管理成本（元）</t>
    <phoneticPr fontId="2" type="noConversion"/>
  </si>
  <si>
    <t>管理费（元）</t>
    <phoneticPr fontId="2" type="noConversion"/>
  </si>
  <si>
    <t>利息（元）</t>
    <phoneticPr fontId="2" type="noConversion"/>
  </si>
  <si>
    <t>利润（元）</t>
    <phoneticPr fontId="2" type="noConversion"/>
  </si>
  <si>
    <t>年成本收益（元）</t>
    <phoneticPr fontId="2" type="noConversion"/>
  </si>
  <si>
    <t>成新度</t>
    <phoneticPr fontId="2"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</si>
  <si>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复印件、《项目信息表》及介绍，该项目收购价格约为</t>
    </r>
    <r>
      <rPr>
        <sz val="10"/>
        <rFont val="Arial"/>
        <family val="2"/>
      </rPr>
      <t>46021680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2013</t>
    </r>
    <r>
      <rPr>
        <sz val="10"/>
        <rFont val="宋体"/>
        <family val="3"/>
        <charset val="134"/>
      </rPr>
      <t>年，剩余经济耐用年限为</t>
    </r>
    <r>
      <rPr>
        <sz val="10"/>
        <rFont val="Arial"/>
        <family val="2"/>
      </rPr>
      <t>58</t>
    </r>
    <r>
      <rPr>
        <sz val="10"/>
        <rFont val="宋体"/>
        <family val="3"/>
        <charset val="134"/>
      </rPr>
      <t>年，将购置成本按直线法折算至每年，则</t>
    </r>
    <r>
      <rPr>
        <sz val="10"/>
        <rFont val="Arial"/>
        <family val="2"/>
      </rPr>
      <t>46021680÷58=793477.24</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</si>
  <si>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1.5×12×10004.04=180072.72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</si>
  <si>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4×12×10004.04=480193.92</t>
    </r>
    <r>
      <rPr>
        <sz val="10"/>
        <rFont val="宋体"/>
        <family val="3"/>
        <charset val="134"/>
      </rPr>
      <t>元。</t>
    </r>
    <phoneticPr fontId="11"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</si>
  <si>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组团廉租房收购协议》复印件、《项目信息表》及介绍，该项目总收购价格约为</t>
    </r>
    <r>
      <rPr>
        <sz val="10"/>
        <rFont val="Arial"/>
        <family val="2"/>
      </rPr>
      <t>24013.73</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年，根据各项目剩余经济耐用年限，将购置成本按直线法折算至每年。</t>
    </r>
    <phoneticPr fontId="11" type="noConversion"/>
  </si>
  <si>
    <r>
      <t>根据北京市朝阳区保障性住房发展有限公司提供的《房源表》、《北京市商品房预售合同（限价商品住房）》（东湾家园（和悦园）项目）复印件、《项目信息表》及介绍，该项目收购价格约为</t>
    </r>
    <r>
      <rPr>
        <sz val="10"/>
        <rFont val="Arial"/>
        <family val="2"/>
      </rPr>
      <t>60856500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60856500÷60=1014275</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</si>
  <si>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1.5×12×4075.23=73354.14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</si>
  <si>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4500×95%×1‰×4075.23=17421.61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</si>
  <si>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3.2×12×4075.23=156488.83</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</si>
  <si>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1014275×3%=30428.25</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</si>
  <si>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4500×87%×1‰×3175.94=12433.81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</si>
  <si>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3.7×12×3175.94=141011.74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</si>
  <si>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835773.68×3%=25073.21</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</si>
  <si>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1.5×12×54.95=989.1</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</si>
  <si>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4500×92%×1‰×54=227.49</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</si>
  <si>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3×12×54.95=1978.2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</si>
  <si>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9066.75×3%=272</t>
    </r>
    <r>
      <rPr>
        <sz val="10"/>
        <rFont val="宋体"/>
        <family val="3"/>
        <charset val="134"/>
      </rPr>
      <t>元。</t>
    </r>
    <phoneticPr fontId="11" type="noConversion"/>
  </si>
  <si>
    <r>
      <t>根据北京市朝阳区保障性住房发展有限公司提供的《房源表》、《北京市商品房现房买卖合同（限价商品住房）》（首开畅颐园项目）复印件、《项目信息表》及介绍，该项目收购价格约为</t>
    </r>
    <r>
      <rPr>
        <sz val="10"/>
        <rFont val="Arial"/>
        <family val="2"/>
      </rPr>
      <t>47639100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57</t>
    </r>
    <r>
      <rPr>
        <sz val="10"/>
        <rFont val="宋体"/>
        <family val="3"/>
        <charset val="134"/>
      </rPr>
      <t>年，将购置成本按直线法折算至每年，则</t>
    </r>
    <r>
      <rPr>
        <sz val="10"/>
        <rFont val="Arial"/>
        <family val="2"/>
      </rPr>
      <t>47639100÷57=835773.68</t>
    </r>
    <r>
      <rPr>
        <sz val="10"/>
        <rFont val="宋体"/>
        <family val="3"/>
        <charset val="134"/>
      </rPr>
      <t>元。</t>
    </r>
    <phoneticPr fontId="11" type="noConversion"/>
  </si>
  <si>
    <r>
      <t>根据北京市朝阳区保障性住房发展有限公司提供的《房源表》、《北京市朝阳区住房保障事务中心限价房回购协议（恒大江湾项目）》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复印件、《项目信息表》及介绍，该项目收购价格约为</t>
    </r>
    <r>
      <rPr>
        <sz val="10"/>
        <rFont val="Arial"/>
        <family val="2"/>
      </rPr>
      <t>544005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544005÷60=9066.75</t>
    </r>
    <r>
      <rPr>
        <sz val="10"/>
        <rFont val="宋体"/>
        <family val="3"/>
        <charset val="134"/>
      </rPr>
      <t>元。</t>
    </r>
    <phoneticPr fontId="11" type="noConversion"/>
  </si>
  <si>
    <r>
      <t>根据北京市朝阳区保障性住房发展有限公司提供的《房源表》、《北京市商品房现房销售合同（限价商品住房）》（首城东郡汇（东郡家园）项目）复印件、《项目信息表》及介绍，该项目收购价格约为</t>
    </r>
    <r>
      <rPr>
        <sz val="10"/>
        <rFont val="Arial"/>
        <family val="2"/>
      </rPr>
      <t>755865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59</t>
    </r>
    <r>
      <rPr>
        <sz val="10"/>
        <rFont val="宋体"/>
        <family val="3"/>
        <charset val="134"/>
      </rPr>
      <t>年，将购置成本按直线法折算至每年，则</t>
    </r>
    <r>
      <rPr>
        <sz val="10"/>
        <rFont val="Arial"/>
        <family val="2"/>
      </rPr>
      <t>755865÷59=
12811.27</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</si>
  <si>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1.5×12×76.35=1374.3</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</si>
  <si>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4500×90%×1‰×76.35=309.22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</si>
  <si>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12811.27×3%=384.34</t>
    </r>
    <r>
      <rPr>
        <sz val="10"/>
        <rFont val="宋体"/>
        <family val="3"/>
        <charset val="134"/>
      </rPr>
      <t>元。</t>
    </r>
    <phoneticPr fontId="11" type="noConversion"/>
  </si>
  <si>
    <r>
      <t>根据北京市朝阳区保障性住房发展有限公司提供的《房源表》、《北京市商品房现房买卖合同（限价商品住房）》（福润四季家园项目）复印件、《项目信息表》及介绍，该项目收购价格约为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56</t>
    </r>
    <r>
      <rPr>
        <sz val="10"/>
        <rFont val="宋体"/>
        <family val="3"/>
        <charset val="134"/>
      </rPr>
      <t>年，将购置成本按直线法折算至每年，则</t>
    </r>
    <r>
      <rPr>
        <sz val="10"/>
        <rFont val="Arial"/>
        <family val="2"/>
      </rPr>
      <t>667530÷56=
11920.18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</si>
  <si>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1.5×12×74.17=1335.06</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</si>
  <si>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4500×85%×1‰×74.17=283.7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</si>
  <si>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11920.18×3%=357.61</t>
    </r>
    <r>
      <rPr>
        <sz val="10"/>
        <rFont val="宋体"/>
        <family val="3"/>
        <charset val="134"/>
      </rPr>
      <t>元。</t>
    </r>
    <phoneticPr fontId="11" type="noConversion"/>
  </si>
  <si>
    <r>
      <t>根据北京市朝阳区保障性住房发展有限公司提供的《房源表》、《房屋收购协议》（悦和园项目）复印件、《项目信息表》及介绍，该项目收购价格约为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55</t>
    </r>
    <r>
      <rPr>
        <sz val="10"/>
        <rFont val="宋体"/>
        <family val="3"/>
        <charset val="134"/>
      </rPr>
      <t>年，将购置成本按直线法折算至每年，则</t>
    </r>
    <r>
      <rPr>
        <sz val="10"/>
        <rFont val="Arial"/>
        <family val="2"/>
      </rPr>
      <t>1258487÷55=22881.58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</si>
  <si>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1.5×12×144.98=2609.64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</si>
  <si>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4500×83%×1‰×144.98=541.5</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</si>
  <si>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×12×144.98=3444.72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</si>
  <si>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×12×74.17=1762.28</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</si>
  <si>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该项目为公租房，根据北京市朝阳区保障性住房发展有限公司的《项目信息表》，计算得出年物业费水平为2.9</t>
    </r>
    <r>
      <rPr>
        <sz val="10"/>
        <rFont val="Arial"/>
        <family val="2"/>
      </rPr>
      <t>×12×76.35=2656.98</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</si>
  <si>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22881.58×3%=686.45</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</si>
  <si>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53</t>
    </r>
    <r>
      <rPr>
        <sz val="10"/>
        <rFont val="宋体"/>
        <family val="3"/>
        <charset val="134"/>
      </rPr>
      <t>年，将购置成本按直线法折算至每年，则</t>
    </r>
    <r>
      <rPr>
        <sz val="10"/>
        <rFont val="Arial"/>
        <family val="2"/>
      </rPr>
      <t>1805184.7÷53=34060.09</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</si>
  <si>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1.5×12×242.04=4356.72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</si>
  <si>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4500×80%×1‰×242.04=871.34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</si>
  <si>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该项目为公租房，根据北京市朝阳区保障性住房发展有限公司的《项目信息表》，计算得出年物业费水平为1.95</t>
    </r>
    <r>
      <rPr>
        <sz val="10"/>
        <rFont val="Arial"/>
        <family val="2"/>
      </rPr>
      <t>×12×242.04=5663.74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</si>
  <si>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34060.09×3%=1021.8</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</si>
  <si>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4500×80%×1‰×10004.04=32012.93</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</si>
  <si>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80588867.9</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2009</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80588867.9÷60=1343147.8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</si>
  <si>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1.5×12×24347.09=438247.62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</si>
  <si>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4000×77%×1‰×24347.09=74989.04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</si>
  <si>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该项目为公租房，根据北京市朝阳区保障性住房发展有限公司的《项目信息表》，计算得出年物业费水平为1.55</t>
    </r>
    <r>
      <rPr>
        <sz val="10"/>
        <rFont val="Arial"/>
        <family val="2"/>
      </rPr>
      <t>×12×24347.09=452855.87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</si>
  <si>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1343147.8×3%=40294.43</t>
    </r>
    <r>
      <rPr>
        <sz val="10"/>
        <rFont val="宋体"/>
        <family val="3"/>
        <charset val="134"/>
      </rPr>
      <t>元。</t>
    </r>
    <phoneticPr fontId="11" type="noConversion"/>
  </si>
  <si>
    <t>根据北京市朝阳区保障性住房发展有限公司工作人员介绍，项目未融资，本次利息不计取。</t>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</si>
  <si>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793477.24×3%=23804.32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</si>
  <si>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60.16×12×10004.04</t>
    </r>
    <r>
      <rPr>
        <sz val="10"/>
        <rFont val="宋体"/>
        <family val="3"/>
        <charset val="134"/>
      </rPr>
      <t>×</t>
    </r>
    <r>
      <rPr>
        <sz val="10"/>
        <rFont val="Arial"/>
        <family val="2"/>
      </rPr>
      <t>2%=144442.33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</si>
  <si>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61.61×12×4075.23</t>
    </r>
    <r>
      <rPr>
        <sz val="10"/>
        <rFont val="宋体"/>
        <family val="3"/>
        <charset val="134"/>
      </rPr>
      <t>×</t>
    </r>
    <r>
      <rPr>
        <sz val="10"/>
        <rFont val="Arial"/>
        <family val="2"/>
      </rPr>
      <t>2%=56101.25</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</si>
  <si>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62.11×12×3175.94</t>
    </r>
    <r>
      <rPr>
        <sz val="10"/>
        <rFont val="宋体"/>
        <family val="3"/>
        <charset val="134"/>
      </rPr>
      <t>×</t>
    </r>
    <r>
      <rPr>
        <sz val="10"/>
        <rFont val="Arial"/>
        <family val="2"/>
      </rPr>
      <t>2%=47341.83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</si>
  <si>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63.72×12×54.95</t>
    </r>
    <r>
      <rPr>
        <sz val="10"/>
        <rFont val="宋体"/>
        <family val="3"/>
        <charset val="134"/>
      </rPr>
      <t>×</t>
    </r>
    <r>
      <rPr>
        <sz val="10"/>
        <rFont val="Arial"/>
        <family val="2"/>
      </rPr>
      <t>2%=840.34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</si>
  <si>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63.95×12×76.35</t>
    </r>
    <r>
      <rPr>
        <sz val="10"/>
        <rFont val="宋体"/>
        <family val="3"/>
        <charset val="134"/>
      </rPr>
      <t>×</t>
    </r>
    <r>
      <rPr>
        <sz val="10"/>
        <rFont val="Arial"/>
        <family val="2"/>
      </rPr>
      <t>2%=1171.82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</si>
  <si>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61.84×12×74.17</t>
    </r>
    <r>
      <rPr>
        <sz val="10"/>
        <rFont val="宋体"/>
        <family val="3"/>
        <charset val="134"/>
      </rPr>
      <t>×</t>
    </r>
    <r>
      <rPr>
        <sz val="10"/>
        <rFont val="Arial"/>
        <family val="2"/>
      </rPr>
      <t>2%=1100.8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</si>
  <si>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59.83×12×144.98</t>
    </r>
    <r>
      <rPr>
        <sz val="10"/>
        <rFont val="宋体"/>
        <family val="3"/>
        <charset val="134"/>
      </rPr>
      <t>×</t>
    </r>
    <r>
      <rPr>
        <sz val="10"/>
        <rFont val="Arial"/>
        <family val="2"/>
      </rPr>
      <t>2%=2081.8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</si>
  <si>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62.69×12×242.04</t>
    </r>
    <r>
      <rPr>
        <sz val="10"/>
        <rFont val="宋体"/>
        <family val="3"/>
        <charset val="134"/>
      </rPr>
      <t>×</t>
    </r>
    <r>
      <rPr>
        <sz val="10"/>
        <rFont val="Arial"/>
        <family val="2"/>
      </rPr>
      <t>2%=3641.64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</si>
  <si>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54.76×12×24347.09</t>
    </r>
    <r>
      <rPr>
        <sz val="10"/>
        <rFont val="宋体"/>
        <family val="3"/>
        <charset val="134"/>
      </rPr>
      <t>×</t>
    </r>
    <r>
      <rPr>
        <sz val="10"/>
        <rFont val="Arial"/>
        <family val="2"/>
      </rPr>
      <t>2%=319979.2</t>
    </r>
    <r>
      <rPr>
        <sz val="10"/>
        <rFont val="宋体"/>
        <family val="3"/>
        <charset val="134"/>
      </rPr>
      <t>元。</t>
    </r>
    <phoneticPr fontId="11" type="noConversion"/>
  </si>
  <si>
    <t>中楼层</t>
    <phoneticPr fontId="2" type="noConversion"/>
  </si>
  <si>
    <t>楼层</t>
    <phoneticPr fontId="2" type="noConversion"/>
  </si>
  <si>
    <t>南</t>
    <phoneticPr fontId="2" type="noConversion"/>
  </si>
  <si>
    <t>南北</t>
    <phoneticPr fontId="11" type="noConversion"/>
  </si>
  <si>
    <t>南</t>
    <phoneticPr fontId="11" type="noConversion"/>
  </si>
  <si>
    <t>东南</t>
    <phoneticPr fontId="11" type="noConversion"/>
  </si>
  <si>
    <t>西南</t>
    <phoneticPr fontId="11" type="noConversion"/>
  </si>
  <si>
    <t>东西</t>
    <phoneticPr fontId="11" type="noConversion"/>
  </si>
  <si>
    <t>东</t>
    <phoneticPr fontId="11" type="noConversion"/>
  </si>
  <si>
    <t>西</t>
    <phoneticPr fontId="11" type="noConversion"/>
  </si>
  <si>
    <t>东北</t>
    <phoneticPr fontId="11" type="noConversion"/>
  </si>
  <si>
    <t>西北</t>
    <phoneticPr fontId="11" type="noConversion"/>
  </si>
  <si>
    <t>北</t>
    <phoneticPr fontId="11" type="noConversion"/>
  </si>
  <si>
    <t>简单装修</t>
    <phoneticPr fontId="2" type="noConversion"/>
  </si>
  <si>
    <t>两梯四户</t>
    <phoneticPr fontId="2" type="noConversion"/>
  </si>
  <si>
    <t>室内装饰装修维护情况</t>
    <phoneticPr fontId="2" type="noConversion"/>
  </si>
  <si>
    <t>较好</t>
    <phoneticPr fontId="2" type="noConversion"/>
  </si>
  <si>
    <t>电梯配备情况</t>
    <phoneticPr fontId="2" type="noConversion"/>
  </si>
  <si>
    <t>一居室</t>
    <phoneticPr fontId="7" type="noConversion"/>
  </si>
  <si>
    <t>金隅上和园</t>
    <phoneticPr fontId="2" type="noConversion"/>
  </si>
  <si>
    <t>园博府</t>
    <phoneticPr fontId="2" type="noConversion"/>
  </si>
  <si>
    <t>南北</t>
    <phoneticPr fontId="2" type="noConversion"/>
  </si>
  <si>
    <t>园博嘉园</t>
    <phoneticPr fontId="2" type="noConversion"/>
  </si>
  <si>
    <t>西山甲一号</t>
    <phoneticPr fontId="2" type="noConversion"/>
  </si>
  <si>
    <t>有家具家电；虽然使用较长时间，但功能正常，一般</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</si>
</sst>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_ "/>
    <numFmt numFmtId="180" formatCode="0.0000_);[Red]\(0.0000\)"/>
  </numFmts>
  <fonts count="19" x14ac:knownFonts="1">
    <font>
      <sz val="11"/>
      <color rgb="FF000000"/>
      <name val="等线"/>
      <charset val="134"/>
    </font>
    <font>
      <sz val="12"/>
      <name val="宋体"/>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0"/>
      <color rgb="FF000000"/>
      <name val="宋体"/>
      <family val="3"/>
      <charset val="134"/>
    </font>
    <font>
      <sz val="10"/>
      <color rgb="FF000000"/>
      <name val="Arial"/>
      <family val="2"/>
    </font>
    <font>
      <sz val="10"/>
      <name val="Arial"/>
      <family val="3"/>
      <charset val="134"/>
    </font>
    <font>
      <sz val="12"/>
      <color theme="1"/>
      <name val="等线"/>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0" fontId="3" fillId="0" borderId="0">
      <alignment vertical="center"/>
    </xf>
    <xf numFmtId="0" fontId="3" fillId="0" borderId="0">
      <alignment vertical="center"/>
    </xf>
    <xf numFmtId="0" fontId="3" fillId="0" borderId="0"/>
    <xf numFmtId="0" fontId="3" fillId="0" borderId="0">
      <alignment vertical="center"/>
    </xf>
    <xf numFmtId="0" fontId="18" fillId="0" borderId="0"/>
    <xf numFmtId="0" fontId="1" fillId="0" borderId="0">
      <alignment vertical="center"/>
    </xf>
  </cellStyleXfs>
  <cellXfs count="62">
    <xf numFmtId="0" fontId="0" fillId="0" borderId="0" xfId="0"/>
    <xf numFmtId="0" fontId="3" fillId="0" borderId="0" xfId="1">
      <alignment vertical="center"/>
    </xf>
    <xf numFmtId="4" fontId="3" fillId="2" borderId="0" xfId="1" applyNumberFormat="1" applyFill="1">
      <alignment vertical="center"/>
    </xf>
    <xf numFmtId="0" fontId="3" fillId="2" borderId="0" xfId="1" applyFill="1">
      <alignment vertical="center"/>
    </xf>
    <xf numFmtId="0" fontId="4" fillId="0" borderId="0" xfId="1" applyFont="1">
      <alignment vertical="center"/>
    </xf>
    <xf numFmtId="0" fontId="6" fillId="0" borderId="6" xfId="2" applyFont="1" applyBorder="1" applyAlignment="1">
      <alignment horizontal="center" vertical="center" wrapText="1"/>
    </xf>
    <xf numFmtId="0" fontId="6" fillId="0" borderId="1" xfId="2" applyFont="1" applyBorder="1" applyAlignment="1">
      <alignment horizontal="center" vertical="center" wrapText="1"/>
    </xf>
    <xf numFmtId="0" fontId="5" fillId="0" borderId="1" xfId="2" applyFont="1" applyBorder="1" applyAlignment="1">
      <alignment horizontal="center" vertical="center" wrapText="1"/>
    </xf>
    <xf numFmtId="0" fontId="3" fillId="0" borderId="0" xfId="1" applyAlignment="1">
      <alignment horizontal="center" vertical="center"/>
    </xf>
    <xf numFmtId="0" fontId="6" fillId="0" borderId="3" xfId="2" applyFont="1" applyBorder="1" applyAlignment="1">
      <alignment horizontal="center" vertical="center" wrapText="1"/>
    </xf>
    <xf numFmtId="0" fontId="5" fillId="0" borderId="1" xfId="2" applyFont="1" applyBorder="1" applyAlignment="1">
      <alignment horizontal="center" vertical="center"/>
    </xf>
    <xf numFmtId="176" fontId="5" fillId="0" borderId="1" xfId="2" applyNumberFormat="1" applyFont="1" applyBorder="1" applyAlignment="1">
      <alignment horizontal="center" vertical="center" wrapText="1"/>
    </xf>
    <xf numFmtId="0" fontId="9" fillId="0" borderId="0" xfId="1" applyFont="1" applyAlignment="1">
      <alignment horizontal="center"/>
    </xf>
    <xf numFmtId="177" fontId="3" fillId="0" borderId="0" xfId="1" applyNumberFormat="1">
      <alignment vertical="center"/>
    </xf>
    <xf numFmtId="0" fontId="12" fillId="3" borderId="1" xfId="3" applyFont="1" applyFill="1" applyBorder="1" applyAlignment="1">
      <alignment horizontal="center" vertical="center" wrapText="1"/>
    </xf>
    <xf numFmtId="0" fontId="13" fillId="0" borderId="0" xfId="1" applyFont="1">
      <alignment vertical="center"/>
    </xf>
    <xf numFmtId="0" fontId="12" fillId="0" borderId="0" xfId="3" applyFont="1" applyAlignment="1">
      <alignment horizontal="left" vertical="center" wrapText="1"/>
    </xf>
    <xf numFmtId="0" fontId="3" fillId="0" borderId="0" xfId="3"/>
    <xf numFmtId="14" fontId="12" fillId="3" borderId="1" xfId="3" applyNumberFormat="1" applyFont="1" applyFill="1" applyBorder="1" applyAlignment="1">
      <alignment horizontal="center" vertical="center" wrapText="1"/>
    </xf>
    <xf numFmtId="0" fontId="12" fillId="4" borderId="1" xfId="3" applyFont="1" applyFill="1" applyBorder="1" applyAlignment="1" applyProtection="1">
      <alignment horizontal="center" vertical="center" wrapText="1"/>
      <protection locked="0"/>
    </xf>
    <xf numFmtId="0" fontId="3" fillId="3" borderId="1" xfId="3" applyFill="1" applyBorder="1" applyAlignment="1">
      <alignment vertical="center"/>
    </xf>
    <xf numFmtId="0" fontId="12" fillId="3" borderId="2" xfId="3" applyFont="1" applyFill="1" applyBorder="1" applyAlignment="1">
      <alignment horizontal="center" vertical="center" wrapText="1"/>
    </xf>
    <xf numFmtId="0" fontId="3" fillId="2" borderId="1" xfId="3" applyFill="1" applyBorder="1" applyProtection="1">
      <protection locked="0"/>
    </xf>
    <xf numFmtId="0" fontId="3" fillId="3" borderId="1" xfId="3" applyFill="1" applyBorder="1"/>
    <xf numFmtId="0" fontId="3" fillId="0" borderId="1" xfId="3" applyBorder="1" applyProtection="1">
      <protection locked="0"/>
    </xf>
    <xf numFmtId="0" fontId="12" fillId="0" borderId="1" xfId="3" applyFont="1" applyBorder="1" applyAlignment="1" applyProtection="1">
      <alignment horizontal="left" vertical="center" wrapText="1"/>
      <protection locked="0"/>
    </xf>
    <xf numFmtId="0" fontId="15"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1" xfId="1" applyFont="1" applyBorder="1" applyAlignment="1">
      <alignment vertical="center" wrapText="1"/>
    </xf>
    <xf numFmtId="0" fontId="3" fillId="5" borderId="0" xfId="1" applyFill="1">
      <alignment vertical="center"/>
    </xf>
    <xf numFmtId="2" fontId="3" fillId="0" borderId="0" xfId="1" applyNumberFormat="1">
      <alignment vertical="center"/>
    </xf>
    <xf numFmtId="2" fontId="16" fillId="0" borderId="1" xfId="1" applyNumberFormat="1" applyFont="1" applyBorder="1" applyAlignment="1">
      <alignment horizontal="center" vertical="center" wrapText="1"/>
    </xf>
    <xf numFmtId="0" fontId="14" fillId="0" borderId="0" xfId="1" applyFont="1">
      <alignment vertical="center"/>
    </xf>
    <xf numFmtId="177" fontId="16" fillId="0" borderId="1" xfId="1" applyNumberFormat="1" applyFont="1" applyBorder="1" applyAlignment="1">
      <alignment horizontal="center" vertical="center" wrapText="1"/>
    </xf>
    <xf numFmtId="0" fontId="10" fillId="0" borderId="1" xfId="1" applyFont="1" applyBorder="1" applyAlignment="1">
      <alignment vertical="center" wrapText="1"/>
    </xf>
    <xf numFmtId="0" fontId="5" fillId="0" borderId="1" xfId="1" applyFont="1" applyBorder="1" applyAlignment="1">
      <alignment vertical="center" wrapText="1"/>
    </xf>
    <xf numFmtId="0" fontId="17" fillId="0" borderId="1" xfId="1" applyFont="1" applyBorder="1" applyAlignment="1">
      <alignment vertical="center" wrapText="1"/>
    </xf>
    <xf numFmtId="10" fontId="14" fillId="2" borderId="0" xfId="1" applyNumberFormat="1" applyFont="1" applyFill="1">
      <alignment vertical="center"/>
    </xf>
    <xf numFmtId="0" fontId="14" fillId="2" borderId="0" xfId="1" applyFont="1" applyFill="1" applyAlignment="1">
      <alignment vertical="center" wrapText="1"/>
    </xf>
    <xf numFmtId="179" fontId="16" fillId="0" borderId="1" xfId="1" applyNumberFormat="1" applyFont="1" applyBorder="1" applyAlignment="1">
      <alignment horizontal="center" vertical="center" wrapText="1"/>
    </xf>
    <xf numFmtId="10" fontId="3" fillId="0" borderId="0" xfId="1" applyNumberFormat="1">
      <alignment vertical="center"/>
    </xf>
    <xf numFmtId="1" fontId="3" fillId="0" borderId="0" xfId="1" applyNumberFormat="1">
      <alignment vertical="center"/>
    </xf>
    <xf numFmtId="178" fontId="3" fillId="0" borderId="0" xfId="1" applyNumberFormat="1">
      <alignment vertical="center"/>
    </xf>
    <xf numFmtId="0" fontId="6" fillId="0" borderId="0" xfId="2" applyFont="1" applyAlignment="1">
      <alignment horizontal="center" vertical="center" wrapText="1"/>
    </xf>
    <xf numFmtId="180" fontId="3" fillId="0" borderId="0" xfId="1" applyNumberFormat="1">
      <alignment vertical="center"/>
    </xf>
    <xf numFmtId="10" fontId="6" fillId="0" borderId="1" xfId="2" applyNumberFormat="1" applyFont="1" applyBorder="1" applyAlignment="1">
      <alignment horizontal="center" vertical="center" wrapText="1"/>
    </xf>
    <xf numFmtId="0" fontId="5" fillId="0" borderId="0" xfId="2" applyFont="1" applyAlignment="1">
      <alignment horizontal="left"/>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8" xfId="1" applyFont="1" applyBorder="1" applyAlignment="1">
      <alignment horizontal="center" vertical="center"/>
    </xf>
    <xf numFmtId="0" fontId="4" fillId="0" borderId="7" xfId="1" applyFont="1" applyBorder="1" applyAlignment="1">
      <alignment horizontal="center" vertical="center"/>
    </xf>
    <xf numFmtId="179" fontId="5" fillId="0" borderId="1" xfId="2" applyNumberFormat="1" applyFont="1" applyBorder="1" applyAlignment="1">
      <alignment horizontal="center" vertical="center" wrapText="1"/>
    </xf>
    <xf numFmtId="0" fontId="5" fillId="0" borderId="1" xfId="2" applyFont="1" applyBorder="1" applyAlignment="1">
      <alignment vertical="center" wrapText="1"/>
    </xf>
    <xf numFmtId="0" fontId="5" fillId="0" borderId="1" xfId="2" applyFont="1" applyBorder="1" applyAlignment="1">
      <alignment horizontal="center" vertical="center" wrapText="1"/>
    </xf>
    <xf numFmtId="0" fontId="10" fillId="0" borderId="5" xfId="2" applyFont="1" applyBorder="1" applyAlignment="1">
      <alignment horizontal="center" vertical="center" wrapText="1"/>
    </xf>
    <xf numFmtId="0" fontId="5" fillId="0" borderId="9" xfId="2" applyFont="1" applyBorder="1" applyAlignment="1">
      <alignment horizontal="center" vertical="center" wrapText="1"/>
    </xf>
    <xf numFmtId="0" fontId="5" fillId="0" borderId="5" xfId="2" applyFont="1" applyBorder="1" applyAlignment="1">
      <alignment horizontal="center" vertical="center" wrapText="1"/>
    </xf>
    <xf numFmtId="177" fontId="5" fillId="0" borderId="5" xfId="2" applyNumberFormat="1" applyFont="1" applyBorder="1" applyAlignment="1">
      <alignment horizontal="center" vertical="center" wrapText="1"/>
    </xf>
    <xf numFmtId="177" fontId="5" fillId="0" borderId="9" xfId="2" applyNumberFormat="1" applyFont="1" applyBorder="1" applyAlignment="1">
      <alignment horizontal="center" vertical="center" wrapText="1"/>
    </xf>
    <xf numFmtId="0" fontId="6" fillId="0" borderId="5" xfId="2" applyFont="1" applyBorder="1" applyAlignment="1">
      <alignment horizontal="center" vertical="center" wrapText="1"/>
    </xf>
    <xf numFmtId="0" fontId="9" fillId="0" borderId="0" xfId="1" applyFont="1" applyAlignment="1">
      <alignment horizontal="center"/>
    </xf>
  </cellXfs>
  <cellStyles count="7">
    <cellStyle name="常规" xfId="0" builtinId="0"/>
    <cellStyle name="常规 2" xfId="1" xr:uid="{00000000-0005-0000-0000-000002000000}"/>
    <cellStyle name="常规 3" xfId="2" xr:uid="{00000000-0005-0000-0000-000003000000}"/>
    <cellStyle name="常规 4" xfId="5" xr:uid="{43076F58-6D11-47F8-9169-F912D483D3A4}"/>
    <cellStyle name="常规 5" xfId="6" xr:uid="{5A773A94-26BF-4C60-9EFD-D61101FEEA7D}"/>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676275</xdr:colOff>
      <xdr:row>1</xdr:row>
      <xdr:rowOff>68282</xdr:rowOff>
    </xdr:from>
    <xdr:to>
      <xdr:col>17</xdr:col>
      <xdr:colOff>284431</xdr:colOff>
      <xdr:row>20</xdr:row>
      <xdr:rowOff>46845</xdr:rowOff>
    </xdr:to>
    <xdr:pic>
      <xdr:nvPicPr>
        <xdr:cNvPr id="3" name="图片 2">
          <a:extLst>
            <a:ext uri="{FF2B5EF4-FFF2-40B4-BE49-F238E27FC236}">
              <a16:creationId xmlns:a16="http://schemas.microsoft.com/office/drawing/2014/main" id="{1E075D55-AEC9-B59C-FFF9-CA3B80ADEDD4}"/>
            </a:ext>
          </a:extLst>
        </xdr:cNvPr>
        <xdr:cNvPicPr>
          <a:picLocks noChangeAspect="1"/>
        </xdr:cNvPicPr>
      </xdr:nvPicPr>
      <xdr:blipFill>
        <a:blip xmlns:r="http://schemas.openxmlformats.org/officeDocument/2006/relationships" r:embed="rId1"/>
        <a:stretch>
          <a:fillRect/>
        </a:stretch>
      </xdr:blipFill>
      <xdr:spPr>
        <a:xfrm>
          <a:off x="6315075" y="249257"/>
          <a:ext cx="5780356" cy="3417088"/>
        </a:xfrm>
        <a:prstGeom prst="rect">
          <a:avLst/>
        </a:prstGeom>
      </xdr:spPr>
    </xdr:pic>
    <xdr:clientData/>
  </xdr:twoCellAnchor>
  <xdr:twoCellAnchor editAs="oneCell">
    <xdr:from>
      <xdr:col>9</xdr:col>
      <xdr:colOff>104987</xdr:colOff>
      <xdr:row>13</xdr:row>
      <xdr:rowOff>166439</xdr:rowOff>
    </xdr:from>
    <xdr:to>
      <xdr:col>17</xdr:col>
      <xdr:colOff>333375</xdr:colOff>
      <xdr:row>30</xdr:row>
      <xdr:rowOff>85025</xdr:rowOff>
    </xdr:to>
    <xdr:pic>
      <xdr:nvPicPr>
        <xdr:cNvPr id="4" name="图片 3">
          <a:extLst>
            <a:ext uri="{FF2B5EF4-FFF2-40B4-BE49-F238E27FC236}">
              <a16:creationId xmlns:a16="http://schemas.microsoft.com/office/drawing/2014/main" id="{4D5C702C-A153-F0FE-8642-2D2F3DB3C58F}"/>
            </a:ext>
          </a:extLst>
        </xdr:cNvPr>
        <xdr:cNvPicPr>
          <a:picLocks noChangeAspect="1"/>
        </xdr:cNvPicPr>
      </xdr:nvPicPr>
      <xdr:blipFill>
        <a:blip xmlns:r="http://schemas.openxmlformats.org/officeDocument/2006/relationships" r:embed="rId2"/>
        <a:stretch>
          <a:fillRect/>
        </a:stretch>
      </xdr:blipFill>
      <xdr:spPr>
        <a:xfrm>
          <a:off x="6429587" y="2519114"/>
          <a:ext cx="5714788" cy="2995161"/>
        </a:xfrm>
        <a:prstGeom prst="rect">
          <a:avLst/>
        </a:prstGeom>
      </xdr:spPr>
    </xdr:pic>
    <xdr:clientData/>
  </xdr:twoCellAnchor>
  <xdr:twoCellAnchor editAs="oneCell">
    <xdr:from>
      <xdr:col>9</xdr:col>
      <xdr:colOff>323850</xdr:colOff>
      <xdr:row>21</xdr:row>
      <xdr:rowOff>138410</xdr:rowOff>
    </xdr:from>
    <xdr:to>
      <xdr:col>17</xdr:col>
      <xdr:colOff>227305</xdr:colOff>
      <xdr:row>35</xdr:row>
      <xdr:rowOff>47038</xdr:rowOff>
    </xdr:to>
    <xdr:pic>
      <xdr:nvPicPr>
        <xdr:cNvPr id="5" name="图片 4">
          <a:extLst>
            <a:ext uri="{FF2B5EF4-FFF2-40B4-BE49-F238E27FC236}">
              <a16:creationId xmlns:a16="http://schemas.microsoft.com/office/drawing/2014/main" id="{7285E251-73B8-736F-582A-55B88100F909}"/>
            </a:ext>
          </a:extLst>
        </xdr:cNvPr>
        <xdr:cNvPicPr>
          <a:picLocks noChangeAspect="1"/>
        </xdr:cNvPicPr>
      </xdr:nvPicPr>
      <xdr:blipFill>
        <a:blip xmlns:r="http://schemas.openxmlformats.org/officeDocument/2006/relationships" r:embed="rId3"/>
        <a:stretch>
          <a:fillRect/>
        </a:stretch>
      </xdr:blipFill>
      <xdr:spPr>
        <a:xfrm>
          <a:off x="6648450" y="3938885"/>
          <a:ext cx="5389855" cy="2442278"/>
        </a:xfrm>
        <a:prstGeom prst="rect">
          <a:avLst/>
        </a:prstGeom>
      </xdr:spPr>
    </xdr:pic>
    <xdr:clientData/>
  </xdr:twoCellAnchor>
  <xdr:twoCellAnchor editAs="oneCell">
    <xdr:from>
      <xdr:col>0</xdr:col>
      <xdr:colOff>28575</xdr:colOff>
      <xdr:row>30</xdr:row>
      <xdr:rowOff>47625</xdr:rowOff>
    </xdr:from>
    <xdr:to>
      <xdr:col>16</xdr:col>
      <xdr:colOff>17661</xdr:colOff>
      <xdr:row>35</xdr:row>
      <xdr:rowOff>85607</xdr:rowOff>
    </xdr:to>
    <xdr:pic>
      <xdr:nvPicPr>
        <xdr:cNvPr id="6" name="图片 5">
          <a:extLst>
            <a:ext uri="{FF2B5EF4-FFF2-40B4-BE49-F238E27FC236}">
              <a16:creationId xmlns:a16="http://schemas.microsoft.com/office/drawing/2014/main" id="{D33567AB-8B14-7C4A-B34D-850EFB88F6F9}"/>
            </a:ext>
          </a:extLst>
        </xdr:cNvPr>
        <xdr:cNvPicPr>
          <a:picLocks noChangeAspect="1"/>
        </xdr:cNvPicPr>
      </xdr:nvPicPr>
      <xdr:blipFill>
        <a:blip xmlns:r="http://schemas.openxmlformats.org/officeDocument/2006/relationships" r:embed="rId4"/>
        <a:stretch>
          <a:fillRect/>
        </a:stretch>
      </xdr:blipFill>
      <xdr:spPr>
        <a:xfrm>
          <a:off x="28575" y="5476875"/>
          <a:ext cx="11114286"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23"/>
  <sheetViews>
    <sheetView zoomScaleSheetLayoutView="100" workbookViewId="0">
      <selection activeCell="E15" sqref="E15"/>
    </sheetView>
  </sheetViews>
  <sheetFormatPr defaultColWidth="14.625" defaultRowHeight="14.25" x14ac:dyDescent="0.2"/>
  <cols>
    <col min="1" max="1" width="24.375" style="1" customWidth="1"/>
    <col min="2" max="16384" width="14.625" style="1"/>
  </cols>
  <sheetData>
    <row r="1" spans="1:9" ht="16.5" x14ac:dyDescent="0.2">
      <c r="A1" s="14" t="s">
        <v>31</v>
      </c>
      <c r="B1" s="15">
        <v>42194.79</v>
      </c>
      <c r="C1" s="16"/>
      <c r="D1" s="16"/>
      <c r="E1" s="16"/>
      <c r="F1" s="16"/>
      <c r="G1" s="17"/>
    </row>
    <row r="2" spans="1:9" ht="16.5" x14ac:dyDescent="0.2">
      <c r="A2" s="14" t="s">
        <v>32</v>
      </c>
      <c r="B2" s="14">
        <f>SUM(C14:C23)</f>
        <v>0</v>
      </c>
      <c r="C2" s="16"/>
      <c r="D2" s="16"/>
      <c r="E2" s="16"/>
      <c r="F2" s="16"/>
      <c r="G2" s="17"/>
    </row>
    <row r="3" spans="1:9" ht="33" x14ac:dyDescent="0.2">
      <c r="A3" s="14" t="s">
        <v>33</v>
      </c>
      <c r="B3" s="18" t="s">
        <v>59</v>
      </c>
      <c r="C3" s="16"/>
      <c r="D3" s="16"/>
      <c r="E3" s="16"/>
      <c r="F3" s="16"/>
      <c r="G3" s="17"/>
    </row>
    <row r="4" spans="1:9" ht="33" x14ac:dyDescent="0.2">
      <c r="A4" s="14" t="s">
        <v>34</v>
      </c>
      <c r="B4" s="14" t="s">
        <v>35</v>
      </c>
      <c r="C4" s="14" t="s">
        <v>36</v>
      </c>
      <c r="D4" s="14" t="s">
        <v>37</v>
      </c>
      <c r="E4" s="16"/>
      <c r="F4" s="17"/>
      <c r="G4" s="17"/>
    </row>
    <row r="5" spans="1:9" ht="16.5" x14ac:dyDescent="0.2">
      <c r="A5" s="14" t="s">
        <v>60</v>
      </c>
      <c r="B5" s="14">
        <f>SUM(D14:D23)</f>
        <v>224801.18268299999</v>
      </c>
      <c r="C5" s="14">
        <f>ROUND(B5*10000/$B$1,0)</f>
        <v>53277</v>
      </c>
      <c r="D5" s="14" t="e">
        <f>ROUND(B5*10000/$B$2,0)</f>
        <v>#DIV/0!</v>
      </c>
      <c r="E5" s="16"/>
      <c r="F5" s="17"/>
      <c r="G5" s="17"/>
    </row>
    <row r="6" spans="1:9" ht="16.5" x14ac:dyDescent="0.2">
      <c r="A6" s="14" t="s">
        <v>38</v>
      </c>
      <c r="B6" s="14">
        <f>SUM(D14:D23)</f>
        <v>224801.18268299999</v>
      </c>
      <c r="C6" s="14">
        <f>ROUND(B6*10000/$B$1,0)</f>
        <v>53277</v>
      </c>
      <c r="D6" s="14" t="e">
        <f>#N/A</f>
        <v>#N/A</v>
      </c>
      <c r="E6" s="16"/>
      <c r="F6" s="17"/>
      <c r="G6" s="17"/>
    </row>
    <row r="7" spans="1:9" ht="16.5" x14ac:dyDescent="0.2">
      <c r="A7" s="14" t="s">
        <v>39</v>
      </c>
      <c r="B7" s="14">
        <f>B5</f>
        <v>224801.18268299999</v>
      </c>
      <c r="C7" s="14" t="e">
        <f>#N/A</f>
        <v>#N/A</v>
      </c>
      <c r="D7" s="14" t="e">
        <f>#N/A</f>
        <v>#N/A</v>
      </c>
      <c r="E7" s="16"/>
      <c r="F7" s="17"/>
      <c r="G7" s="17"/>
    </row>
    <row r="8" spans="1:9" ht="16.5" x14ac:dyDescent="0.2">
      <c r="A8" s="14" t="s">
        <v>40</v>
      </c>
      <c r="B8" s="14">
        <f>B5</f>
        <v>224801.18268299999</v>
      </c>
      <c r="C8" s="14" t="e">
        <f>#N/A</f>
        <v>#N/A</v>
      </c>
      <c r="D8" s="14" t="e">
        <f>#N/A</f>
        <v>#N/A</v>
      </c>
      <c r="E8" s="16"/>
      <c r="F8" s="17"/>
      <c r="G8" s="17"/>
    </row>
    <row r="9" spans="1:9" ht="16.5" x14ac:dyDescent="0.2">
      <c r="A9" s="14" t="s">
        <v>41</v>
      </c>
      <c r="B9" s="19">
        <f>B5</f>
        <v>224801.18268299999</v>
      </c>
      <c r="C9" s="16"/>
      <c r="D9" s="16"/>
      <c r="E9" s="16"/>
      <c r="F9" s="17"/>
      <c r="G9" s="17"/>
    </row>
    <row r="10" spans="1:9" ht="16.5" x14ac:dyDescent="0.2">
      <c r="A10" s="14" t="s">
        <v>42</v>
      </c>
      <c r="B10" s="19">
        <f>B5</f>
        <v>224801.18268299999</v>
      </c>
      <c r="C10" s="16"/>
      <c r="D10" s="16"/>
      <c r="E10" s="16"/>
      <c r="F10" s="17"/>
      <c r="G10" s="17"/>
    </row>
    <row r="11" spans="1:9" ht="16.5" x14ac:dyDescent="0.2">
      <c r="A11" s="14" t="s">
        <v>43</v>
      </c>
      <c r="B11" s="19">
        <f>B5</f>
        <v>224801.18268299999</v>
      </c>
      <c r="C11" s="16"/>
      <c r="D11" s="16"/>
      <c r="E11" s="16"/>
      <c r="F11" s="17"/>
      <c r="G11" s="17"/>
    </row>
    <row r="12" spans="1:9" ht="16.5" x14ac:dyDescent="0.2">
      <c r="A12" s="16"/>
      <c r="B12" s="16"/>
      <c r="C12" s="16"/>
      <c r="D12" s="16"/>
      <c r="E12" s="16"/>
      <c r="F12" s="17"/>
      <c r="G12" s="17"/>
    </row>
    <row r="13" spans="1:9" ht="33" x14ac:dyDescent="0.2">
      <c r="A13" s="20" t="s">
        <v>44</v>
      </c>
      <c r="B13" s="21" t="s">
        <v>31</v>
      </c>
      <c r="C13" s="21" t="s">
        <v>32</v>
      </c>
      <c r="D13" s="21" t="s">
        <v>45</v>
      </c>
      <c r="E13" s="14" t="s">
        <v>36</v>
      </c>
      <c r="F13" s="14" t="s">
        <v>37</v>
      </c>
      <c r="G13" s="21" t="s">
        <v>46</v>
      </c>
      <c r="H13" s="21" t="s">
        <v>47</v>
      </c>
      <c r="I13" s="21" t="s">
        <v>48</v>
      </c>
    </row>
    <row r="14" spans="1:9" ht="16.5" x14ac:dyDescent="0.2">
      <c r="A14" s="22" t="s">
        <v>49</v>
      </c>
      <c r="B14" s="21">
        <f>B1</f>
        <v>42194.79</v>
      </c>
      <c r="C14" s="21">
        <v>0</v>
      </c>
      <c r="D14" s="21">
        <f>B14*E14/10000</f>
        <v>224801.18268299999</v>
      </c>
      <c r="E14" s="21">
        <f>'标准房测算表-金隅上和园'!C28</f>
        <v>53277</v>
      </c>
      <c r="F14" s="21" t="e">
        <f>ROUND(D14*10000/C14,0)</f>
        <v>#DIV/0!</v>
      </c>
      <c r="G14" s="21">
        <v>0</v>
      </c>
      <c r="H14" s="21">
        <v>0</v>
      </c>
      <c r="I14" s="21">
        <v>0</v>
      </c>
    </row>
    <row r="15" spans="1:9" ht="16.5" x14ac:dyDescent="0.2">
      <c r="A15" s="23" t="s">
        <v>50</v>
      </c>
      <c r="B15" s="24"/>
      <c r="C15" s="24"/>
      <c r="D15" s="24"/>
      <c r="E15" s="21" t="e">
        <f t="shared" ref="E15:E23" si="0">ROUND(D15*10000/B15,0)</f>
        <v>#DIV/0!</v>
      </c>
      <c r="F15" s="21" t="e">
        <f t="shared" ref="F15:F23" si="1">ROUND(D15*10000/C15,0)</f>
        <v>#DIV/0!</v>
      </c>
      <c r="G15" s="25"/>
      <c r="H15" s="25"/>
      <c r="I15" s="24"/>
    </row>
    <row r="16" spans="1:9" ht="16.5" x14ac:dyDescent="0.2">
      <c r="A16" s="23" t="s">
        <v>51</v>
      </c>
      <c r="B16" s="24"/>
      <c r="C16" s="24"/>
      <c r="D16" s="24"/>
      <c r="E16" s="21" t="e">
        <f t="shared" si="0"/>
        <v>#DIV/0!</v>
      </c>
      <c r="F16" s="21" t="e">
        <f t="shared" si="1"/>
        <v>#DIV/0!</v>
      </c>
      <c r="G16" s="25"/>
      <c r="H16" s="25"/>
      <c r="I16" s="24"/>
    </row>
    <row r="17" spans="1:9" ht="16.5" x14ac:dyDescent="0.2">
      <c r="A17" s="23" t="s">
        <v>52</v>
      </c>
      <c r="B17" s="24"/>
      <c r="C17" s="24"/>
      <c r="D17" s="24"/>
      <c r="E17" s="21" t="e">
        <f t="shared" si="0"/>
        <v>#DIV/0!</v>
      </c>
      <c r="F17" s="21" t="e">
        <f t="shared" si="1"/>
        <v>#DIV/0!</v>
      </c>
      <c r="G17" s="25"/>
      <c r="H17" s="25"/>
      <c r="I17" s="24"/>
    </row>
    <row r="18" spans="1:9" ht="16.5" x14ac:dyDescent="0.2">
      <c r="A18" s="23" t="s">
        <v>53</v>
      </c>
      <c r="B18" s="24"/>
      <c r="C18" s="24"/>
      <c r="D18" s="24"/>
      <c r="E18" s="21" t="e">
        <f t="shared" si="0"/>
        <v>#DIV/0!</v>
      </c>
      <c r="F18" s="21" t="e">
        <f t="shared" si="1"/>
        <v>#DIV/0!</v>
      </c>
      <c r="G18" s="24"/>
      <c r="H18" s="24"/>
      <c r="I18" s="24"/>
    </row>
    <row r="19" spans="1:9" ht="16.5" x14ac:dyDescent="0.2">
      <c r="A19" s="23" t="s">
        <v>54</v>
      </c>
      <c r="B19" s="24"/>
      <c r="C19" s="24"/>
      <c r="D19" s="24"/>
      <c r="E19" s="21" t="e">
        <f t="shared" si="0"/>
        <v>#DIV/0!</v>
      </c>
      <c r="F19" s="21" t="e">
        <f t="shared" si="1"/>
        <v>#DIV/0!</v>
      </c>
      <c r="G19" s="24"/>
      <c r="H19" s="24"/>
      <c r="I19" s="24"/>
    </row>
    <row r="20" spans="1:9" ht="16.5" x14ac:dyDescent="0.2">
      <c r="A20" s="23" t="s">
        <v>55</v>
      </c>
      <c r="B20" s="24"/>
      <c r="C20" s="24"/>
      <c r="D20" s="24"/>
      <c r="E20" s="21" t="e">
        <f t="shared" si="0"/>
        <v>#DIV/0!</v>
      </c>
      <c r="F20" s="21" t="e">
        <f t="shared" si="1"/>
        <v>#DIV/0!</v>
      </c>
      <c r="G20" s="24"/>
      <c r="H20" s="24"/>
      <c r="I20" s="24"/>
    </row>
    <row r="21" spans="1:9" ht="16.5" x14ac:dyDescent="0.2">
      <c r="A21" s="23" t="s">
        <v>56</v>
      </c>
      <c r="B21" s="24"/>
      <c r="C21" s="24"/>
      <c r="D21" s="24"/>
      <c r="E21" s="21" t="e">
        <f t="shared" si="0"/>
        <v>#DIV/0!</v>
      </c>
      <c r="F21" s="21" t="e">
        <f t="shared" si="1"/>
        <v>#DIV/0!</v>
      </c>
      <c r="G21" s="24"/>
      <c r="H21" s="24"/>
      <c r="I21" s="24"/>
    </row>
    <row r="22" spans="1:9" ht="16.5" x14ac:dyDescent="0.2">
      <c r="A22" s="23" t="s">
        <v>57</v>
      </c>
      <c r="B22" s="24"/>
      <c r="C22" s="24"/>
      <c r="D22" s="24"/>
      <c r="E22" s="21" t="e">
        <f t="shared" si="0"/>
        <v>#DIV/0!</v>
      </c>
      <c r="F22" s="21" t="e">
        <f t="shared" si="1"/>
        <v>#DIV/0!</v>
      </c>
      <c r="G22" s="24"/>
      <c r="H22" s="24"/>
      <c r="I22" s="24"/>
    </row>
    <row r="23" spans="1:9" ht="16.5" x14ac:dyDescent="0.2">
      <c r="A23" s="23" t="s">
        <v>58</v>
      </c>
      <c r="B23" s="24"/>
      <c r="C23" s="24"/>
      <c r="D23" s="24"/>
      <c r="E23" s="14" t="e">
        <f t="shared" si="0"/>
        <v>#DIV/0!</v>
      </c>
      <c r="F23" s="14" t="e">
        <f t="shared" si="1"/>
        <v>#DIV/0!</v>
      </c>
      <c r="G23" s="24"/>
      <c r="H23" s="24"/>
      <c r="I23" s="24"/>
    </row>
  </sheetData>
  <phoneticPr fontId="2"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
  <sheetViews>
    <sheetView topLeftCell="A10"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62.25" x14ac:dyDescent="0.2">
      <c r="A2" s="27">
        <v>1</v>
      </c>
      <c r="B2" s="26" t="s">
        <v>90</v>
      </c>
      <c r="C2" s="33" t="e">
        <f>F2</f>
        <v>#REF!</v>
      </c>
      <c r="D2" s="34" t="s">
        <v>127</v>
      </c>
      <c r="E2" s="4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128</v>
      </c>
      <c r="E4" s="29" t="e">
        <f>#REF!</f>
        <v>#REF!</v>
      </c>
      <c r="F4" s="1" t="e">
        <f>ROUND(E4*1.5*12,2)</f>
        <v>#REF!</v>
      </c>
    </row>
    <row r="5" spans="1:8" ht="24.75" x14ac:dyDescent="0.2">
      <c r="A5" s="27">
        <v>2.2000000000000002</v>
      </c>
      <c r="B5" s="26" t="s">
        <v>93</v>
      </c>
      <c r="C5" s="31" t="e">
        <f>ROUND(E5,2)</f>
        <v>#REF!</v>
      </c>
      <c r="D5" s="35" t="s">
        <v>129</v>
      </c>
      <c r="E5" s="30" t="e">
        <f>ROUND(4500*G5*0.1%*E4,2)</f>
        <v>#REF!</v>
      </c>
      <c r="F5" s="37">
        <v>1E-3</v>
      </c>
      <c r="G5" s="40" t="e">
        <f>#REF!</f>
        <v>#REF!</v>
      </c>
    </row>
    <row r="6" spans="1:8" ht="24.75" x14ac:dyDescent="0.2">
      <c r="A6" s="27">
        <v>2.2999999999999998</v>
      </c>
      <c r="B6" s="26" t="s">
        <v>94</v>
      </c>
      <c r="C6" s="27" t="e">
        <f>#REF!</f>
        <v>#REF!</v>
      </c>
      <c r="D6" s="35" t="s">
        <v>130</v>
      </c>
      <c r="E6" s="1" t="s">
        <v>84</v>
      </c>
      <c r="H6" s="32"/>
    </row>
    <row r="7" spans="1:8" x14ac:dyDescent="0.2">
      <c r="A7" s="27">
        <v>3</v>
      </c>
      <c r="B7" s="26" t="s">
        <v>95</v>
      </c>
      <c r="C7" s="27" t="e">
        <f>C8+C9+C10</f>
        <v>#REF!</v>
      </c>
      <c r="D7" s="35" t="s">
        <v>67</v>
      </c>
    </row>
    <row r="8" spans="1:8" ht="24.75" x14ac:dyDescent="0.2">
      <c r="A8" s="27">
        <v>3.1</v>
      </c>
      <c r="B8" s="26" t="s">
        <v>96</v>
      </c>
      <c r="C8" s="27" t="e">
        <f>E8</f>
        <v>#REF!</v>
      </c>
      <c r="D8" s="34" t="s">
        <v>153</v>
      </c>
      <c r="E8" s="1" t="e">
        <f>ROUND(59.83*12*E4*2%,2)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133</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2"/>
  <sheetViews>
    <sheetView topLeftCell="A7" workbookViewId="0">
      <selection activeCell="D9" sqref="D9"/>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62.25" x14ac:dyDescent="0.2">
      <c r="A2" s="27">
        <v>1</v>
      </c>
      <c r="B2" s="26" t="s">
        <v>90</v>
      </c>
      <c r="C2" s="33" t="e">
        <f>F2</f>
        <v>#REF!</v>
      </c>
      <c r="D2" s="34" t="s">
        <v>134</v>
      </c>
      <c r="E2" s="42"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135</v>
      </c>
      <c r="E4" s="29" t="e">
        <f>#REF!</f>
        <v>#REF!</v>
      </c>
      <c r="F4" s="1" t="e">
        <f>ROUND(E4*1.5*12,2)</f>
        <v>#REF!</v>
      </c>
    </row>
    <row r="5" spans="1:8" ht="24.75" x14ac:dyDescent="0.2">
      <c r="A5" s="27">
        <v>2.2000000000000002</v>
      </c>
      <c r="B5" s="26" t="s">
        <v>93</v>
      </c>
      <c r="C5" s="31" t="e">
        <f>ROUND(E5,2)</f>
        <v>#REF!</v>
      </c>
      <c r="D5" s="35" t="s">
        <v>136</v>
      </c>
      <c r="E5" s="30" t="e">
        <f>ROUND(4500*G5*0.1%*E4,2)</f>
        <v>#REF!</v>
      </c>
      <c r="F5" s="37">
        <v>1E-3</v>
      </c>
      <c r="G5" s="40" t="e">
        <f>#REF!</f>
        <v>#REF!</v>
      </c>
    </row>
    <row r="6" spans="1:8" ht="24.75" x14ac:dyDescent="0.2">
      <c r="A6" s="27">
        <v>2.2999999999999998</v>
      </c>
      <c r="B6" s="26" t="s">
        <v>94</v>
      </c>
      <c r="C6" s="27" t="e">
        <f>#REF!</f>
        <v>#REF!</v>
      </c>
      <c r="D6" s="35" t="s">
        <v>137</v>
      </c>
      <c r="E6" s="1" t="s">
        <v>84</v>
      </c>
      <c r="H6" s="32"/>
    </row>
    <row r="7" spans="1:8" x14ac:dyDescent="0.2">
      <c r="A7" s="27">
        <v>3</v>
      </c>
      <c r="B7" s="26" t="s">
        <v>95</v>
      </c>
      <c r="C7" s="27" t="e">
        <f>C8+C9+C10</f>
        <v>#REF!</v>
      </c>
      <c r="D7" s="35" t="s">
        <v>67</v>
      </c>
    </row>
    <row r="8" spans="1:8" ht="24.75" x14ac:dyDescent="0.2">
      <c r="A8" s="27">
        <v>3.1</v>
      </c>
      <c r="B8" s="26" t="s">
        <v>96</v>
      </c>
      <c r="C8" s="27" t="e">
        <f>E8</f>
        <v>#REF!</v>
      </c>
      <c r="D8" s="34" t="s">
        <v>154</v>
      </c>
      <c r="E8" s="1" t="e">
        <f>ROUND(62.69*12*E4*2%,2)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138</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62.25" x14ac:dyDescent="0.2">
      <c r="A2" s="27">
        <v>1</v>
      </c>
      <c r="B2" s="26" t="s">
        <v>90</v>
      </c>
      <c r="C2" s="33" t="e">
        <f>F2</f>
        <v>#REF!</v>
      </c>
      <c r="D2" s="34" t="s">
        <v>140</v>
      </c>
      <c r="E2" s="42"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141</v>
      </c>
      <c r="E4" s="29" t="e">
        <f>#REF!</f>
        <v>#REF!</v>
      </c>
      <c r="F4" s="1" t="e">
        <f>ROUND(E4*1.5*12,2)</f>
        <v>#REF!</v>
      </c>
    </row>
    <row r="5" spans="1:8" ht="36.75" x14ac:dyDescent="0.2">
      <c r="A5" s="27">
        <v>2.2000000000000002</v>
      </c>
      <c r="B5" s="26" t="s">
        <v>93</v>
      </c>
      <c r="C5" s="31" t="e">
        <f>ROUND(E5,2)</f>
        <v>#REF!</v>
      </c>
      <c r="D5" s="35" t="s">
        <v>142</v>
      </c>
      <c r="E5" s="30" t="e">
        <f>ROUND(4000*G5*0.1%*E4,2)</f>
        <v>#REF!</v>
      </c>
      <c r="F5" s="37">
        <v>1E-3</v>
      </c>
      <c r="G5" s="40" t="e">
        <f>#REF!</f>
        <v>#REF!</v>
      </c>
    </row>
    <row r="6" spans="1:8" ht="24.75" x14ac:dyDescent="0.2">
      <c r="A6" s="27">
        <v>2.2999999999999998</v>
      </c>
      <c r="B6" s="26" t="s">
        <v>94</v>
      </c>
      <c r="C6" s="27" t="e">
        <f>#REF!</f>
        <v>#REF!</v>
      </c>
      <c r="D6" s="35" t="s">
        <v>143</v>
      </c>
      <c r="E6" s="1" t="s">
        <v>84</v>
      </c>
      <c r="H6" s="32"/>
    </row>
    <row r="7" spans="1:8" x14ac:dyDescent="0.2">
      <c r="A7" s="27">
        <v>3</v>
      </c>
      <c r="B7" s="26" t="s">
        <v>95</v>
      </c>
      <c r="C7" s="27" t="e">
        <f>C8+C9+C10</f>
        <v>#REF!</v>
      </c>
      <c r="D7" s="35" t="s">
        <v>67</v>
      </c>
    </row>
    <row r="8" spans="1:8" ht="24.75" x14ac:dyDescent="0.2">
      <c r="A8" s="27">
        <v>3.1</v>
      </c>
      <c r="B8" s="26" t="s">
        <v>96</v>
      </c>
      <c r="C8" s="27" t="e">
        <f>E8</f>
        <v>#REF!</v>
      </c>
      <c r="D8" s="34" t="s">
        <v>155</v>
      </c>
      <c r="E8" s="1" t="e">
        <f>ROUND(54.76*12*E4*2%,2)</f>
        <v>#REF!</v>
      </c>
    </row>
    <row r="9" spans="1:8" ht="38.25" customHeight="1" x14ac:dyDescent="0.2">
      <c r="A9" s="27">
        <v>3.2</v>
      </c>
      <c r="B9" s="26" t="s">
        <v>97</v>
      </c>
      <c r="C9" s="27">
        <v>0</v>
      </c>
      <c r="D9" s="34" t="s">
        <v>145</v>
      </c>
      <c r="E9" s="1" t="e">
        <f>ROUND(E2*0.7*4.2%*0.9,2)</f>
        <v>#REF!</v>
      </c>
      <c r="F9" s="1">
        <f>4.2%*0.9</f>
        <v>3.78E-2</v>
      </c>
      <c r="G9" s="38" t="s">
        <v>86</v>
      </c>
    </row>
    <row r="10" spans="1:8" ht="57" x14ac:dyDescent="0.2">
      <c r="A10" s="27">
        <v>3.3</v>
      </c>
      <c r="B10" s="26" t="s">
        <v>98</v>
      </c>
      <c r="C10" s="27" t="e">
        <f>ROUND((C2)*3%,2)</f>
        <v>#REF!</v>
      </c>
      <c r="D10" s="34" t="s">
        <v>144</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2"/>
  <sheetViews>
    <sheetView workbookViewId="0">
      <selection activeCell="D2" sqref="D2"/>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6" width="10.25" style="1" customWidth="1"/>
    <col min="7" max="8" width="11" style="1" customWidth="1"/>
    <col min="9" max="16384" width="22.875" style="1"/>
  </cols>
  <sheetData>
    <row r="1" spans="1:8" x14ac:dyDescent="0.2">
      <c r="A1" s="26" t="s">
        <v>0</v>
      </c>
      <c r="B1" s="26" t="s">
        <v>63</v>
      </c>
      <c r="C1" s="26" t="s">
        <v>64</v>
      </c>
      <c r="D1" s="26" t="s">
        <v>65</v>
      </c>
    </row>
    <row r="2" spans="1:8" ht="135" x14ac:dyDescent="0.2">
      <c r="A2" s="27">
        <v>1</v>
      </c>
      <c r="B2" s="26" t="s">
        <v>71</v>
      </c>
      <c r="C2" s="33" t="e">
        <f>F2</f>
        <v>#REF!</v>
      </c>
      <c r="D2" s="34" t="s">
        <v>104</v>
      </c>
      <c r="E2" s="1" t="e">
        <f>#REF!</f>
        <v>#REF!</v>
      </c>
      <c r="F2" s="13" t="e">
        <f>#REF!</f>
        <v>#REF!</v>
      </c>
    </row>
    <row r="3" spans="1:8" x14ac:dyDescent="0.2">
      <c r="A3" s="27">
        <v>2</v>
      </c>
      <c r="B3" s="26" t="s">
        <v>72</v>
      </c>
      <c r="C3" s="27" t="e">
        <f>C4+C5+C6</f>
        <v>#REF!</v>
      </c>
      <c r="D3" s="35" t="s">
        <v>66</v>
      </c>
    </row>
    <row r="4" spans="1:8" ht="38.25" x14ac:dyDescent="0.2">
      <c r="A4" s="27">
        <v>2.1</v>
      </c>
      <c r="B4" s="26" t="s">
        <v>73</v>
      </c>
      <c r="C4" s="33">
        <f>F4</f>
        <v>75.95</v>
      </c>
      <c r="D4" s="35" t="s">
        <v>82</v>
      </c>
      <c r="E4" s="29">
        <v>42194.79</v>
      </c>
      <c r="F4" s="1">
        <f>ROUND(E4*1.5*12/10000,2)</f>
        <v>75.95</v>
      </c>
    </row>
    <row r="5" spans="1:8" ht="135.75" x14ac:dyDescent="0.2">
      <c r="A5" s="27">
        <v>2.2000000000000002</v>
      </c>
      <c r="B5" s="26" t="s">
        <v>74</v>
      </c>
      <c r="C5" s="31">
        <f>ROUND(E5,2)</f>
        <v>2.4</v>
      </c>
      <c r="D5" s="36" t="s">
        <v>88</v>
      </c>
      <c r="E5" s="30">
        <f>ROUND(24013.73*0.01%,2)</f>
        <v>2.4</v>
      </c>
      <c r="F5" s="37">
        <v>1E-3</v>
      </c>
    </row>
    <row r="6" spans="1:8" ht="24" x14ac:dyDescent="0.2">
      <c r="A6" s="27">
        <v>2.2999999999999998</v>
      </c>
      <c r="B6" s="26" t="s">
        <v>75</v>
      </c>
      <c r="C6" s="27" t="e">
        <f>#REF!</f>
        <v>#REF!</v>
      </c>
      <c r="D6" s="34" t="s">
        <v>81</v>
      </c>
      <c r="E6" s="1" t="s">
        <v>84</v>
      </c>
      <c r="H6" s="32"/>
    </row>
    <row r="7" spans="1:8" x14ac:dyDescent="0.2">
      <c r="A7" s="27">
        <v>3</v>
      </c>
      <c r="B7" s="26" t="s">
        <v>76</v>
      </c>
      <c r="C7" s="27" t="e">
        <f>C8+C9+C10</f>
        <v>#REF!</v>
      </c>
      <c r="D7" s="35" t="s">
        <v>67</v>
      </c>
    </row>
    <row r="8" spans="1:8" ht="24.75" x14ac:dyDescent="0.2">
      <c r="A8" s="27">
        <v>3.1</v>
      </c>
      <c r="B8" s="26" t="s">
        <v>77</v>
      </c>
      <c r="C8" s="27">
        <f>E8</f>
        <v>58.09</v>
      </c>
      <c r="D8" s="34" t="s">
        <v>83</v>
      </c>
      <c r="E8" s="1">
        <f>ROUND(57.36*12*E4*2%/10000,2)</f>
        <v>58.09</v>
      </c>
    </row>
    <row r="9" spans="1:8" ht="57" x14ac:dyDescent="0.2">
      <c r="A9" s="27">
        <v>3.2</v>
      </c>
      <c r="B9" s="26" t="s">
        <v>78</v>
      </c>
      <c r="C9" s="27">
        <v>0</v>
      </c>
      <c r="D9" s="34" t="s">
        <v>89</v>
      </c>
      <c r="E9" s="1" t="e">
        <f>ROUND(E2*0.7*4.2%*0.9,2)</f>
        <v>#REF!</v>
      </c>
      <c r="F9" s="1">
        <f>4.2%*0.9</f>
        <v>3.78E-2</v>
      </c>
      <c r="G9" s="38" t="s">
        <v>86</v>
      </c>
    </row>
    <row r="10" spans="1:8" ht="57" x14ac:dyDescent="0.2">
      <c r="A10" s="27">
        <v>3.3</v>
      </c>
      <c r="B10" s="26" t="s">
        <v>79</v>
      </c>
      <c r="C10" s="27" t="e">
        <f>ROUND((C2)*3%,2)</f>
        <v>#REF!</v>
      </c>
      <c r="D10" s="34" t="s">
        <v>87</v>
      </c>
      <c r="E10" s="38" t="s">
        <v>85</v>
      </c>
    </row>
    <row r="11" spans="1:8" ht="20.25" customHeight="1" x14ac:dyDescent="0.2">
      <c r="A11" s="27">
        <v>4</v>
      </c>
      <c r="B11" s="26" t="s">
        <v>80</v>
      </c>
      <c r="C11" s="33" t="e">
        <f>C2+C3+C7</f>
        <v>#REF!</v>
      </c>
      <c r="D11" s="28" t="s">
        <v>68</v>
      </c>
    </row>
    <row r="12" spans="1:8" ht="25.5" x14ac:dyDescent="0.2">
      <c r="A12" s="27">
        <v>5</v>
      </c>
      <c r="B12" s="26" t="s">
        <v>69</v>
      </c>
      <c r="C12" s="27" t="e">
        <f>ROUND(C11*10000/E4/12,2)</f>
        <v>#REF!</v>
      </c>
      <c r="D12" s="28" t="s">
        <v>70</v>
      </c>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K38"/>
  <sheetViews>
    <sheetView tabSelected="1" topLeftCell="B1" zoomScaleSheetLayoutView="100" workbookViewId="0">
      <selection activeCell="F22" sqref="F22"/>
    </sheetView>
  </sheetViews>
  <sheetFormatPr defaultColWidth="9" defaultRowHeight="14.25" x14ac:dyDescent="0.2"/>
  <cols>
    <col min="1" max="2" width="9" style="1"/>
    <col min="3" max="3" width="22.25" style="1" customWidth="1"/>
    <col min="4" max="4" width="4.875" style="1" customWidth="1"/>
    <col min="5" max="5" width="21.125" style="1" customWidth="1"/>
    <col min="6" max="6" width="5.5" style="1" customWidth="1"/>
    <col min="7" max="7" width="20.5" style="1" customWidth="1"/>
    <col min="8" max="8" width="7.125" style="1" customWidth="1"/>
    <col min="9" max="9" width="21.5" style="1" customWidth="1"/>
    <col min="10" max="10" width="7.125" style="1" customWidth="1"/>
    <col min="11" max="16384" width="9" style="1"/>
  </cols>
  <sheetData>
    <row r="1" spans="1:11" x14ac:dyDescent="0.15">
      <c r="A1" s="61" t="s">
        <v>28</v>
      </c>
      <c r="B1" s="61"/>
      <c r="C1" s="61"/>
      <c r="D1" s="61"/>
      <c r="E1" s="61"/>
      <c r="F1" s="61"/>
      <c r="G1" s="61"/>
      <c r="H1" s="61"/>
    </row>
    <row r="2" spans="1:11" x14ac:dyDescent="0.15">
      <c r="A2" s="12"/>
      <c r="B2" s="12"/>
      <c r="C2" s="12"/>
      <c r="D2" s="12"/>
      <c r="E2" s="12"/>
      <c r="F2" s="12"/>
      <c r="G2" s="12"/>
      <c r="H2" s="12"/>
      <c r="I2" s="12"/>
      <c r="J2" s="12"/>
    </row>
    <row r="3" spans="1:11" x14ac:dyDescent="0.2">
      <c r="A3" s="57" t="s">
        <v>27</v>
      </c>
      <c r="B3" s="56"/>
      <c r="C3" s="54" t="s">
        <v>26</v>
      </c>
      <c r="D3" s="54"/>
      <c r="E3" s="54" t="s">
        <v>25</v>
      </c>
      <c r="F3" s="54"/>
      <c r="G3" s="54" t="s">
        <v>24</v>
      </c>
      <c r="H3" s="54"/>
      <c r="I3" s="54" t="s">
        <v>23</v>
      </c>
      <c r="J3" s="54"/>
    </row>
    <row r="4" spans="1:11" x14ac:dyDescent="0.2">
      <c r="A4" s="54" t="s">
        <v>22</v>
      </c>
      <c r="B4" s="54"/>
      <c r="C4" s="60" t="s">
        <v>175</v>
      </c>
      <c r="D4" s="56"/>
      <c r="E4" s="55" t="str">
        <f>案例!$D$4</f>
        <v>园博府</v>
      </c>
      <c r="F4" s="56"/>
      <c r="G4" s="55" t="str">
        <f>案例!D5</f>
        <v>园博嘉园</v>
      </c>
      <c r="H4" s="56"/>
      <c r="I4" s="55" t="str">
        <f>案例!$D$6</f>
        <v>西山甲一号</v>
      </c>
      <c r="J4" s="56"/>
    </row>
    <row r="5" spans="1:11" ht="30" customHeight="1" x14ac:dyDescent="0.2">
      <c r="A5" s="54" t="s">
        <v>21</v>
      </c>
      <c r="B5" s="54"/>
      <c r="C5" s="57" t="s">
        <v>20</v>
      </c>
      <c r="D5" s="56"/>
      <c r="E5" s="58">
        <f>案例!$G$4</f>
        <v>49813</v>
      </c>
      <c r="F5" s="59"/>
      <c r="G5" s="58">
        <f>案例!$G$5</f>
        <v>53106</v>
      </c>
      <c r="H5" s="59"/>
      <c r="I5" s="58">
        <f>案例!$G$6</f>
        <v>56912</v>
      </c>
      <c r="J5" s="59"/>
    </row>
    <row r="6" spans="1:11" x14ac:dyDescent="0.2">
      <c r="A6" s="54" t="s">
        <v>19</v>
      </c>
      <c r="B6" s="54"/>
      <c r="C6" s="11">
        <v>45384</v>
      </c>
      <c r="D6" s="10">
        <v>100</v>
      </c>
      <c r="E6" s="11">
        <v>45352</v>
      </c>
      <c r="F6" s="10">
        <v>100</v>
      </c>
      <c r="G6" s="11">
        <v>45352</v>
      </c>
      <c r="H6" s="10">
        <v>100</v>
      </c>
      <c r="I6" s="11">
        <v>45352</v>
      </c>
      <c r="J6" s="10">
        <v>100</v>
      </c>
    </row>
    <row r="7" spans="1:11" x14ac:dyDescent="0.2">
      <c r="A7" s="54" t="s">
        <v>18</v>
      </c>
      <c r="B7" s="54"/>
      <c r="C7" s="7" t="s">
        <v>17</v>
      </c>
      <c r="D7" s="7">
        <v>100</v>
      </c>
      <c r="E7" s="7" t="s">
        <v>17</v>
      </c>
      <c r="F7" s="7">
        <v>100</v>
      </c>
      <c r="G7" s="7" t="s">
        <v>17</v>
      </c>
      <c r="H7" s="7">
        <f>IF(G7=C7,100,"请调整")</f>
        <v>100</v>
      </c>
      <c r="I7" s="7" t="s">
        <v>17</v>
      </c>
      <c r="J7" s="7">
        <f>IF(I7=G7,100,"请调整")</f>
        <v>100</v>
      </c>
    </row>
    <row r="8" spans="1:11" ht="24" x14ac:dyDescent="0.2">
      <c r="A8" s="47" t="s">
        <v>16</v>
      </c>
      <c r="B8" s="6" t="s">
        <v>15</v>
      </c>
      <c r="C8" s="6" t="s">
        <v>172</v>
      </c>
      <c r="D8" s="7">
        <v>100</v>
      </c>
      <c r="E8" s="6" t="s">
        <v>172</v>
      </c>
      <c r="F8" s="7">
        <v>100</v>
      </c>
      <c r="G8" s="6" t="s">
        <v>172</v>
      </c>
      <c r="H8" s="7">
        <v>100</v>
      </c>
      <c r="I8" s="6" t="s">
        <v>172</v>
      </c>
      <c r="J8" s="7">
        <v>100</v>
      </c>
      <c r="K8" s="9">
        <v>5</v>
      </c>
    </row>
    <row r="9" spans="1:11" x14ac:dyDescent="0.2">
      <c r="A9" s="48"/>
      <c r="B9" s="6" t="s">
        <v>14</v>
      </c>
      <c r="C9" s="6" t="s">
        <v>172</v>
      </c>
      <c r="D9" s="7">
        <v>100</v>
      </c>
      <c r="E9" s="6" t="s">
        <v>172</v>
      </c>
      <c r="F9" s="7">
        <v>100</v>
      </c>
      <c r="G9" s="6" t="s">
        <v>172</v>
      </c>
      <c r="H9" s="7">
        <v>100</v>
      </c>
      <c r="I9" s="6" t="s">
        <v>172</v>
      </c>
      <c r="J9" s="7">
        <v>100</v>
      </c>
      <c r="K9" s="9">
        <v>1</v>
      </c>
    </row>
    <row r="10" spans="1:11" x14ac:dyDescent="0.2">
      <c r="A10" s="48"/>
      <c r="B10" s="6" t="s">
        <v>13</v>
      </c>
      <c r="C10" s="6" t="s">
        <v>172</v>
      </c>
      <c r="D10" s="7">
        <v>100</v>
      </c>
      <c r="E10" s="6" t="s">
        <v>172</v>
      </c>
      <c r="F10" s="7">
        <v>100</v>
      </c>
      <c r="G10" s="6" t="s">
        <v>172</v>
      </c>
      <c r="H10" s="7">
        <v>100</v>
      </c>
      <c r="I10" s="6" t="s">
        <v>172</v>
      </c>
      <c r="J10" s="7">
        <v>100</v>
      </c>
      <c r="K10" s="8">
        <v>2</v>
      </c>
    </row>
    <row r="11" spans="1:11" x14ac:dyDescent="0.2">
      <c r="A11" s="48"/>
      <c r="B11" s="6" t="s">
        <v>12</v>
      </c>
      <c r="C11" s="6" t="s">
        <v>172</v>
      </c>
      <c r="D11" s="7">
        <v>100</v>
      </c>
      <c r="E11" s="6" t="s">
        <v>172</v>
      </c>
      <c r="F11" s="7">
        <v>100</v>
      </c>
      <c r="G11" s="6" t="s">
        <v>172</v>
      </c>
      <c r="H11" s="7">
        <v>100</v>
      </c>
      <c r="I11" s="6" t="s">
        <v>172</v>
      </c>
      <c r="J11" s="7">
        <v>100</v>
      </c>
      <c r="K11" s="9">
        <v>2</v>
      </c>
    </row>
    <row r="12" spans="1:11" x14ac:dyDescent="0.2">
      <c r="A12" s="49"/>
      <c r="B12" s="6" t="s">
        <v>11</v>
      </c>
      <c r="C12" s="6" t="s">
        <v>172</v>
      </c>
      <c r="D12" s="7">
        <v>100</v>
      </c>
      <c r="E12" s="6" t="s">
        <v>172</v>
      </c>
      <c r="F12" s="7">
        <v>100</v>
      </c>
      <c r="G12" s="6" t="s">
        <v>172</v>
      </c>
      <c r="H12" s="7">
        <v>100</v>
      </c>
      <c r="I12" s="6" t="s">
        <v>172</v>
      </c>
      <c r="J12" s="7">
        <v>100</v>
      </c>
      <c r="K12" s="5">
        <v>2</v>
      </c>
    </row>
    <row r="13" spans="1:11" ht="24" x14ac:dyDescent="0.2">
      <c r="A13" s="50" t="s">
        <v>10</v>
      </c>
      <c r="B13" s="6" t="s">
        <v>9</v>
      </c>
      <c r="C13" s="6" t="s">
        <v>61</v>
      </c>
      <c r="D13" s="7">
        <v>100</v>
      </c>
      <c r="E13" s="7" t="s">
        <v>8</v>
      </c>
      <c r="F13" s="7">
        <v>100</v>
      </c>
      <c r="G13" s="7" t="s">
        <v>8</v>
      </c>
      <c r="H13" s="7">
        <v>100</v>
      </c>
      <c r="I13" s="7" t="s">
        <v>8</v>
      </c>
      <c r="J13" s="7">
        <v>100</v>
      </c>
      <c r="K13" s="5">
        <v>2</v>
      </c>
    </row>
    <row r="14" spans="1:11" x14ac:dyDescent="0.2">
      <c r="A14" s="51"/>
      <c r="B14" s="6" t="s">
        <v>157</v>
      </c>
      <c r="C14" s="6" t="s">
        <v>156</v>
      </c>
      <c r="D14" s="7">
        <v>100</v>
      </c>
      <c r="E14" s="6" t="s">
        <v>156</v>
      </c>
      <c r="F14" s="7">
        <v>100</v>
      </c>
      <c r="G14" s="6" t="s">
        <v>156</v>
      </c>
      <c r="H14" s="7">
        <v>100</v>
      </c>
      <c r="I14" s="6" t="s">
        <v>156</v>
      </c>
      <c r="J14" s="7">
        <v>100</v>
      </c>
      <c r="K14" s="5">
        <v>1</v>
      </c>
    </row>
    <row r="15" spans="1:11" x14ac:dyDescent="0.2">
      <c r="A15" s="51"/>
      <c r="B15" s="6" t="s">
        <v>7</v>
      </c>
      <c r="C15" s="6" t="s">
        <v>158</v>
      </c>
      <c r="D15" s="7">
        <v>100</v>
      </c>
      <c r="E15" s="6" t="s">
        <v>158</v>
      </c>
      <c r="F15" s="7">
        <v>100</v>
      </c>
      <c r="G15" s="6" t="s">
        <v>158</v>
      </c>
      <c r="H15" s="7">
        <v>100</v>
      </c>
      <c r="I15" s="6" t="s">
        <v>158</v>
      </c>
      <c r="J15" s="7">
        <v>100</v>
      </c>
      <c r="K15" s="43">
        <v>1</v>
      </c>
    </row>
    <row r="16" spans="1:11" x14ac:dyDescent="0.2">
      <c r="A16" s="51"/>
      <c r="B16" s="6" t="s">
        <v>29</v>
      </c>
      <c r="C16" s="6" t="s">
        <v>30</v>
      </c>
      <c r="D16" s="7">
        <v>100</v>
      </c>
      <c r="E16" s="6" t="s">
        <v>30</v>
      </c>
      <c r="F16" s="7">
        <v>100</v>
      </c>
      <c r="G16" s="6" t="s">
        <v>30</v>
      </c>
      <c r="H16" s="7">
        <f t="shared" ref="H16" si="0">F16</f>
        <v>100</v>
      </c>
      <c r="I16" s="6" t="s">
        <v>30</v>
      </c>
      <c r="J16" s="7">
        <f t="shared" ref="J16" si="1">H16</f>
        <v>100</v>
      </c>
      <c r="K16" s="43">
        <v>3</v>
      </c>
    </row>
    <row r="17" spans="1:11" ht="24" x14ac:dyDescent="0.2">
      <c r="A17" s="51"/>
      <c r="B17" s="6" t="s">
        <v>173</v>
      </c>
      <c r="C17" s="6" t="s">
        <v>170</v>
      </c>
      <c r="D17" s="7">
        <v>100</v>
      </c>
      <c r="E17" s="6" t="s">
        <v>170</v>
      </c>
      <c r="F17" s="7">
        <v>100</v>
      </c>
      <c r="G17" s="6" t="s">
        <v>170</v>
      </c>
      <c r="H17" s="7">
        <v>100</v>
      </c>
      <c r="I17" s="6" t="s">
        <v>170</v>
      </c>
      <c r="J17" s="7">
        <v>100</v>
      </c>
      <c r="K17" s="43">
        <v>1</v>
      </c>
    </row>
    <row r="18" spans="1:11" x14ac:dyDescent="0.2">
      <c r="A18" s="51"/>
      <c r="B18" s="6" t="s">
        <v>6</v>
      </c>
      <c r="C18" s="6" t="s">
        <v>174</v>
      </c>
      <c r="D18" s="7">
        <v>100</v>
      </c>
      <c r="E18" s="6" t="s">
        <v>174</v>
      </c>
      <c r="F18" s="7">
        <v>100</v>
      </c>
      <c r="G18" s="6" t="s">
        <v>174</v>
      </c>
      <c r="H18" s="7">
        <v>100</v>
      </c>
      <c r="I18" s="6" t="s">
        <v>174</v>
      </c>
      <c r="J18" s="7">
        <v>100</v>
      </c>
      <c r="K18" s="5">
        <v>1</v>
      </c>
    </row>
    <row r="19" spans="1:11" hidden="1" x14ac:dyDescent="0.2">
      <c r="A19" s="51"/>
      <c r="B19" s="6" t="s">
        <v>62</v>
      </c>
      <c r="C19" s="6">
        <v>50</v>
      </c>
      <c r="D19" s="7">
        <v>100</v>
      </c>
      <c r="E19" s="6">
        <v>50</v>
      </c>
      <c r="F19" s="7">
        <v>100</v>
      </c>
      <c r="G19" s="6">
        <v>50</v>
      </c>
      <c r="H19" s="7">
        <f>F19</f>
        <v>100</v>
      </c>
      <c r="I19" s="6">
        <v>50</v>
      </c>
      <c r="J19" s="7">
        <f>F19</f>
        <v>100</v>
      </c>
      <c r="K19" s="5">
        <v>0.5</v>
      </c>
    </row>
    <row r="20" spans="1:11" x14ac:dyDescent="0.2">
      <c r="A20" s="51"/>
      <c r="B20" s="6" t="s">
        <v>100</v>
      </c>
      <c r="C20" s="45">
        <v>0.8</v>
      </c>
      <c r="D20" s="7">
        <v>100</v>
      </c>
      <c r="E20" s="45">
        <v>0.85</v>
      </c>
      <c r="F20" s="7">
        <v>100</v>
      </c>
      <c r="G20" s="45">
        <v>0.9</v>
      </c>
      <c r="H20" s="7">
        <v>100</v>
      </c>
      <c r="I20" s="45">
        <v>0.88</v>
      </c>
      <c r="J20" s="7">
        <v>100</v>
      </c>
      <c r="K20" s="5"/>
    </row>
    <row r="21" spans="1:11" x14ac:dyDescent="0.2">
      <c r="A21" s="51"/>
      <c r="B21" s="6" t="s">
        <v>5</v>
      </c>
      <c r="C21" s="6" t="s">
        <v>169</v>
      </c>
      <c r="D21" s="7">
        <v>100</v>
      </c>
      <c r="E21" s="6" t="s">
        <v>169</v>
      </c>
      <c r="F21" s="7">
        <v>100</v>
      </c>
      <c r="G21" s="6" t="s">
        <v>169</v>
      </c>
      <c r="H21" s="7">
        <v>100</v>
      </c>
      <c r="I21" s="6" t="s">
        <v>169</v>
      </c>
      <c r="J21" s="7">
        <v>100</v>
      </c>
      <c r="K21" s="5">
        <v>1</v>
      </c>
    </row>
    <row r="22" spans="1:11" ht="36" x14ac:dyDescent="0.2">
      <c r="A22" s="51"/>
      <c r="B22" s="6" t="s">
        <v>171</v>
      </c>
      <c r="C22" s="6" t="s">
        <v>172</v>
      </c>
      <c r="D22" s="7">
        <v>100</v>
      </c>
      <c r="E22" s="6" t="s">
        <v>172</v>
      </c>
      <c r="F22" s="7">
        <v>100</v>
      </c>
      <c r="G22" s="6" t="s">
        <v>172</v>
      </c>
      <c r="H22" s="7">
        <v>100</v>
      </c>
      <c r="I22" s="6" t="s">
        <v>172</v>
      </c>
      <c r="J22" s="7">
        <v>100</v>
      </c>
      <c r="K22" s="5">
        <v>0.2</v>
      </c>
    </row>
    <row r="23" spans="1:11" ht="36" hidden="1" x14ac:dyDescent="0.2">
      <c r="A23" s="51"/>
      <c r="B23" s="6" t="s">
        <v>4</v>
      </c>
      <c r="C23" s="6" t="s">
        <v>180</v>
      </c>
      <c r="D23" s="7">
        <v>100</v>
      </c>
      <c r="E23" s="6" t="s">
        <v>180</v>
      </c>
      <c r="F23" s="7">
        <v>100</v>
      </c>
      <c r="G23" s="6" t="s">
        <v>180</v>
      </c>
      <c r="H23" s="7">
        <v>100</v>
      </c>
      <c r="I23" s="6" t="str">
        <f>G23</f>
        <v>有家具家电；虽然使用较长时间，但功能正常，一般</v>
      </c>
      <c r="J23" s="7">
        <v>100</v>
      </c>
      <c r="K23" s="5">
        <v>2.5</v>
      </c>
    </row>
    <row r="24" spans="1:11" x14ac:dyDescent="0.2">
      <c r="A24" s="53" t="s">
        <v>3</v>
      </c>
      <c r="B24" s="53"/>
      <c r="C24" s="54" t="s">
        <v>1</v>
      </c>
      <c r="D24" s="54"/>
      <c r="E24" s="52">
        <f>E5</f>
        <v>49813</v>
      </c>
      <c r="F24" s="52"/>
      <c r="G24" s="52">
        <f>G5</f>
        <v>53106</v>
      </c>
      <c r="H24" s="52"/>
      <c r="I24" s="52">
        <f>I5</f>
        <v>56912</v>
      </c>
      <c r="J24" s="52"/>
    </row>
    <row r="25" spans="1:11" x14ac:dyDescent="0.2">
      <c r="A25" s="53" t="s">
        <v>2</v>
      </c>
      <c r="B25" s="53"/>
      <c r="C25" s="54" t="s">
        <v>1</v>
      </c>
      <c r="D25" s="54"/>
      <c r="E25" s="52">
        <f>ROUND(E24*POWER(100,COUNT(F6:F23))/PRODUCT(F6:F23),2)</f>
        <v>49813</v>
      </c>
      <c r="F25" s="52"/>
      <c r="G25" s="52">
        <f>ROUND(G24*POWER(100,COUNT(H6:H23))/PRODUCT(H6:H23),2)</f>
        <v>53106</v>
      </c>
      <c r="H25" s="52"/>
      <c r="I25" s="52">
        <f>ROUND(I24*POWER(100,COUNT(J6:J23))/PRODUCT(J6:J23),2)</f>
        <v>56912</v>
      </c>
      <c r="J25" s="52"/>
    </row>
    <row r="26" spans="1:11" x14ac:dyDescent="0.2">
      <c r="A26" s="46" t="str">
        <f>CONCATENATE("估价对象比较价值=(",TEXT(E25,"G/通用格式"),"+",TEXT(G25,"G/通用格式"),"+",TEXT(I25,"G/通用格式"),")","/",3,"=",ROUND((E25+G25+I25)/3,2))</f>
        <v>估价对象比较价值=(49813+53106+56912)/3=53277</v>
      </c>
      <c r="B26" s="46"/>
      <c r="C26" s="46"/>
      <c r="D26" s="46"/>
      <c r="E26" s="46"/>
      <c r="F26" s="46"/>
      <c r="G26" s="46"/>
      <c r="H26" s="46"/>
      <c r="I26" s="4"/>
      <c r="J26" s="4"/>
    </row>
    <row r="28" spans="1:11" x14ac:dyDescent="0.2">
      <c r="B28" s="1">
        <f>ROUND(C28*0.95,0)</f>
        <v>50613</v>
      </c>
      <c r="C28" s="1">
        <f>ROUND((E25+G25+I25)/3,2)</f>
        <v>53277</v>
      </c>
      <c r="E28" s="1">
        <f>ROUND(E25/E24,4)</f>
        <v>1</v>
      </c>
      <c r="G28" s="1">
        <f>ROUND(G25/G24,4)</f>
        <v>1</v>
      </c>
      <c r="I28" s="1">
        <f>ROUND(I25/I24,4)</f>
        <v>1</v>
      </c>
    </row>
    <row r="29" spans="1:11" x14ac:dyDescent="0.2">
      <c r="B29" s="1">
        <f>ROUND(C28*1.05,0)</f>
        <v>55941</v>
      </c>
      <c r="E29" s="44">
        <f>ROUND(PRODUCT($D$6:$D$23)/PRODUCT(F6:F23),4)</f>
        <v>1</v>
      </c>
      <c r="G29" s="44">
        <f>ROUND(PRODUCT($D$6:$D$23)/PRODUCT(H6:H23),4)</f>
        <v>1</v>
      </c>
      <c r="I29" s="44">
        <f>ROUND(PRODUCT($D$6:$D$23)/PRODUCT(J6:J23),4)</f>
        <v>1</v>
      </c>
    </row>
    <row r="30" spans="1:11" x14ac:dyDescent="0.2">
      <c r="C30" s="1">
        <v>2015</v>
      </c>
      <c r="E30" s="1">
        <v>2015</v>
      </c>
      <c r="G30" s="1">
        <v>2018</v>
      </c>
      <c r="I30" s="1">
        <v>2017</v>
      </c>
    </row>
    <row r="31" spans="1:11" x14ac:dyDescent="0.2">
      <c r="C31" s="3"/>
      <c r="I31" s="1">
        <f>1-(2024-I30)/60</f>
        <v>0.8833333333333333</v>
      </c>
    </row>
    <row r="32" spans="1:11" x14ac:dyDescent="0.2">
      <c r="C32" s="2"/>
      <c r="G32" s="30"/>
    </row>
    <row r="37" spans="2:11" x14ac:dyDescent="0.2">
      <c r="B37" t="s">
        <v>159</v>
      </c>
      <c r="C37" t="s">
        <v>160</v>
      </c>
      <c r="D37" t="s">
        <v>161</v>
      </c>
      <c r="E37" t="s">
        <v>162</v>
      </c>
      <c r="F37" t="s">
        <v>163</v>
      </c>
      <c r="G37" t="s">
        <v>164</v>
      </c>
      <c r="H37" t="s">
        <v>165</v>
      </c>
      <c r="I37" t="s">
        <v>166</v>
      </c>
      <c r="J37" t="s">
        <v>167</v>
      </c>
      <c r="K37" t="s">
        <v>168</v>
      </c>
    </row>
    <row r="38" spans="2:11" x14ac:dyDescent="0.2">
      <c r="B38">
        <f>C38+0.5</f>
        <v>100.5</v>
      </c>
      <c r="C38">
        <v>100</v>
      </c>
      <c r="D38">
        <f>C38-0.5</f>
        <v>99.5</v>
      </c>
      <c r="E38">
        <f t="shared" ref="E38:K38" si="2">D38-0.5</f>
        <v>99</v>
      </c>
      <c r="F38">
        <f t="shared" si="2"/>
        <v>98.5</v>
      </c>
      <c r="G38">
        <f t="shared" si="2"/>
        <v>98</v>
      </c>
      <c r="H38">
        <f t="shared" si="2"/>
        <v>97.5</v>
      </c>
      <c r="I38">
        <f t="shared" si="2"/>
        <v>97</v>
      </c>
      <c r="J38">
        <f t="shared" si="2"/>
        <v>96.5</v>
      </c>
      <c r="K38">
        <f t="shared" si="2"/>
        <v>96</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4:B24"/>
    <mergeCell ref="C24:D24"/>
    <mergeCell ref="E24:F24"/>
    <mergeCell ref="A26:H26"/>
    <mergeCell ref="A8:A12"/>
    <mergeCell ref="A13:A23"/>
    <mergeCell ref="I24:J24"/>
    <mergeCell ref="A25:B25"/>
    <mergeCell ref="C25:D25"/>
    <mergeCell ref="E25:F25"/>
    <mergeCell ref="G25:H25"/>
    <mergeCell ref="I25:J25"/>
    <mergeCell ref="G24:H24"/>
  </mergeCells>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07B5-AF72-49D0-A3A6-5F607320FCA3}">
  <dimension ref="D4:G6"/>
  <sheetViews>
    <sheetView workbookViewId="0">
      <selection activeCell="C15" sqref="C15"/>
    </sheetView>
  </sheetViews>
  <sheetFormatPr defaultRowHeight="14.25" x14ac:dyDescent="0.2"/>
  <cols>
    <col min="1" max="3" width="9" style="17"/>
    <col min="4" max="4" width="11" style="17" bestFit="1" customWidth="1"/>
    <col min="5" max="16384" width="9" style="17"/>
  </cols>
  <sheetData>
    <row r="4" spans="4:7" x14ac:dyDescent="0.2">
      <c r="D4" s="17" t="s">
        <v>176</v>
      </c>
      <c r="E4" s="17">
        <v>114.43</v>
      </c>
      <c r="F4" s="17" t="s">
        <v>177</v>
      </c>
      <c r="G4" s="17">
        <v>49813</v>
      </c>
    </row>
    <row r="5" spans="4:7" x14ac:dyDescent="0.2">
      <c r="D5" s="17" t="s">
        <v>178</v>
      </c>
      <c r="E5" s="17">
        <v>86.62</v>
      </c>
      <c r="F5" s="17" t="s">
        <v>177</v>
      </c>
      <c r="G5" s="17">
        <v>53106</v>
      </c>
    </row>
    <row r="6" spans="4:7" x14ac:dyDescent="0.2">
      <c r="D6" s="17" t="s">
        <v>179</v>
      </c>
      <c r="E6" s="17">
        <v>115.97</v>
      </c>
      <c r="F6" s="17" t="s">
        <v>177</v>
      </c>
      <c r="G6" s="17">
        <v>56912</v>
      </c>
    </row>
  </sheetData>
  <phoneticPr fontId="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topLeftCell="A7" workbookViewId="0">
      <selection activeCell="D10" sqref="D10"/>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63" x14ac:dyDescent="0.2">
      <c r="A2" s="27">
        <v>1</v>
      </c>
      <c r="B2" s="26" t="s">
        <v>90</v>
      </c>
      <c r="C2" s="33" t="e">
        <f>F2</f>
        <v>#REF!</v>
      </c>
      <c r="D2" s="34" t="s">
        <v>101</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102</v>
      </c>
      <c r="E4" s="29" t="e">
        <f>#REF!</f>
        <v>#REF!</v>
      </c>
      <c r="F4" s="1" t="e">
        <f>ROUND(E4*1.5*12,2)</f>
        <v>#REF!</v>
      </c>
    </row>
    <row r="5" spans="1:8" ht="36.75" x14ac:dyDescent="0.2">
      <c r="A5" s="27">
        <v>2.2000000000000002</v>
      </c>
      <c r="B5" s="26" t="s">
        <v>93</v>
      </c>
      <c r="C5" s="31" t="e">
        <f>ROUND(E5,2)</f>
        <v>#REF!</v>
      </c>
      <c r="D5" s="35" t="s">
        <v>139</v>
      </c>
      <c r="E5" s="30" t="e">
        <f>ROUND(4500*0.8*0.1%*E4,2)</f>
        <v>#REF!</v>
      </c>
      <c r="F5" s="37">
        <v>1E-3</v>
      </c>
    </row>
    <row r="6" spans="1:8" ht="24.75" x14ac:dyDescent="0.2">
      <c r="A6" s="27">
        <v>2.2999999999999998</v>
      </c>
      <c r="B6" s="26" t="s">
        <v>94</v>
      </c>
      <c r="C6" s="27" t="e">
        <f>#REF!</f>
        <v>#REF!</v>
      </c>
      <c r="D6" s="35" t="s">
        <v>103</v>
      </c>
      <c r="E6" s="1" t="s">
        <v>84</v>
      </c>
      <c r="H6" s="32"/>
    </row>
    <row r="7" spans="1:8" x14ac:dyDescent="0.2">
      <c r="A7" s="27">
        <v>3</v>
      </c>
      <c r="B7" s="26" t="s">
        <v>95</v>
      </c>
      <c r="C7" s="27" t="e">
        <f>C8+C9+C10</f>
        <v>#REF!</v>
      </c>
      <c r="D7" s="35" t="s">
        <v>67</v>
      </c>
    </row>
    <row r="8" spans="1:8" ht="24.75" x14ac:dyDescent="0.2">
      <c r="A8" s="27">
        <v>3.1</v>
      </c>
      <c r="B8" s="26" t="s">
        <v>96</v>
      </c>
      <c r="C8" s="27" t="e">
        <f>E8</f>
        <v>#REF!</v>
      </c>
      <c r="D8" s="34" t="s">
        <v>147</v>
      </c>
      <c r="E8" s="1" t="e">
        <f>ROUND(60.16*12*E4*2%,2)</f>
        <v>#REF!</v>
      </c>
    </row>
    <row r="9" spans="1:8" ht="57"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146</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
  <sheetViews>
    <sheetView topLeftCell="A10" workbookViewId="0">
      <selection activeCell="H7" sqref="H7"/>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75" x14ac:dyDescent="0.2">
      <c r="A2" s="27">
        <v>1</v>
      </c>
      <c r="B2" s="26" t="s">
        <v>90</v>
      </c>
      <c r="C2" s="39" t="e">
        <f>F2</f>
        <v>#REF!</v>
      </c>
      <c r="D2" s="34" t="s">
        <v>105</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106</v>
      </c>
      <c r="E4" s="29" t="e">
        <f>#REF!</f>
        <v>#REF!</v>
      </c>
      <c r="F4" s="1" t="e">
        <f>ROUND(E4*1.5*12,2)</f>
        <v>#REF!</v>
      </c>
    </row>
    <row r="5" spans="1:8" ht="36.75" x14ac:dyDescent="0.2">
      <c r="A5" s="27">
        <v>2.2000000000000002</v>
      </c>
      <c r="B5" s="26" t="s">
        <v>93</v>
      </c>
      <c r="C5" s="31" t="e">
        <f>ROUND(E5,2)</f>
        <v>#REF!</v>
      </c>
      <c r="D5" s="35" t="s">
        <v>107</v>
      </c>
      <c r="E5" s="30" t="e">
        <f>ROUND(4500*0.95*0.1%*E4,2)</f>
        <v>#REF!</v>
      </c>
      <c r="F5" s="37">
        <v>1E-3</v>
      </c>
    </row>
    <row r="6" spans="1:8" ht="24.75" x14ac:dyDescent="0.2">
      <c r="A6" s="27">
        <v>2.2999999999999998</v>
      </c>
      <c r="B6" s="26" t="s">
        <v>94</v>
      </c>
      <c r="C6" s="27" t="e">
        <f>#REF!</f>
        <v>#REF!</v>
      </c>
      <c r="D6" s="35" t="s">
        <v>108</v>
      </c>
      <c r="E6" s="1" t="s">
        <v>84</v>
      </c>
      <c r="H6" s="32"/>
    </row>
    <row r="7" spans="1:8" x14ac:dyDescent="0.2">
      <c r="A7" s="27">
        <v>3</v>
      </c>
      <c r="B7" s="26" t="s">
        <v>95</v>
      </c>
      <c r="C7" s="27" t="e">
        <f>C8+C9+C10</f>
        <v>#REF!</v>
      </c>
      <c r="D7" s="35" t="s">
        <v>67</v>
      </c>
    </row>
    <row r="8" spans="1:8" ht="24.75" x14ac:dyDescent="0.2">
      <c r="A8" s="27">
        <v>3.1</v>
      </c>
      <c r="B8" s="26" t="s">
        <v>96</v>
      </c>
      <c r="C8" s="27" t="e">
        <f>E8</f>
        <v>#REF!</v>
      </c>
      <c r="D8" s="34" t="s">
        <v>148</v>
      </c>
      <c r="E8" s="1" t="e">
        <f>ROUND(61.61*12*E4*2%,2)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109</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
  <sheetViews>
    <sheetView topLeftCell="A7" workbookViewId="0">
      <selection activeCell="E8" sqref="E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74.25" x14ac:dyDescent="0.2">
      <c r="A2" s="27">
        <v>1</v>
      </c>
      <c r="B2" s="26" t="s">
        <v>90</v>
      </c>
      <c r="C2" s="33" t="e">
        <f>F2</f>
        <v>#REF!</v>
      </c>
      <c r="D2" s="34" t="s">
        <v>117</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106</v>
      </c>
      <c r="E4" s="29" t="e">
        <f>#REF!</f>
        <v>#REF!</v>
      </c>
      <c r="F4" s="1" t="e">
        <f>ROUND(E4*1.5*12,2)</f>
        <v>#REF!</v>
      </c>
    </row>
    <row r="5" spans="1:8" ht="36.75" x14ac:dyDescent="0.2">
      <c r="A5" s="27">
        <v>2.2000000000000002</v>
      </c>
      <c r="B5" s="26" t="s">
        <v>93</v>
      </c>
      <c r="C5" s="31" t="e">
        <f>ROUND(E5,2)</f>
        <v>#REF!</v>
      </c>
      <c r="D5" s="35" t="s">
        <v>110</v>
      </c>
      <c r="E5" s="30" t="e">
        <f>ROUND(4500*G5*0.1%*E4,2)</f>
        <v>#REF!</v>
      </c>
      <c r="F5" s="37">
        <v>1E-3</v>
      </c>
      <c r="G5" s="40" t="e">
        <f>#REF!</f>
        <v>#REF!</v>
      </c>
    </row>
    <row r="6" spans="1:8" ht="24.75" x14ac:dyDescent="0.2">
      <c r="A6" s="27">
        <v>2.2999999999999998</v>
      </c>
      <c r="B6" s="26" t="s">
        <v>94</v>
      </c>
      <c r="C6" s="27" t="e">
        <f>#REF!</f>
        <v>#REF!</v>
      </c>
      <c r="D6" s="35" t="s">
        <v>111</v>
      </c>
      <c r="E6" s="1" t="s">
        <v>84</v>
      </c>
      <c r="H6" s="32"/>
    </row>
    <row r="7" spans="1:8" x14ac:dyDescent="0.2">
      <c r="A7" s="27">
        <v>3</v>
      </c>
      <c r="B7" s="26" t="s">
        <v>95</v>
      </c>
      <c r="C7" s="27" t="e">
        <f>C8+C9+C10</f>
        <v>#REF!</v>
      </c>
      <c r="D7" s="35" t="s">
        <v>67</v>
      </c>
    </row>
    <row r="8" spans="1:8" ht="24.75" x14ac:dyDescent="0.2">
      <c r="A8" s="27">
        <v>3.1</v>
      </c>
      <c r="B8" s="26" t="s">
        <v>96</v>
      </c>
      <c r="C8" s="27" t="e">
        <f>E8</f>
        <v>#REF!</v>
      </c>
      <c r="D8" s="34" t="s">
        <v>149</v>
      </c>
      <c r="E8" s="1" t="e">
        <f>ROUND(62.11*12*E4*2%,2)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112</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75.75" x14ac:dyDescent="0.2">
      <c r="A2" s="27">
        <v>1</v>
      </c>
      <c r="B2" s="26" t="s">
        <v>90</v>
      </c>
      <c r="C2" s="33" t="e">
        <f>F2</f>
        <v>#REF!</v>
      </c>
      <c r="D2" s="34" t="s">
        <v>118</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113</v>
      </c>
      <c r="E4" s="29" t="e">
        <f>#REF!</f>
        <v>#REF!</v>
      </c>
      <c r="F4" s="1" t="e">
        <f>ROUND(E4*1.5*12,2)</f>
        <v>#REF!</v>
      </c>
    </row>
    <row r="5" spans="1:8" ht="24.75" x14ac:dyDescent="0.2">
      <c r="A5" s="27">
        <v>2.2000000000000002</v>
      </c>
      <c r="B5" s="26" t="s">
        <v>93</v>
      </c>
      <c r="C5" s="31" t="e">
        <f>ROUND(E5,2)</f>
        <v>#REF!</v>
      </c>
      <c r="D5" s="35" t="s">
        <v>114</v>
      </c>
      <c r="E5" s="30" t="e">
        <f>ROUND(4500*G5*0.1%*E4,2)</f>
        <v>#REF!</v>
      </c>
      <c r="F5" s="37">
        <v>1E-3</v>
      </c>
      <c r="G5" s="40" t="e">
        <f>#REF!</f>
        <v>#REF!</v>
      </c>
    </row>
    <row r="6" spans="1:8" ht="24.75" x14ac:dyDescent="0.2">
      <c r="A6" s="27">
        <v>2.2999999999999998</v>
      </c>
      <c r="B6" s="26" t="s">
        <v>94</v>
      </c>
      <c r="C6" s="27" t="e">
        <f>#REF!</f>
        <v>#REF!</v>
      </c>
      <c r="D6" s="35" t="s">
        <v>115</v>
      </c>
      <c r="E6" s="1" t="s">
        <v>84</v>
      </c>
      <c r="H6" s="32"/>
    </row>
    <row r="7" spans="1:8" x14ac:dyDescent="0.2">
      <c r="A7" s="27">
        <v>3</v>
      </c>
      <c r="B7" s="26" t="s">
        <v>95</v>
      </c>
      <c r="C7" s="27" t="e">
        <f>C8+C9+C10</f>
        <v>#REF!</v>
      </c>
      <c r="D7" s="35" t="s">
        <v>67</v>
      </c>
    </row>
    <row r="8" spans="1:8" ht="24.75" x14ac:dyDescent="0.2">
      <c r="A8" s="27">
        <v>3.1</v>
      </c>
      <c r="B8" s="26" t="s">
        <v>96</v>
      </c>
      <c r="C8" s="27" t="e">
        <f>E8</f>
        <v>#REF!</v>
      </c>
      <c r="D8" s="34" t="s">
        <v>150</v>
      </c>
      <c r="E8" s="1" t="e">
        <f>ROUND(63.72*12*E4*2%,2)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116</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75" x14ac:dyDescent="0.2">
      <c r="A2" s="27">
        <v>1</v>
      </c>
      <c r="B2" s="26" t="s">
        <v>90</v>
      </c>
      <c r="C2" s="33" t="e">
        <f>F2</f>
        <v>#REF!</v>
      </c>
      <c r="D2" s="34" t="s">
        <v>119</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120</v>
      </c>
      <c r="E4" s="29" t="e">
        <f>#REF!</f>
        <v>#REF!</v>
      </c>
      <c r="F4" s="1" t="e">
        <f>ROUND(E4*1.5*12,2)</f>
        <v>#REF!</v>
      </c>
    </row>
    <row r="5" spans="1:8" ht="24.75" x14ac:dyDescent="0.2">
      <c r="A5" s="27">
        <v>2.2000000000000002</v>
      </c>
      <c r="B5" s="26" t="s">
        <v>93</v>
      </c>
      <c r="C5" s="31" t="e">
        <f>ROUND(E5,2)</f>
        <v>#REF!</v>
      </c>
      <c r="D5" s="35" t="s">
        <v>121</v>
      </c>
      <c r="E5" s="30" t="e">
        <f>ROUND(4500*G5*0.1%*E4,2)</f>
        <v>#REF!</v>
      </c>
      <c r="F5" s="37">
        <v>1E-3</v>
      </c>
      <c r="G5" s="40" t="e">
        <f>#REF!</f>
        <v>#REF!</v>
      </c>
    </row>
    <row r="6" spans="1:8" ht="24.75" x14ac:dyDescent="0.2">
      <c r="A6" s="27">
        <v>2.2999999999999998</v>
      </c>
      <c r="B6" s="26" t="s">
        <v>94</v>
      </c>
      <c r="C6" s="27" t="e">
        <f>#REF!</f>
        <v>#REF!</v>
      </c>
      <c r="D6" s="35" t="s">
        <v>132</v>
      </c>
      <c r="E6" s="1" t="s">
        <v>84</v>
      </c>
      <c r="H6" s="32"/>
    </row>
    <row r="7" spans="1:8" x14ac:dyDescent="0.2">
      <c r="A7" s="27">
        <v>3</v>
      </c>
      <c r="B7" s="26" t="s">
        <v>95</v>
      </c>
      <c r="C7" s="27" t="e">
        <f>C8+C9+C10</f>
        <v>#REF!</v>
      </c>
      <c r="D7" s="35" t="s">
        <v>67</v>
      </c>
    </row>
    <row r="8" spans="1:8" ht="24.75" x14ac:dyDescent="0.2">
      <c r="A8" s="27">
        <v>3.1</v>
      </c>
      <c r="B8" s="26" t="s">
        <v>96</v>
      </c>
      <c r="C8" s="27" t="e">
        <f>E8</f>
        <v>#REF!</v>
      </c>
      <c r="D8" s="34" t="s">
        <v>151</v>
      </c>
      <c r="E8" s="1" t="e">
        <f>ROUND(63.95*12*E4*2%,2)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122</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63</v>
      </c>
      <c r="C1" s="26" t="s">
        <v>64</v>
      </c>
      <c r="D1" s="26" t="s">
        <v>65</v>
      </c>
    </row>
    <row r="2" spans="1:8" ht="75" x14ac:dyDescent="0.2">
      <c r="A2" s="27">
        <v>1</v>
      </c>
      <c r="B2" s="26" t="s">
        <v>90</v>
      </c>
      <c r="C2" s="33" t="e">
        <f>F2</f>
        <v>#REF!</v>
      </c>
      <c r="D2" s="34" t="s">
        <v>123</v>
      </c>
      <c r="E2" s="1" t="e">
        <f>#REF!</f>
        <v>#REF!</v>
      </c>
      <c r="F2" s="13" t="e">
        <f>#REF!</f>
        <v>#REF!</v>
      </c>
    </row>
    <row r="3" spans="1:8" x14ac:dyDescent="0.2">
      <c r="A3" s="27">
        <v>2</v>
      </c>
      <c r="B3" s="26" t="s">
        <v>91</v>
      </c>
      <c r="C3" s="27" t="e">
        <f>C4+C5+C6</f>
        <v>#REF!</v>
      </c>
      <c r="D3" s="35" t="s">
        <v>66</v>
      </c>
    </row>
    <row r="4" spans="1:8" ht="38.25" x14ac:dyDescent="0.2">
      <c r="A4" s="27">
        <v>2.1</v>
      </c>
      <c r="B4" s="26" t="s">
        <v>92</v>
      </c>
      <c r="C4" s="33" t="e">
        <f>F4</f>
        <v>#REF!</v>
      </c>
      <c r="D4" s="35" t="s">
        <v>124</v>
      </c>
      <c r="E4" s="29" t="e">
        <f>#REF!</f>
        <v>#REF!</v>
      </c>
      <c r="F4" s="1" t="e">
        <f>ROUND(E4*1.5*12,2)</f>
        <v>#REF!</v>
      </c>
    </row>
    <row r="5" spans="1:8" ht="24.75" x14ac:dyDescent="0.2">
      <c r="A5" s="27">
        <v>2.2000000000000002</v>
      </c>
      <c r="B5" s="26" t="s">
        <v>93</v>
      </c>
      <c r="C5" s="31" t="e">
        <f>ROUND(E5,2)</f>
        <v>#REF!</v>
      </c>
      <c r="D5" s="35" t="s">
        <v>125</v>
      </c>
      <c r="E5" s="30" t="e">
        <f>ROUND(4500*G5*0.1%*E4,2)</f>
        <v>#REF!</v>
      </c>
      <c r="F5" s="37">
        <v>1E-3</v>
      </c>
      <c r="G5" s="40" t="e">
        <f>#REF!</f>
        <v>#REF!</v>
      </c>
    </row>
    <row r="6" spans="1:8" ht="24.75" x14ac:dyDescent="0.2">
      <c r="A6" s="27">
        <v>2.2999999999999998</v>
      </c>
      <c r="B6" s="26" t="s">
        <v>94</v>
      </c>
      <c r="C6" s="27" t="e">
        <f>#REF!</f>
        <v>#REF!</v>
      </c>
      <c r="D6" s="35" t="s">
        <v>131</v>
      </c>
      <c r="E6" s="1" t="s">
        <v>84</v>
      </c>
      <c r="H6" s="32"/>
    </row>
    <row r="7" spans="1:8" x14ac:dyDescent="0.2">
      <c r="A7" s="27">
        <v>3</v>
      </c>
      <c r="B7" s="26" t="s">
        <v>95</v>
      </c>
      <c r="C7" s="27" t="e">
        <f>C8+C9+C10</f>
        <v>#REF!</v>
      </c>
      <c r="D7" s="35" t="s">
        <v>67</v>
      </c>
    </row>
    <row r="8" spans="1:8" ht="24.75" x14ac:dyDescent="0.2">
      <c r="A8" s="27">
        <v>3.1</v>
      </c>
      <c r="B8" s="26" t="s">
        <v>96</v>
      </c>
      <c r="C8" s="27" t="e">
        <f>E8</f>
        <v>#REF!</v>
      </c>
      <c r="D8" s="34" t="s">
        <v>152</v>
      </c>
      <c r="E8" s="1" t="e">
        <f>ROUND(61.84*12*E4*2%,2)</f>
        <v>#REF!</v>
      </c>
    </row>
    <row r="9" spans="1:8" ht="38.25" customHeight="1" x14ac:dyDescent="0.2">
      <c r="A9" s="27">
        <v>3.2</v>
      </c>
      <c r="B9" s="26" t="s">
        <v>97</v>
      </c>
      <c r="C9" s="27">
        <v>0</v>
      </c>
      <c r="D9" s="34" t="s">
        <v>89</v>
      </c>
      <c r="E9" s="1" t="e">
        <f>ROUND(E2*0.7*4.2%*0.9,2)</f>
        <v>#REF!</v>
      </c>
      <c r="F9" s="1">
        <f>4.2%*0.9</f>
        <v>3.78E-2</v>
      </c>
      <c r="G9" s="38" t="s">
        <v>86</v>
      </c>
    </row>
    <row r="10" spans="1:8" ht="57" x14ac:dyDescent="0.2">
      <c r="A10" s="27">
        <v>3.3</v>
      </c>
      <c r="B10" s="26" t="s">
        <v>98</v>
      </c>
      <c r="C10" s="27" t="e">
        <f>ROUND((C2)*3%,2)</f>
        <v>#REF!</v>
      </c>
      <c r="D10" s="34" t="s">
        <v>126</v>
      </c>
      <c r="E10" s="38" t="s">
        <v>85</v>
      </c>
    </row>
    <row r="11" spans="1:8" ht="20.25" customHeight="1" x14ac:dyDescent="0.2">
      <c r="A11" s="27">
        <v>4</v>
      </c>
      <c r="B11" s="26" t="s">
        <v>99</v>
      </c>
      <c r="C11" s="33" t="e">
        <f>C2+C3+C7</f>
        <v>#REF!</v>
      </c>
      <c r="D11" s="28" t="s">
        <v>68</v>
      </c>
    </row>
    <row r="12" spans="1:8" ht="25.5" x14ac:dyDescent="0.2">
      <c r="A12" s="27">
        <v>5</v>
      </c>
      <c r="B12" s="26" t="s">
        <v>69</v>
      </c>
      <c r="C12" s="27" t="e">
        <f>ROUND(C11/E4/12,2)</f>
        <v>#REF!</v>
      </c>
      <c r="D12" s="28" t="s">
        <v>70</v>
      </c>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标准房测算表-金隅上和园</vt:lpstr>
      <vt:lpstr>案例</vt:lpstr>
      <vt:lpstr>驹子房成本分析 </vt:lpstr>
      <vt:lpstr>东湾家园成本分析 </vt:lpstr>
      <vt:lpstr>首开畅颐园成本分析 </vt:lpstr>
      <vt:lpstr>恒大江湾成本分析  </vt:lpstr>
      <vt:lpstr>首城东郡汇成本分析</vt:lpstr>
      <vt:lpstr>福润四季成本分析</vt:lpstr>
      <vt:lpstr>悦和园成本分析 </vt:lpstr>
      <vt:lpstr>景和园成本分析 </vt:lpstr>
      <vt:lpstr>朝新嘉园成本分析</vt:lpstr>
      <vt:lpstr>成本分析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2024-05-24T02:09:28Z</cp:lastPrinted>
  <dcterms:created xsi:type="dcterms:W3CDTF">2015-06-05T18:19:00Z</dcterms:created>
  <dcterms:modified xsi:type="dcterms:W3CDTF">2024-06-26T01:23:28Z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